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<sst xmlns="http://schemas.openxmlformats.org/spreadsheetml/2006/main" count="6200" uniqueCount="6200">
  <si>
    <t>Date Type:</t>
  </si>
  <si>
    <t>Shipped Date</t>
  </si>
  <si>
    <t>Start Date:</t>
  </si>
  <si>
    <t>07/01/2024</t>
  </si>
  <si>
    <t>End Date:</t>
  </si>
  <si>
    <t>07/07/2024</t>
  </si>
  <si>
    <t>Report Run Date:</t>
  </si>
  <si>
    <t>07/11/2024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</si>
  <si>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</si>
  <si>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</si>
  <si>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</si>
  <si>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</si>
  <si>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</si>
  <si>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</si>
  <si>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</si>
  <si>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</si>
  <si>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BLK01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</si>
  <si>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</si>
  <si>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</si>
  <si>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</si>
  <si>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</si>
  <si>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</si>
  <si>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</si>
  <si>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</si>
  <si>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</si>
  <si>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</si>
  <si>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</si>
  <si>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</si>
  <si>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</si>
  <si>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</si>
  <si>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</si>
  <si>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</si>
  <si>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</si>
  <si>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</si>
  <si>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</si>
  <si>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</si>
  <si>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</si>
  <si>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</si>
  <si>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</si>
  <si>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</si>
  <si>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</si>
  <si>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</si>
  <si>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</si>
  <si>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</si>
  <si>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</si>
  <si>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</si>
  <si>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</si>
  <si>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</si>
  <si>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</si>
  <si>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</si>
  <si>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</si>
  <si>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</si>
  <si>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</si>
  <si>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</si>
  <si>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</si>
  <si>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</si>
  <si>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</si>
  <si>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</si>
  <si>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</si>
  <si>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</si>
  <si>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</si>
  <si>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</si>
  <si>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</si>
  <si>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</si>
  <si>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</si>
  <si>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</si>
  <si>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</si>
  <si>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</si>
  <si>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</si>
  <si>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</si>
  <si>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</si>
  <si>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</si>
  <si>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</si>
  <si>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</si>
  <si>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</si>
  <si>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</si>
  <si>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</si>
  <si>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</si>
  <si>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</si>
  <si>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</si>
  <si>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</si>
  <si>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</si>
  <si>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</si>
  <si>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</si>
  <si>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</si>
  <si>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</si>
  <si>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MP10-6644</t>
  </si>
  <si>
    <t>ADUL</t>
  </si>
  <si>
    <t>Madison Park</t>
  </si>
  <si>
    <t>COMFORTER (SET)</t>
  </si>
  <si>
    <t>Comforter (Set)</t>
  </si>
  <si>
    <t>Laurel</t>
  </si>
  <si>
    <t>Vivian</t>
  </si>
  <si>
    <t>Piedmont</t>
  </si>
  <si>
    <t>7 Piece Tufted Comforter Set</t>
  </si>
  <si>
    <t>Full</t>
  </si>
  <si>
    <t>Blush</t>
  </si>
  <si>
    <t>Active</t>
  </si>
  <si>
    <t>B</t>
  </si>
  <si>
    <t>NO</t>
  </si>
  <si>
    <t/>
  </si>
  <si>
    <t>PF002423;PP000440</t>
  </si>
  <si>
    <t>7</t>
  </si>
  <si>
    <t>Border</t>
  </si>
  <si>
    <t>Transitional</t>
  </si>
  <si>
    <t>Modern/Contemporary</t>
  </si>
  <si>
    <t>9/16/2019</t>
  </si>
  <si>
    <t>8/6/2024</t>
  </si>
  <si>
    <t>CSNSTORES,JCPENNEY01,MACY02</t>
  </si>
  <si>
    <t>Setup</t>
  </si>
  <si>
    <t>9/9/2021</t>
  </si>
  <si>
    <t>9/15/2021</t>
  </si>
  <si>
    <t>No</t>
  </si>
  <si>
    <t>MP10-5114</t>
  </si>
  <si>
    <t>Queen</t>
  </si>
  <si>
    <t>9/28/2017</t>
  </si>
  <si>
    <t>ASHFURNDS,BLK01,CSNSTORES,FINGERHUTDS,JCPENNEY01,NRTPORT,TGTDVS</t>
  </si>
  <si>
    <t>8/27/2018</t>
  </si>
  <si>
    <t>9/4/2018</t>
  </si>
  <si>
    <t>MP10-5115</t>
  </si>
  <si>
    <t>King</t>
  </si>
  <si>
    <t>BLK01,JCPENNEY01,NRTPORT,OVERSCONSIGN,OVERSTOCK01,TGTDVS</t>
  </si>
  <si>
    <t>8/15/2018</t>
  </si>
  <si>
    <t>MP10-5116</t>
  </si>
  <si>
    <t>Cal King</t>
  </si>
  <si>
    <t>9/29/2017</t>
  </si>
  <si>
    <t>CSNSTORES,KOHLDSN,TGTDVS</t>
  </si>
  <si>
    <t>10/3/2018</t>
  </si>
  <si>
    <t>MP10-659</t>
  </si>
  <si>
    <t>Plum</t>
  </si>
  <si>
    <t>PF002424;PP000440</t>
  </si>
  <si>
    <t>4/2/2017</t>
  </si>
  <si>
    <t>7/22/2024</t>
  </si>
  <si>
    <t>CSNSTORES</t>
  </si>
  <si>
    <t>10/25/2018</t>
  </si>
  <si>
    <t>MP10-254</t>
  </si>
  <si>
    <t>AMAZON,BLK01,CSNSTORES,JCPENNEY01,MACY02,NRTPORT,TGTDVS</t>
  </si>
  <si>
    <t>12/31/2015</t>
  </si>
  <si>
    <t>6/24/2022</t>
  </si>
  <si>
    <t>MP10-255</t>
  </si>
  <si>
    <t>AMAZONDS,BLK01,CSNSTORES,JCPENNEY01</t>
  </si>
  <si>
    <t>7/18/2022</t>
  </si>
  <si>
    <t>MP10-256</t>
  </si>
  <si>
    <t>DESINC,JCPENNEY01,KOHLDSN,TGTDVS</t>
  </si>
  <si>
    <t>10/7/2019</t>
  </si>
  <si>
    <t>MP10-2577</t>
  </si>
  <si>
    <t>Grey</t>
  </si>
  <si>
    <t>PF002428;PP000440</t>
  </si>
  <si>
    <t>4/13/2017</t>
  </si>
  <si>
    <t>8/19/2024</t>
  </si>
  <si>
    <t>JCPENNEY01,MACY02,NRTPORT</t>
  </si>
  <si>
    <t>12/4/2018</t>
  </si>
  <si>
    <t>MP10-1328</t>
  </si>
  <si>
    <t>CSNSTORES,JCPENNEY01,KOHLDSN,MACY02,NRTPORT</t>
  </si>
  <si>
    <t>10/26/2018</t>
  </si>
  <si>
    <t>MP10-1329</t>
  </si>
  <si>
    <t>JCPENNEY01,MACY02,TGTDVS</t>
  </si>
  <si>
    <t>MP10-1330</t>
  </si>
  <si>
    <t>4/12/2017</t>
  </si>
  <si>
    <t>BLK01,JCPENNEY01,MACY02,NRTPORT</t>
  </si>
  <si>
    <t>8/16/2018</t>
  </si>
  <si>
    <t>9/12/2018</t>
  </si>
  <si>
    <t>MP10-2240</t>
  </si>
  <si>
    <t>Navy</t>
  </si>
  <si>
    <t>PF002429;PP000440</t>
  </si>
  <si>
    <t>7/28/2024</t>
  </si>
  <si>
    <t>9/21/2018</t>
  </si>
  <si>
    <t>MP10-2241</t>
  </si>
  <si>
    <t>8/26/2024</t>
  </si>
  <si>
    <t>JCPENNEY01,MACY02,OVERSTOCK01</t>
  </si>
  <si>
    <t>10/8/2018</t>
  </si>
  <si>
    <t>MP10-2242</t>
  </si>
  <si>
    <t>BLK01,MACY02</t>
  </si>
  <si>
    <t>1/7/2019</t>
  </si>
  <si>
    <t>MP10-251</t>
  </si>
  <si>
    <t>Taupe</t>
  </si>
  <si>
    <t>PF002422;PP000440</t>
  </si>
  <si>
    <t>AMAZONDS,BIGLOTSDS,CSNSTORES,JCPENNEY01,KOHLDSN,MACY02,NRTPORT,OVERSTOCK01,TGTDVS</t>
  </si>
  <si>
    <t>8/20/2018</t>
  </si>
  <si>
    <t>MP10-252</t>
  </si>
  <si>
    <t>AMAZON,MACY02,NRTPORT,OVERSTOCK01,TGTDVS</t>
  </si>
  <si>
    <t>11/27/2018</t>
  </si>
  <si>
    <t>MP10-253</t>
  </si>
  <si>
    <t>BLK01,OVERSTOCK01</t>
  </si>
  <si>
    <t>MP10-3279</t>
  </si>
  <si>
    <t>Black</t>
  </si>
  <si>
    <t>PF002432;PP000440</t>
  </si>
  <si>
    <t>5/13/2017</t>
  </si>
  <si>
    <t>AMAZON,CSNSTORES,FINGERHUTDS,JCPENNEY01,MACY02,NRTPORT,TGTDVS</t>
  </si>
  <si>
    <t>10/11/2018</t>
  </si>
  <si>
    <t>MP10-3280</t>
  </si>
  <si>
    <t>ASHFURNDS,CSNSTORES,JCPENNEY01,MACY02,NRTPORT,OVERSTOCK01,TGTDVS</t>
  </si>
  <si>
    <t>10/9/2018</t>
  </si>
  <si>
    <t>MP10-3281</t>
  </si>
  <si>
    <t>8/20/2024</t>
  </si>
  <si>
    <t>AMAZON,BLK01,CSNSTORES,KOHLDSN,MACY02,TGTDVS</t>
  </si>
  <si>
    <t>10/22/2018</t>
  </si>
  <si>
    <t>MP10-660</t>
  </si>
  <si>
    <t>Ivory</t>
  </si>
  <si>
    <t>PF002430;PP000440</t>
  </si>
  <si>
    <t>JCPENNEY01,MACY02</t>
  </si>
  <si>
    <t>6/20/2018</t>
  </si>
  <si>
    <t>10/24/2018</t>
  </si>
  <si>
    <t>MP10-432</t>
  </si>
  <si>
    <t>CSNSTORES,JCPENNEY01,KOHLDSN,MACY02</t>
  </si>
  <si>
    <t>7/31/2018</t>
  </si>
  <si>
    <t>MP10-433</t>
  </si>
  <si>
    <t>BLK01,JCPENNEY01,KOHLDSN,MACY02</t>
  </si>
  <si>
    <t>7/18/2018</t>
  </si>
  <si>
    <t>MP10-434</t>
  </si>
  <si>
    <t>JCPENNEY01</t>
  </si>
  <si>
    <t>9/20/2019</t>
  </si>
  <si>
    <t>MP10-2578</t>
  </si>
  <si>
    <t>White</t>
  </si>
  <si>
    <t>PF002426;PP000440</t>
  </si>
  <si>
    <t>CSNSTORES,MACY02,NRTPORT</t>
  </si>
  <si>
    <t>10/15/2018</t>
  </si>
  <si>
    <t>MP10-738</t>
  </si>
  <si>
    <t>AMAZON,BLK01,CSNSTORES,JCPENNEY01,MACY02,NRTPORT</t>
  </si>
  <si>
    <t>9/24/2018</t>
  </si>
  <si>
    <t>MP10-739</t>
  </si>
  <si>
    <t>CSNSTORES,HSNDS,KOHLDSN,ROOMECOM</t>
  </si>
  <si>
    <t>10/5/2018</t>
  </si>
  <si>
    <t>MP10-740</t>
  </si>
  <si>
    <t>CSNSTORES,MACY02</t>
  </si>
  <si>
    <t>9/10/2018</t>
  </si>
  <si>
    <t>MP10-639</t>
  </si>
  <si>
    <t>Seafoam</t>
  </si>
  <si>
    <t>PF002425;PP000440</t>
  </si>
  <si>
    <t>AMAZON,CSNSTORES,KOHLDSN,MACY02,OLLIIX</t>
  </si>
  <si>
    <t>11/21/2019</t>
  </si>
  <si>
    <t>MP10-640</t>
  </si>
  <si>
    <t>JCPENNEY01,KOHLDSN,MACY02,NRTPORT,TGTDVS</t>
  </si>
  <si>
    <t>11/19/2019</t>
  </si>
  <si>
    <t>MP10-641</t>
  </si>
  <si>
    <t>DESINC</t>
  </si>
  <si>
    <t>11/13/2019</t>
  </si>
  <si>
    <t>MP10-4041</t>
  </si>
  <si>
    <t>Genevieve</t>
  </si>
  <si>
    <t>Abigail</t>
  </si>
  <si>
    <t>Beverly</t>
  </si>
  <si>
    <t>7 Piece Comforter Set</t>
  </si>
  <si>
    <t>A</t>
  </si>
  <si>
    <t>PF002439</t>
  </si>
  <si>
    <t>Traditional</t>
  </si>
  <si>
    <t>AMAZON,BLK01,CSNSTORES,FINGERHUTDS,HSNDS,JCPENNEY01,KOHLDSN,MACY02,OVERSTOCK01,TGTDVS</t>
  </si>
  <si>
    <t>9/5/2018</t>
  </si>
  <si>
    <t>MP10-4042</t>
  </si>
  <si>
    <t>AMAZON,BLK01,CSNSTORES,KOHLDSN,NRTPORT,OVERSTOCK01,TGTDVS,ZOLA</t>
  </si>
  <si>
    <t>9/11/2018</t>
  </si>
  <si>
    <t>MP10-4043</t>
  </si>
  <si>
    <t>BLK01,CSNSTORES,FINGERHUTDS,KOHLDSN,OVERSTOCK01</t>
  </si>
  <si>
    <t>MP10-280</t>
  </si>
  <si>
    <t>Blue</t>
  </si>
  <si>
    <t>PF002435</t>
  </si>
  <si>
    <t>AMAZON,BLK01,CSNSTORES,JCPENNEY01,MACY02,OLLIIX,OVERSTOCK01,TGTDVS</t>
  </si>
  <si>
    <t>MP10-281</t>
  </si>
  <si>
    <t>AMAZON,ASHFURNDS,BLK01,CSNSTORES,KOHLDSN,MACY02,NRTPORT,TGTDVS</t>
  </si>
  <si>
    <t>MP10-282</t>
  </si>
  <si>
    <t>AMAZON,BLK01,JCPENNEY01,MACY02</t>
  </si>
  <si>
    <t>10/29/2018</t>
  </si>
  <si>
    <t>MP10-6567</t>
  </si>
  <si>
    <t>Taupe/Brown</t>
  </si>
  <si>
    <t>PF004777</t>
  </si>
  <si>
    <t>8/15/2019</t>
  </si>
  <si>
    <t>AMAZONDS,HOUZZ,JCPENNEY01,KOHLDSN,MACY02,NRTPORT,TGTDVS</t>
  </si>
  <si>
    <t>9/21/2021</t>
  </si>
  <si>
    <t>10/1/2021</t>
  </si>
  <si>
    <t>MP10-6568</t>
  </si>
  <si>
    <t>AMAZON,BLK01,CSNSTORES,TGTDVS</t>
  </si>
  <si>
    <t>5/30/2022</t>
  </si>
  <si>
    <t>6/23/2022</t>
  </si>
  <si>
    <t>MP10-6569</t>
  </si>
  <si>
    <t>CSNSTORES,NRTPORT</t>
  </si>
  <si>
    <t>7/14/2022</t>
  </si>
  <si>
    <t>MP10-6287</t>
  </si>
  <si>
    <t>Odette</t>
  </si>
  <si>
    <t>Dillon</t>
  </si>
  <si>
    <t>Eliot</t>
  </si>
  <si>
    <t>8 Piece Jacquard Comforter Set</t>
  </si>
  <si>
    <t>Tan/Ivory</t>
  </si>
  <si>
    <t>A+</t>
  </si>
  <si>
    <t>PP000900;PF004650</t>
  </si>
  <si>
    <t>8</t>
  </si>
  <si>
    <t>Damask</t>
  </si>
  <si>
    <t>Glam/Luxury|Transitional</t>
  </si>
  <si>
    <t>5/3/2019</t>
  </si>
  <si>
    <t>7/11/2024</t>
  </si>
  <si>
    <t>AMAZON,BLK01,CSNSTORES,JCPENNEY01,KOHLDSN,OVERSTOCK01</t>
  </si>
  <si>
    <t>9/29/2021</t>
  </si>
  <si>
    <t>MP10-6288</t>
  </si>
  <si>
    <t>AMAZON,AMAZONDS,AMERSIGNDS,BLK01,CSNSTORES,JCPENNEY01,MACY02,TGTDVS</t>
  </si>
  <si>
    <t>9/16/2021</t>
  </si>
  <si>
    <t>MP10-6289</t>
  </si>
  <si>
    <t>AMAZON,BLK01,CSNSTORES,KOHLDSN,TGTDVS</t>
  </si>
  <si>
    <t>9/30/2021</t>
  </si>
  <si>
    <t>MP10-6836</t>
  </si>
  <si>
    <t>Navy/Silver</t>
  </si>
  <si>
    <t>PP000900;PF004968</t>
  </si>
  <si>
    <t>12/17/2019</t>
  </si>
  <si>
    <t>AMAZON,CSNSTORES,JCPENNEY01,OVERSTOCK01</t>
  </si>
  <si>
    <t>9/17/2021</t>
  </si>
  <si>
    <t>MP10-6837</t>
  </si>
  <si>
    <t>AMAZON,AMAZONDS,BLK01,CSNSTORES,JCPENNEY01</t>
  </si>
  <si>
    <t>MP10-6838</t>
  </si>
  <si>
    <t>AMAZON,CSNSTORES,JCPENNEY01,KOHLDSN,MACY02</t>
  </si>
  <si>
    <t>MP10-8079</t>
  </si>
  <si>
    <t>Eilot</t>
  </si>
  <si>
    <t>Aqua/Silver</t>
  </si>
  <si>
    <t>PP000900;PF005801</t>
  </si>
  <si>
    <t>9/8/2022</t>
  </si>
  <si>
    <t>AMAZONDS,KOHLDSN,MACY02,OVERSTOCK01</t>
  </si>
  <si>
    <t>2/27/2023</t>
  </si>
  <si>
    <t>3/16/2023</t>
  </si>
  <si>
    <t>MP10-8080</t>
  </si>
  <si>
    <t>AMAZONDS,BLK01,CSNSTORES,MACY02,OVERSTOCK01</t>
  </si>
  <si>
    <t>3/31/2023</t>
  </si>
  <si>
    <t>MP10-8081</t>
  </si>
  <si>
    <t>AMAZONDS,CSNSTORES,JCPENNEY01,KOHLDSN,MACY02</t>
  </si>
  <si>
    <t>3/8/2023</t>
  </si>
  <si>
    <t>MP10-5885</t>
  </si>
  <si>
    <t>Silver/Silver</t>
  </si>
  <si>
    <t>PF004304;PP000900</t>
  </si>
  <si>
    <t>5/1/2018</t>
  </si>
  <si>
    <t>9/20/2024</t>
  </si>
  <si>
    <t>AMAZON,CSNSTORES,KOHLDSN,OVERSTOCK01</t>
  </si>
  <si>
    <t>3/18/2019</t>
  </si>
  <si>
    <t>5/6/2019</t>
  </si>
  <si>
    <t>MP10-5886</t>
  </si>
  <si>
    <t>10/9/2024</t>
  </si>
  <si>
    <t>AMAZON,CSNSTORES,JCPENNEY01,MACY02</t>
  </si>
  <si>
    <t>5/14/2019</t>
  </si>
  <si>
    <t>MP10-5887</t>
  </si>
  <si>
    <t>AMAZON,CSNSTORES,OVERSTOCK01</t>
  </si>
  <si>
    <t>6/5/2019</t>
  </si>
  <si>
    <t>MP10-386</t>
  </si>
  <si>
    <t>Dawn</t>
  </si>
  <si>
    <t>Vanessa</t>
  </si>
  <si>
    <t>Stella</t>
  </si>
  <si>
    <t>9 Piece Cotton Percale Comforter Set</t>
  </si>
  <si>
    <t>Aqua</t>
  </si>
  <si>
    <t>A++</t>
  </si>
  <si>
    <t>PF003403;PP000407</t>
  </si>
  <si>
    <t>9</t>
  </si>
  <si>
    <t>Pieced</t>
  </si>
  <si>
    <t>Cottage/Country</t>
  </si>
  <si>
    <t>Shabby Chic|Transitional</t>
  </si>
  <si>
    <t>7/13/2024</t>
  </si>
  <si>
    <t>AMAZON,BLK01,CSNSTORES,HDDS,JCPENNEY01,KOHLDSN,MACY02,NRTPORT,OLLIIX,OVERSTOCK01,TGTDVS</t>
  </si>
  <si>
    <t>7/25/2018</t>
  </si>
  <si>
    <t>MP10-387</t>
  </si>
  <si>
    <t>AMAZON,CSNSTORES,HDDS,MACY02,NRTPORT,OLLIIX,OVERSTOCK01,TGTDVS</t>
  </si>
  <si>
    <t>7/24/2018</t>
  </si>
  <si>
    <t>MP10-388</t>
  </si>
  <si>
    <t>AMAZON,BLK01,CSNSTORES,JCPENNEY01</t>
  </si>
  <si>
    <t>8/6/2018</t>
  </si>
  <si>
    <t>MP10-7277</t>
  </si>
  <si>
    <t>Yellow</t>
  </si>
  <si>
    <t>PP000407;PF005240</t>
  </si>
  <si>
    <t>Cotton</t>
  </si>
  <si>
    <t>11/12/2020</t>
  </si>
  <si>
    <t>8/2/2024</t>
  </si>
  <si>
    <t>AMAZON,BLK01,CSNSTORES,OLLIIX</t>
  </si>
  <si>
    <t>10/11/2021</t>
  </si>
  <si>
    <t>MP10-7278</t>
  </si>
  <si>
    <t>BLK01,CSNSTORES,KOHLDSN</t>
  </si>
  <si>
    <t>10/3/2021</t>
  </si>
  <si>
    <t>MP10-7279</t>
  </si>
  <si>
    <t>8/16/2024</t>
  </si>
  <si>
    <t>AMAZON,OLLIIX,OVERSTOCK01</t>
  </si>
  <si>
    <t>9/28/2021</t>
  </si>
  <si>
    <t>MP10-2793</t>
  </si>
  <si>
    <t>Coral</t>
  </si>
  <si>
    <t>PF003408;PP000407</t>
  </si>
  <si>
    <t>AMAZON,CSNSTORES,JCPENNEY01,KOHLDSN</t>
  </si>
  <si>
    <t>3/5/2019</t>
  </si>
  <si>
    <t>MP10-2794</t>
  </si>
  <si>
    <t>AMAZON,CSNSTORES,KOHLDSN,LAMPDS</t>
  </si>
  <si>
    <t>11/28/2018</t>
  </si>
  <si>
    <t>MP10-2795</t>
  </si>
  <si>
    <t>BLK01,CSNSTORES,MACY02</t>
  </si>
  <si>
    <t>1/23/2019</t>
  </si>
  <si>
    <t>MP10-6866</t>
  </si>
  <si>
    <t>B+</t>
  </si>
  <si>
    <t>PP000407;PF004981</t>
  </si>
  <si>
    <t>1/10/2020</t>
  </si>
  <si>
    <t>AMAZON,AMAZONDS,CSNSTORES,JCPENNEY01,OVERSTOCK01,TGTDVS</t>
  </si>
  <si>
    <t>MP10-6867</t>
  </si>
  <si>
    <t>AMAZON,CSNSTORES,JCPENNEY01</t>
  </si>
  <si>
    <t>10/4/2021</t>
  </si>
  <si>
    <t>MP10-6868</t>
  </si>
  <si>
    <t>AMAZON,CSNSTORES</t>
  </si>
  <si>
    <t>10/6/2021</t>
  </si>
  <si>
    <t>MP10-4185</t>
  </si>
  <si>
    <t>Serene</t>
  </si>
  <si>
    <t>Belle</t>
  </si>
  <si>
    <t>Monroe</t>
  </si>
  <si>
    <t>Embroidered 7 Piece Comforter Set</t>
  </si>
  <si>
    <t>PF003405</t>
  </si>
  <si>
    <t>Traditional|Casual</t>
  </si>
  <si>
    <t>7/24/2024</t>
  </si>
  <si>
    <t>AMAZON,BLK01,KOHLDSN,MACY02,OVERSTOCK01</t>
  </si>
  <si>
    <t>10/19/2018</t>
  </si>
  <si>
    <t>MP10-4186</t>
  </si>
  <si>
    <t>AMAZON,BLK01,CSNSTORES,JCPENNEY01,TGTDVS</t>
  </si>
  <si>
    <t>MP10-4187</t>
  </si>
  <si>
    <t>9/25/2024</t>
  </si>
  <si>
    <t>AMAZON,KOHLDSN</t>
  </si>
  <si>
    <t>MP10-636</t>
  </si>
  <si>
    <t>Green</t>
  </si>
  <si>
    <t>PF003400;PP000505</t>
  </si>
  <si>
    <t>9/6/2024</t>
  </si>
  <si>
    <t>AMAZON,CSNSTORES,KOHLDSN,TGTDVS</t>
  </si>
  <si>
    <t>MP10-637</t>
  </si>
  <si>
    <t>MP10-638</t>
  </si>
  <si>
    <t>MP10-3446</t>
  </si>
  <si>
    <t>Purple</t>
  </si>
  <si>
    <t>PF003402;PP000505</t>
  </si>
  <si>
    <t>AMAZON,BLK01,CSNSTORES</t>
  </si>
  <si>
    <t>1/14/2019</t>
  </si>
  <si>
    <t>MP10-3447</t>
  </si>
  <si>
    <t>9/26/2018</t>
  </si>
  <si>
    <t>MP10-3448</t>
  </si>
  <si>
    <t>3/11/2019</t>
  </si>
  <si>
    <t>MP10-3449</t>
  </si>
  <si>
    <t>PF003404;PP000505</t>
  </si>
  <si>
    <t>AMAZONDS,BLK01,NRTPORT,TGTDVS</t>
  </si>
  <si>
    <t>10/30/2018</t>
  </si>
  <si>
    <t>MP10-3450</t>
  </si>
  <si>
    <t>9/18/2024</t>
  </si>
  <si>
    <t>AMAZON,AMAZONDS,CSNSTORES,TGTDVS</t>
  </si>
  <si>
    <t>MP10-3451</t>
  </si>
  <si>
    <t>12/17/2018</t>
  </si>
  <si>
    <t>MP10-307</t>
  </si>
  <si>
    <t>Red</t>
  </si>
  <si>
    <t>PF003399;PP000505</t>
  </si>
  <si>
    <t>AMAZON,AMAZONDS,CSNSTORES,FINGERHUTDS,KOHLDSN,MACY02</t>
  </si>
  <si>
    <t>9/19/2019</t>
  </si>
  <si>
    <t>MP10-308</t>
  </si>
  <si>
    <t>10/28/2019</t>
  </si>
  <si>
    <t>MP10-309</t>
  </si>
  <si>
    <t>TGTDVS</t>
  </si>
  <si>
    <t>9/3/2019</t>
  </si>
  <si>
    <t>MP10-2320</t>
  </si>
  <si>
    <t>Amherst</t>
  </si>
  <si>
    <t>Eastridge</t>
  </si>
  <si>
    <t>Salem</t>
  </si>
  <si>
    <t>C</t>
  </si>
  <si>
    <t>PF002415;PP000373</t>
  </si>
  <si>
    <t>Color Block</t>
  </si>
  <si>
    <t>Modern/Contemporary|Casual</t>
  </si>
  <si>
    <t>MP10-2321</t>
  </si>
  <si>
    <t>8/23/2018</t>
  </si>
  <si>
    <t>MP10-2322</t>
  </si>
  <si>
    <t>12/11/2018</t>
  </si>
  <si>
    <t>MP10-2587</t>
  </si>
  <si>
    <t>PF002411;PP000373</t>
  </si>
  <si>
    <t>10/12/2018</t>
  </si>
  <si>
    <t>MP10-225</t>
  </si>
  <si>
    <t>AMAZON,AMAZONDS,CSNSTORES,JCPENNEY01,KOHLDSN,ROOMECOM</t>
  </si>
  <si>
    <t>MP10-226</t>
  </si>
  <si>
    <t>MP10-227</t>
  </si>
  <si>
    <t>AMAZONDS,BLK01,CSNSTORES</t>
  </si>
  <si>
    <t>12/3/2018</t>
  </si>
  <si>
    <t>MP10-2207</t>
  </si>
  <si>
    <t>PF002414;PP000373</t>
  </si>
  <si>
    <t>AMAZON,AMAZONDS,CSNSTORES,JCPENNEY01,KOHLDSN,OVERSTOCK01</t>
  </si>
  <si>
    <t>MP10-2208</t>
  </si>
  <si>
    <t>AMAZON,AMAZONDS,BLK01,CSNSTORES,KOHLDSN,OVERSTOCK01,ROOMECOM</t>
  </si>
  <si>
    <t>11/12/2018</t>
  </si>
  <si>
    <t>MP10-2209</t>
  </si>
  <si>
    <t>AMAZON,AMAZONDS,CSNSTORES,OVERSTOCK01</t>
  </si>
  <si>
    <t>MP10-2448</t>
  </si>
  <si>
    <t>Close-out</t>
  </si>
  <si>
    <t>PF002416;PP000373</t>
  </si>
  <si>
    <t>ASHFURNDS,CSNSTORES,KOHLDSN,MACY02</t>
  </si>
  <si>
    <t>MP10-2449</t>
  </si>
  <si>
    <t>AMAZON,CSNSTORES,OVERSTOCK01,TGTDVS</t>
  </si>
  <si>
    <t>MP10-2450</t>
  </si>
  <si>
    <t>BLK01,CSNSTORES,OLLIIX</t>
  </si>
  <si>
    <t>MP10-2979</t>
  </si>
  <si>
    <t>PF002417;PP000373</t>
  </si>
  <si>
    <t>7/3/2024</t>
  </si>
  <si>
    <t>AMAZON,AMAZONDS,CSNSTORES,KOHLDSN,OLLIIX</t>
  </si>
  <si>
    <t>MP10-2980</t>
  </si>
  <si>
    <t>AMAZON,CSNSTORES,OLLIIX</t>
  </si>
  <si>
    <t>MP10-2981</t>
  </si>
  <si>
    <t>AMAZONDS,CSNSTORES,TGTDVS</t>
  </si>
  <si>
    <t>MP10-042</t>
  </si>
  <si>
    <t>PP000373</t>
  </si>
  <si>
    <t>11/18/2021</t>
  </si>
  <si>
    <t>MP10-043</t>
  </si>
  <si>
    <t>AMAZON,AMAZONDS,CSNSTORES,KOHLDSN</t>
  </si>
  <si>
    <t>8/30/2021</t>
  </si>
  <si>
    <t>MP10-044</t>
  </si>
  <si>
    <t>1/25/2019</t>
  </si>
  <si>
    <t>MP10-6722</t>
  </si>
  <si>
    <t>Blush/Taupe</t>
  </si>
  <si>
    <t>PP000373;PF004927</t>
  </si>
  <si>
    <t>Casual|Modern/Contemporary</t>
  </si>
  <si>
    <t>10/16/2019</t>
  </si>
  <si>
    <t>CSNSTORES,JCPENNEY01,TGTDVS</t>
  </si>
  <si>
    <t>11/20/2021</t>
  </si>
  <si>
    <t>MP10-6723</t>
  </si>
  <si>
    <t>AMAZONDS,CSNSTORES</t>
  </si>
  <si>
    <t>11/27/2021</t>
  </si>
  <si>
    <t>MP10-6724</t>
  </si>
  <si>
    <t>AMAZON,AMAZONDS,CSNSTORES</t>
  </si>
  <si>
    <t>7/11/2022</t>
  </si>
  <si>
    <t>8/2/2022</t>
  </si>
  <si>
    <t>MP10-2588</t>
  </si>
  <si>
    <t>AAFESDS,AMAZON,CSNSTORES,KOHLDSN,OVERSTOCK01,TGTDVS</t>
  </si>
  <si>
    <t>10/2/2018</t>
  </si>
  <si>
    <t>MP10-846</t>
  </si>
  <si>
    <t>PP000373;PF005901</t>
  </si>
  <si>
    <t>9/14/2018</t>
  </si>
  <si>
    <t>MP10-847</t>
  </si>
  <si>
    <t>AMAZON,CSNSTORES,KOHLDSN,ROOMECOM</t>
  </si>
  <si>
    <t>MP10-848</t>
  </si>
  <si>
    <t>1/16/2019</t>
  </si>
  <si>
    <t>MP10-2586</t>
  </si>
  <si>
    <t>Natural</t>
  </si>
  <si>
    <t>PF002412;PP000373</t>
  </si>
  <si>
    <t>AMAZON,CSNSTORES,MACY02,OVERSTOCK01</t>
  </si>
  <si>
    <t>MP10-121</t>
  </si>
  <si>
    <t>9/7/2018</t>
  </si>
  <si>
    <t>MP10-122</t>
  </si>
  <si>
    <t>MP10-123</t>
  </si>
  <si>
    <t>MP10-126</t>
  </si>
  <si>
    <t>PF002413;PP000373</t>
  </si>
  <si>
    <t>AMAZONDS,CSNSTORES,KOHLDSN</t>
  </si>
  <si>
    <t>MP10-127</t>
  </si>
  <si>
    <t>AMAZONDS,CSNSTORES,KOHLDSN,TGTDVS</t>
  </si>
  <si>
    <t>MP10-128</t>
  </si>
  <si>
    <t>CSNSTORES,KOHLDSN</t>
  </si>
  <si>
    <t>11/20/2019</t>
  </si>
  <si>
    <t>MP10-037</t>
  </si>
  <si>
    <t>AMAZON,CSNSTORES,KOHLDSN,OLLIIX,OVERSTOCK01</t>
  </si>
  <si>
    <t>8/6/2020</t>
  </si>
  <si>
    <t>MP10-038</t>
  </si>
  <si>
    <t>CSNSTORES,JCPENNEY01,KOHLDSN</t>
  </si>
  <si>
    <t>6/19/2020</t>
  </si>
  <si>
    <t>MP10-039</t>
  </si>
  <si>
    <t>AMAZON,JCPENNEY01</t>
  </si>
  <si>
    <t>9/27/2018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</si>
  <si>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</si>
  <si>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</si>
  <si>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</si>
  <si>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</si>
  <si>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</si>
  <si>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</si>
  <si>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Coastal</t>
  </si>
  <si>
    <t>Transitional|Casual</t>
  </si>
  <si>
    <t>8/23/2024</t>
  </si>
  <si>
    <t>AMAZON,BLK01,CSNSTORES,DESINC,JCPENNEY01,KOHLDSN,OLLIIX,ROOMECOM,TGTDVS</t>
  </si>
  <si>
    <t>10/20/2016</t>
  </si>
  <si>
    <t>MP10-2705</t>
  </si>
  <si>
    <t>AMAZON,BLK01,CSNSTORES,JCPENNEY01,OLLIIX,OVERSTOCK01</t>
  </si>
  <si>
    <t>MP10-2706</t>
  </si>
  <si>
    <t>11/6/2024</t>
  </si>
  <si>
    <t>AMAZON,OLLIIX,TGTDVS</t>
  </si>
  <si>
    <t>MP10-8072</t>
  </si>
  <si>
    <t>PP000484;PF005791</t>
  </si>
  <si>
    <t>Casual|Transitional</t>
  </si>
  <si>
    <t>9/19/2022</t>
  </si>
  <si>
    <t>AMAZONDS,CSNSTORES,KOHLDSN,OVERSTOCK01</t>
  </si>
  <si>
    <t>2/28/2023</t>
  </si>
  <si>
    <t>3/21/2023</t>
  </si>
  <si>
    <t>MP10-8073</t>
  </si>
  <si>
    <t>10/12/2024</t>
  </si>
  <si>
    <t>AMAZONDS,BEALLSDS,BLK01,CSNSTORES,JCPENNEY01,OVERSTOCK01</t>
  </si>
  <si>
    <t>3/26/2023</t>
  </si>
  <si>
    <t>5/19/2023</t>
  </si>
  <si>
    <t>MP10-8074</t>
  </si>
  <si>
    <t>AMAZONDS,CSNSTORES,JCPENNEY01,OVERSTOCK01,TGTDVS</t>
  </si>
  <si>
    <t>5/1/2023</t>
  </si>
  <si>
    <t>MP10-4517</t>
  </si>
  <si>
    <t>Blaire</t>
  </si>
  <si>
    <t>Anderson</t>
  </si>
  <si>
    <t>Burnett</t>
  </si>
  <si>
    <t>PF002703</t>
  </si>
  <si>
    <t>Casual|Traditional</t>
  </si>
  <si>
    <t>6/9/2017</t>
  </si>
  <si>
    <t>7/30/2024</t>
  </si>
  <si>
    <t>BLK01,CSNSTORES,JCPENNEY01,KOHLDSN,OLLIIX,OVERSTOCK01,TGTDVS</t>
  </si>
  <si>
    <t>8/30/2018</t>
  </si>
  <si>
    <t>MP10-4518</t>
  </si>
  <si>
    <t>B-</t>
  </si>
  <si>
    <t>AMAZONDS,BLK01,CSNSTORES,JCPENNEY01,KOHLDSN,MACY02,OLLIIX,OVERSTOCK01</t>
  </si>
  <si>
    <t>MP10-4519</t>
  </si>
  <si>
    <t>11/5/2018</t>
  </si>
  <si>
    <t>MP10-948</t>
  </si>
  <si>
    <t>PF002701</t>
  </si>
  <si>
    <t>10/23/2024</t>
  </si>
  <si>
    <t>AMAZON,DESINC,JCPENNEY01,KOHLDSN,MACY02,OVERSTOCK01</t>
  </si>
  <si>
    <t>11/21/2018</t>
  </si>
  <si>
    <t>MP10-949</t>
  </si>
  <si>
    <t>AMAZONDS,KOHLDSN,NRTPORT,OVERSTOCK01,TGTDVS,WALMARTDS</t>
  </si>
  <si>
    <t>MP10-950</t>
  </si>
  <si>
    <t>CSNSTORES,JCPENNEY01,OVERSTOCK01</t>
  </si>
  <si>
    <t>10/31/2018</t>
  </si>
  <si>
    <t>MP10-4533</t>
  </si>
  <si>
    <t>Bellagio</t>
  </si>
  <si>
    <t>Venetian</t>
  </si>
  <si>
    <t>Mirage</t>
  </si>
  <si>
    <t>7 Piece Jacquard Comforter Set</t>
  </si>
  <si>
    <t>Brown/Gold</t>
  </si>
  <si>
    <t>PF003397</t>
  </si>
  <si>
    <t>Medallion</t>
  </si>
  <si>
    <t>Transitional|Glam/Luxury</t>
  </si>
  <si>
    <t>6/14/2017</t>
  </si>
  <si>
    <t>AMAZON,CSNSTORES,HSNDS,JCPENNEY01,KOHLDSN</t>
  </si>
  <si>
    <t>MP10-4534</t>
  </si>
  <si>
    <t>AMAZON,BLK01,CSNSTORES,JCPENNEY01,NRTPORT,OVERSTOCK01,TGTDVS</t>
  </si>
  <si>
    <t>MP10-4535</t>
  </si>
  <si>
    <t>9/11/2024</t>
  </si>
  <si>
    <t>AMAZON,BLK01,JCPENNEY01,NRTPORT,TGTDVS</t>
  </si>
  <si>
    <t>MP10-4882</t>
  </si>
  <si>
    <t>PF002677</t>
  </si>
  <si>
    <t>8/18/2017</t>
  </si>
  <si>
    <t>AMAZON,AMAZONDS,CSNSTORES,JCPENNEY01,KOHLDSN</t>
  </si>
  <si>
    <t>11/26/2018</t>
  </si>
  <si>
    <t>MP10-4883</t>
  </si>
  <si>
    <t>AMAZON,KOHLDSN,NRTPORT,TGTDVS</t>
  </si>
  <si>
    <t>MP10-4884</t>
  </si>
  <si>
    <t>AMAZON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</si>
  <si>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</si>
  <si>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</si>
  <si>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</si>
  <si>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</si>
  <si>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</si>
  <si>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</si>
  <si>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</si>
  <si>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</si>
  <si>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11/9/2018</t>
  </si>
  <si>
    <t>MP10-4323</t>
  </si>
  <si>
    <t>MP10-4324</t>
  </si>
  <si>
    <t>BEALLSDS,BLK01,JCPENNEY01,OVERSTOCK01</t>
  </si>
  <si>
    <t>MP10-2527</t>
  </si>
  <si>
    <t>Celeste</t>
  </si>
  <si>
    <t>Isabella</t>
  </si>
  <si>
    <t>Alexis</t>
  </si>
  <si>
    <t>5 Piece Microfiber Ruffled Comforter Set</t>
  </si>
  <si>
    <t>PF002762</t>
  </si>
  <si>
    <t>5</t>
  </si>
  <si>
    <t>Solid</t>
  </si>
  <si>
    <t>Shabby Chic</t>
  </si>
  <si>
    <t>Cottage/Country|Farm House</t>
  </si>
  <si>
    <t>8/22/2024</t>
  </si>
  <si>
    <t>ASHFURNDS,BLK01,CSNSTORES,HDDS,MACY02,OLLIIX,TGTDVS</t>
  </si>
  <si>
    <t>9/25/2018</t>
  </si>
  <si>
    <t>MP10-2528</t>
  </si>
  <si>
    <t>BLK01,CSNSTORES,KIRKLANDDS,KOHLDSN,TGTDVS</t>
  </si>
  <si>
    <t>9/18/2018</t>
  </si>
  <si>
    <t>MP10-2529</t>
  </si>
  <si>
    <t>BLK01,CSNSTORES,JCPENNEY01,TGTDVS</t>
  </si>
  <si>
    <t>MP10-233</t>
  </si>
  <si>
    <t>Freeport</t>
  </si>
  <si>
    <t>Bermuda</t>
  </si>
  <si>
    <t>Key West</t>
  </si>
  <si>
    <t>7 Piece Jaquard Comforter Set</t>
  </si>
  <si>
    <t>Olive Green</t>
  </si>
  <si>
    <t>PF002421</t>
  </si>
  <si>
    <t>Botanical</t>
  </si>
  <si>
    <t>AMAZON,CSNSTORES,DESINC,KOHLDSN,MACY02,OLLIIX,OVERSTOCK01,TGTDVS</t>
  </si>
  <si>
    <t>MP10-234</t>
  </si>
  <si>
    <t>BLK01,CSNSTORES,JCPENNEY01,MACY02,OVERSTOCK01</t>
  </si>
  <si>
    <t>MP10-235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</si>
  <si>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</si>
  <si>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</si>
  <si>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</si>
  <si>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</si>
  <si>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</si>
  <si>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</si>
  <si>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</si>
  <si>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</si>
  <si>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6</t>
  </si>
  <si>
    <t>Floral</t>
  </si>
  <si>
    <t>Farm House|Casual</t>
  </si>
  <si>
    <t>12/31/2019</t>
  </si>
  <si>
    <t>7/8/2024</t>
  </si>
  <si>
    <t>CSNSTORES,FINGERHUTDS,OLLIIX</t>
  </si>
  <si>
    <t>9/25/2021</t>
  </si>
  <si>
    <t>MP10-5670</t>
  </si>
  <si>
    <t>2/28/2018</t>
  </si>
  <si>
    <t>AMAZON,CSNSTORES,JCPENNEY01,KOHLDSN,MACY02,OVERSTOCK01,TGTDVS</t>
  </si>
  <si>
    <t>MP10-5671</t>
  </si>
  <si>
    <t>4/16/2018</t>
  </si>
  <si>
    <t>AMAZON,BIGLOTSDS,CSNSTORES,JCPENNEY01,KOHLDSN,MACY02,OLLIIX,TGTDVS</t>
  </si>
  <si>
    <t>MP10-5672</t>
  </si>
  <si>
    <t>AMAZON,BLK01,MACY02</t>
  </si>
  <si>
    <t>10/23/2018</t>
  </si>
  <si>
    <t>MP10-173</t>
  </si>
  <si>
    <t>Taupe Grey/Yellow</t>
  </si>
  <si>
    <t>PF002450;PP000448</t>
  </si>
  <si>
    <t>7/27/2024</t>
  </si>
  <si>
    <t>AMAZON,BLK01,JCPENNEY01,MACY02,OVERSTOCK01,TGTDVS</t>
  </si>
  <si>
    <t>MP10-174</t>
  </si>
  <si>
    <t>AMAZON,JCPENNEY01,KOHLDSN,MACY02,OVERSTOCK01</t>
  </si>
  <si>
    <t>1/8/2019</t>
  </si>
  <si>
    <t>MP10-175</t>
  </si>
  <si>
    <t>CSNSTORES,KOHLDSN,OVERSTOCK01</t>
  </si>
  <si>
    <t>MP10-6833</t>
  </si>
  <si>
    <t>PF002455;PP000448</t>
  </si>
  <si>
    <t>11/26/2019</t>
  </si>
  <si>
    <t>AMAZON,JCPENNEY01,MACY02,TGTDVS</t>
  </si>
  <si>
    <t>1/18/2023</t>
  </si>
  <si>
    <t>MP10-2639</t>
  </si>
  <si>
    <t>PF002455</t>
  </si>
  <si>
    <t>4/4/2017</t>
  </si>
  <si>
    <t>AMAZON,CSNSTORES,JCPENNEY01,KOHLDSN,MACY02,OVERSTOCK01</t>
  </si>
  <si>
    <t>11/1/2018</t>
  </si>
  <si>
    <t>MP10-2640</t>
  </si>
  <si>
    <t>AMAZON,FINGERHUTDS,JCPENNEY01,KOHLDSN</t>
  </si>
  <si>
    <t>MP10-2641</t>
  </si>
  <si>
    <t>KOHLDSN</t>
  </si>
  <si>
    <t>9/28/2018</t>
  </si>
  <si>
    <t>MP10-436</t>
  </si>
  <si>
    <t>Taupe Grey/Purple</t>
  </si>
  <si>
    <t>PF002454;PP000448</t>
  </si>
  <si>
    <t>AMAZON,CSNSTORES,MACY02,TGTDVS</t>
  </si>
  <si>
    <t>7/8/2019</t>
  </si>
  <si>
    <t>MP10-257</t>
  </si>
  <si>
    <t>10/1/2018</t>
  </si>
  <si>
    <t>MP10-258</t>
  </si>
  <si>
    <t>AMAZON,CSNSTORES,MACY02</t>
  </si>
  <si>
    <t>9/6/2018</t>
  </si>
  <si>
    <t>MP10-259</t>
  </si>
  <si>
    <t>12/18/2018</t>
  </si>
  <si>
    <t>MP10-3733</t>
  </si>
  <si>
    <t>Biloxi</t>
  </si>
  <si>
    <t>Morris</t>
  </si>
  <si>
    <t>Hudson</t>
  </si>
  <si>
    <t>PF002684;PP000388</t>
  </si>
  <si>
    <t>Geometric</t>
  </si>
  <si>
    <t>Glam/Luxuey|Modern/Contemporary</t>
  </si>
  <si>
    <t>KOHLDSN,OVERSTOCK01,TGTDVS</t>
  </si>
  <si>
    <t>MP10-3734</t>
  </si>
  <si>
    <t>AMAZON,BLK01,KOHLDSN,MACY02,OVERSTOCK01,TGTDVS</t>
  </si>
  <si>
    <t>8/24/2018</t>
  </si>
  <si>
    <t>MP10-3735</t>
  </si>
  <si>
    <t>CSNSTORES,JCPENNEY01</t>
  </si>
  <si>
    <t>2/22/2019</t>
  </si>
  <si>
    <t>MP10-919</t>
  </si>
  <si>
    <t>PF002681;PP000388</t>
  </si>
  <si>
    <t>AMAZON,CSNSTORES,JCPENNEY01,KOHLDSN,TGTDVS</t>
  </si>
  <si>
    <t>MP10-920</t>
  </si>
  <si>
    <t>MP10-921</t>
  </si>
  <si>
    <t>AAFESDS,JCPENNEY01</t>
  </si>
  <si>
    <t>9/19/2018</t>
  </si>
  <si>
    <t>MP10-2790</t>
  </si>
  <si>
    <t>Boone</t>
  </si>
  <si>
    <t>Westbrook</t>
  </si>
  <si>
    <t>Powell</t>
  </si>
  <si>
    <t>7 Piece Faux Suede Comforter Set</t>
  </si>
  <si>
    <t>PF002686</t>
  </si>
  <si>
    <t>Lodge/Cabin</t>
  </si>
  <si>
    <t>AMAZON,BLK01,CSNSTORES,KOHLDSN,OVERSTOCK01</t>
  </si>
  <si>
    <t>10/10/2018</t>
  </si>
  <si>
    <t>MP10-2791</t>
  </si>
  <si>
    <t>AMAZON,KOHLDSN,OVERSTOCK01</t>
  </si>
  <si>
    <t>MP10-2792</t>
  </si>
  <si>
    <t>MP10-904</t>
  </si>
  <si>
    <t>Brown</t>
  </si>
  <si>
    <t>PF002685</t>
  </si>
  <si>
    <t>AMAZON,BLK01,FINGERHUTDS,JCPENNEY01,KOHLDSN,MACY02,OVERSTOCK01</t>
  </si>
  <si>
    <t>MP10-905</t>
  </si>
  <si>
    <t>AMAZON,JCPENNEY01,MACY02,OVERSTOCK01,TGTDVS</t>
  </si>
  <si>
    <t>MP10-906</t>
  </si>
  <si>
    <t>AMAZON,FINGERHUTDS,JCPENNEY01,MACY02,OLLIIX,TGTDVS</t>
  </si>
  <si>
    <t>MP10-6434</t>
  </si>
  <si>
    <t>Tan</t>
  </si>
  <si>
    <t>PF004738</t>
  </si>
  <si>
    <t>9/1/2019</t>
  </si>
  <si>
    <t>AAFESDS,AMAZON,AMERSIGNDS,JCPENNEY01,KOHLDSN,MACY02,OVERSTOCK01</t>
  </si>
  <si>
    <t>MP10-6435</t>
  </si>
  <si>
    <t>AMAZON,MACY02</t>
  </si>
  <si>
    <t>MP10-6436</t>
  </si>
  <si>
    <t>AMAZON,AMERSIGNDS,JCPENNEY01,MACY02</t>
  </si>
  <si>
    <t>10/13/2021</t>
  </si>
  <si>
    <t>MP10-8359</t>
  </si>
  <si>
    <t>Prairie</t>
  </si>
  <si>
    <t>Pampa</t>
  </si>
  <si>
    <t>Savanna</t>
  </si>
  <si>
    <t>5 Piece Seersucker Comforter Set with Throw Pillows</t>
  </si>
  <si>
    <t>Full/Queen</t>
  </si>
  <si>
    <t>PP001918;PF006128</t>
  </si>
  <si>
    <t>Microfiber</t>
  </si>
  <si>
    <t>Farm House</t>
  </si>
  <si>
    <t>1/26/2024</t>
  </si>
  <si>
    <t>9/5/2024</t>
  </si>
  <si>
    <t>BLK01,CSNSTORES,JCPENNEY01,KOHLDSN,OVERSTOCK01,TGTDVS</t>
  </si>
  <si>
    <t>1/25/2024</t>
  </si>
  <si>
    <t>2/5/2024</t>
  </si>
  <si>
    <t>MP10-8360</t>
  </si>
  <si>
    <t>King/Cal King</t>
  </si>
  <si>
    <t>BLK01,CSNSTORES,JCPENNEY01,KOHLDSN,OVERSTOCK01</t>
  </si>
  <si>
    <t>2/23/2024</t>
  </si>
  <si>
    <t>MP10-8324</t>
  </si>
  <si>
    <t>Jenson</t>
  </si>
  <si>
    <t>Denver</t>
  </si>
  <si>
    <t>Clement</t>
  </si>
  <si>
    <t>7 Piece Color Block Stripe Comforter Set with Throw Pillows</t>
  </si>
  <si>
    <t>Spice</t>
  </si>
  <si>
    <t>PP001911;PF006095</t>
  </si>
  <si>
    <t>Stripe</t>
  </si>
  <si>
    <t>10/11/2024</t>
  </si>
  <si>
    <t>1/30/2024</t>
  </si>
  <si>
    <t>2/2/2024</t>
  </si>
  <si>
    <t>MP10-8325</t>
  </si>
  <si>
    <t>BLK01,CSNSTORES,JCPENNEY01,KOHLDSN,OLLIIX,OVERSTOCK01</t>
  </si>
  <si>
    <t>5/28/2024</t>
  </si>
  <si>
    <t>MP10-8326</t>
  </si>
  <si>
    <t>KOHLDSN,OVERSTOCK01</t>
  </si>
  <si>
    <t>1/29/2024</t>
  </si>
  <si>
    <t>MP10-8321</t>
  </si>
  <si>
    <t>PP001911;PF006094</t>
  </si>
  <si>
    <t>1/27/2024</t>
  </si>
  <si>
    <t>CSNSTORES,JCPENNEY01,KOHLDSN,OLLIIX</t>
  </si>
  <si>
    <t>2/29/2024</t>
  </si>
  <si>
    <t>MP10-8322</t>
  </si>
  <si>
    <t>MP10-8323</t>
  </si>
  <si>
    <t>CSNSTORES,JCPENNEY01,KOHLDSN,OVERSTOCK01</t>
  </si>
  <si>
    <t>2/14/2024</t>
  </si>
  <si>
    <t>MP10-3631</t>
  </si>
  <si>
    <t>Mindy</t>
  </si>
  <si>
    <t>Heidi</t>
  </si>
  <si>
    <t>Gretchen</t>
  </si>
  <si>
    <t>PF002630</t>
  </si>
  <si>
    <t>MP10-3632</t>
  </si>
  <si>
    <t>AMAZON,JCPENNEY01,KOHLDSN</t>
  </si>
  <si>
    <t>12/5/2018</t>
  </si>
  <si>
    <t>MP10-3633</t>
  </si>
  <si>
    <t>AMAZONDS,BLK01,CSNSTORES,MACY02</t>
  </si>
  <si>
    <t>7/14/2019</t>
  </si>
  <si>
    <t>MP10-2415</t>
  </si>
  <si>
    <t>Bennett</t>
  </si>
  <si>
    <t>Christian</t>
  </si>
  <si>
    <t>William</t>
  </si>
  <si>
    <t>PF002753</t>
  </si>
  <si>
    <t>9/1/2024</t>
  </si>
  <si>
    <t>AMAZONDS,CSNSTORES,OVERSTOCK01</t>
  </si>
  <si>
    <t>2/7/2019</t>
  </si>
  <si>
    <t>MP10-2416</t>
  </si>
  <si>
    <t>BLK01,CSNSTORES,OVERSTOCK01</t>
  </si>
  <si>
    <t>MP10-2417</t>
  </si>
  <si>
    <t>12/7/2018</t>
  </si>
  <si>
    <t>MP10-2418</t>
  </si>
  <si>
    <t>PF002754</t>
  </si>
  <si>
    <t>AMAZON,CSNSTORES,KOHLDSN,OVERSTOCK01,TGTDVS</t>
  </si>
  <si>
    <t>MP10-2419</t>
  </si>
  <si>
    <t>AMAZON,CSNSTORES,JCPENNEY01,KOHLDSN,OVERSTOCK01</t>
  </si>
  <si>
    <t>MP10-2420</t>
  </si>
  <si>
    <t>MP10-7392</t>
  </si>
  <si>
    <t>PP001609;PF005404</t>
  </si>
  <si>
    <t>5/10/2021</t>
  </si>
  <si>
    <t>7/27/2022</t>
  </si>
  <si>
    <t>MP10-7393</t>
  </si>
  <si>
    <t>AMAZON,CSNSTORES,JCPENNEY01,TGTDVS</t>
  </si>
  <si>
    <t>MP10-7394</t>
  </si>
  <si>
    <t>10/2/2024</t>
  </si>
  <si>
    <t>6/3/2022</t>
  </si>
  <si>
    <t>7/21/2022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</si>
  <si>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</si>
  <si>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</si>
  <si>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</si>
  <si>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</si>
  <si>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</si>
  <si>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</si>
  <si>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</si>
  <si>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4/6/2017</t>
  </si>
  <si>
    <t>7/17/2024</t>
  </si>
  <si>
    <t>MP10-3830</t>
  </si>
  <si>
    <t>5/12/2017</t>
  </si>
  <si>
    <t>AMAZON,CSNSTORES,MACY02,OVERSTOCK01,TGTDVS</t>
  </si>
  <si>
    <t>MP10-3831</t>
  </si>
  <si>
    <t>12/28/2018</t>
  </si>
  <si>
    <t>MP10-7953</t>
  </si>
  <si>
    <t>PP001783;PF005735</t>
  </si>
  <si>
    <t>8/13/2022</t>
  </si>
  <si>
    <t>CSNSTORES,KOHLDSN,OVERSTOCK01,TGTDVS</t>
  </si>
  <si>
    <t>4/17/2023</t>
  </si>
  <si>
    <t>MP10-7954</t>
  </si>
  <si>
    <t>MP10-7955</t>
  </si>
  <si>
    <t>4/3/2023</t>
  </si>
  <si>
    <t>MP10-501</t>
  </si>
  <si>
    <t>PF003375;PP000530</t>
  </si>
  <si>
    <t>CSNSTORES,OVERSTOCK01</t>
  </si>
  <si>
    <t>MP10-502</t>
  </si>
  <si>
    <t>12/10/2018</t>
  </si>
  <si>
    <t>MP10-503</t>
  </si>
  <si>
    <t>2/8/2019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</si>
  <si>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</si>
  <si>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</si>
  <si>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</si>
  <si>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</si>
  <si>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</si>
  <si>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</si>
  <si>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</si>
  <si>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</si>
  <si>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7/9/2024</t>
  </si>
  <si>
    <t>AMAZON,BLK01,JCPENNEY01,KOHLDSN,MACY02,OVERSTOCK01,TGTDVS</t>
  </si>
  <si>
    <t>10/12/2021</t>
  </si>
  <si>
    <t>MP10-7296</t>
  </si>
  <si>
    <t>AMAZON,CSNSTORES,HSNDS,MACY02,OVERSTOCK01,TGTDVS</t>
  </si>
  <si>
    <t>10/15/2021</t>
  </si>
  <si>
    <t>MP10-7297</t>
  </si>
  <si>
    <t>7/31/2024</t>
  </si>
  <si>
    <t>AMAZON,CSNSTORES,HSNDS,KOHLDSN,MACY02,TGTDVS</t>
  </si>
  <si>
    <t>10/26/2021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</si>
  <si>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</si>
  <si>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</si>
  <si>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</si>
  <si>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</si>
  <si>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</si>
  <si>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</si>
  <si>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</si>
  <si>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CSNSTORES,JCPENNEY01,MACY02,OVERSTOCK01</t>
  </si>
  <si>
    <t>MP10-349</t>
  </si>
  <si>
    <t>CSNSTORES,MACY02,OVERSTOCK01</t>
  </si>
  <si>
    <t>MP10-350</t>
  </si>
  <si>
    <t>MP10-184</t>
  </si>
  <si>
    <t>Palisades</t>
  </si>
  <si>
    <t>Hanover</t>
  </si>
  <si>
    <t>Overland</t>
  </si>
  <si>
    <t>PF002694</t>
  </si>
  <si>
    <t>MP10-185</t>
  </si>
  <si>
    <t>AMAZON,TGTDVS</t>
  </si>
  <si>
    <t>12/12/2018</t>
  </si>
  <si>
    <t>MP10-186</t>
  </si>
  <si>
    <t>AMAZON,BLK01</t>
  </si>
  <si>
    <t>7/30/2019</t>
  </si>
  <si>
    <t>MP10-7483</t>
  </si>
  <si>
    <t>PP000481;PF005455</t>
  </si>
  <si>
    <t>Suede</t>
  </si>
  <si>
    <t>7/5/2021</t>
  </si>
  <si>
    <t>CSNSTORES,FINGERHUTDS</t>
  </si>
  <si>
    <t>6/13/2022</t>
  </si>
  <si>
    <t>9/15/2022</t>
  </si>
  <si>
    <t>MP10-7484</t>
  </si>
  <si>
    <t>AMAZON,CSNSTORES,FINGERHUTDS,JCPENNEY01,OVERSTOCK01</t>
  </si>
  <si>
    <t>9/26/2022</t>
  </si>
  <si>
    <t>MP10-7485</t>
  </si>
  <si>
    <t>7/6/2021</t>
  </si>
  <si>
    <t>AMAZON,CSNSTORES,FINGERHUTDS,KOHLDSN</t>
  </si>
  <si>
    <t>6/14/2022</t>
  </si>
  <si>
    <t>6/29/2023</t>
  </si>
  <si>
    <t>MP10-1316</t>
  </si>
  <si>
    <t>PF002695;PP000481</t>
  </si>
  <si>
    <t>AMAZON,ASHFURNDS,CSNSTORES,JCPENNEY01,KOHLDSN,MACY02</t>
  </si>
  <si>
    <t>11/8/2018</t>
  </si>
  <si>
    <t>MP10-1317</t>
  </si>
  <si>
    <t>MP10-1318</t>
  </si>
  <si>
    <t>MP10-4024</t>
  </si>
  <si>
    <t>PF002698</t>
  </si>
  <si>
    <t>8/17/2024</t>
  </si>
  <si>
    <t>MP10-4025</t>
  </si>
  <si>
    <t>AMAZON,CSNSTORES,WALMARTDS</t>
  </si>
  <si>
    <t>MP10-4026</t>
  </si>
  <si>
    <t>4/8/2017</t>
  </si>
  <si>
    <t>AMAZON,CSNSTORES,FINGERHUTDS</t>
  </si>
  <si>
    <t>MP10-6175</t>
  </si>
  <si>
    <t>PP000481;PF004572</t>
  </si>
  <si>
    <t>2/15/2019</t>
  </si>
  <si>
    <t>11/9/2021</t>
  </si>
  <si>
    <t>MP10-6176</t>
  </si>
  <si>
    <t>AMAZON,CSNSTORES,FINGERHUTDS,NRTPORT,OLLIIX,TGTDVS</t>
  </si>
  <si>
    <t>11/26/2021</t>
  </si>
  <si>
    <t>MP10-6177</t>
  </si>
  <si>
    <t>11/25/2021</t>
  </si>
  <si>
    <t>MP10-1636</t>
  </si>
  <si>
    <t>Collins</t>
  </si>
  <si>
    <t>Saban</t>
  </si>
  <si>
    <t>Rodgers</t>
  </si>
  <si>
    <t>7 Piece Microsuede Comforter Set</t>
  </si>
  <si>
    <t>PF002736</t>
  </si>
  <si>
    <t>Casual</t>
  </si>
  <si>
    <t>AMAZON,CSNSTORES,JCPENNEY01,OVERSTOCK01,ROOMECOM</t>
  </si>
  <si>
    <t>MP10-1637</t>
  </si>
  <si>
    <t>AMAZON,BLK01,OVERSTOCK01</t>
  </si>
  <si>
    <t>MP10-1638</t>
  </si>
  <si>
    <t>MP10-283</t>
  </si>
  <si>
    <t>Jackson Blocks</t>
  </si>
  <si>
    <t>Maddox</t>
  </si>
  <si>
    <t>Warren</t>
  </si>
  <si>
    <t>PF002440</t>
  </si>
  <si>
    <t>AMAZON,OVERSTOCK01</t>
  </si>
  <si>
    <t>MP10-284</t>
  </si>
  <si>
    <t>MP10-285</t>
  </si>
  <si>
    <t>AMAZON,JCPENNEY01,OVERSTOCK01</t>
  </si>
  <si>
    <t>MP10-697</t>
  </si>
  <si>
    <t>Princeton</t>
  </si>
  <si>
    <t>Dartmouth</t>
  </si>
  <si>
    <t>Cambridge</t>
  </si>
  <si>
    <t>PF003392;PP000487</t>
  </si>
  <si>
    <t>MP10-698</t>
  </si>
  <si>
    <t>MP10-699</t>
  </si>
  <si>
    <t>AMAZON,BLK01,KOHLDSN</t>
  </si>
  <si>
    <t>MP10-694</t>
  </si>
  <si>
    <t>CSNSTORES,JCPENNEY01,OVERSTOCK01,TGTDVS</t>
  </si>
  <si>
    <t>MP10-695</t>
  </si>
  <si>
    <t>MP10-696</t>
  </si>
  <si>
    <t>MP10-2585</t>
  </si>
  <si>
    <t>Palmer</t>
  </si>
  <si>
    <t>Teagan</t>
  </si>
  <si>
    <t>Dakota</t>
  </si>
  <si>
    <t>7 PC Pieced Faux Suede Comforter Set</t>
  </si>
  <si>
    <t>PF002441</t>
  </si>
  <si>
    <t>CSNSTORES,FINGERHUTDS,HDDS,MACY02</t>
  </si>
  <si>
    <t>11/13/2018</t>
  </si>
  <si>
    <t>MP10-423</t>
  </si>
  <si>
    <t>AMAZON,AMERSIGNDS,BLK01,CSNSTORES,FINGERHUTDS,HDDS,KOHLDSN,MACY02,NRTPORT,TGTDVS</t>
  </si>
  <si>
    <t>MP10-424</t>
  </si>
  <si>
    <t>11/16/2018</t>
  </si>
  <si>
    <t>MP10-425</t>
  </si>
  <si>
    <t>AMAZON,KOHLDSN,MACY02,NRTPORT,OVERSTOCK01</t>
  </si>
  <si>
    <t>MP10-2263</t>
  </si>
  <si>
    <t>PF002445</t>
  </si>
  <si>
    <t>AMAZON,BEALLSDS,CSNSTORES,JCPENNEY01,KOHLDSN,MACY02,OVERSTOCK01</t>
  </si>
  <si>
    <t>MP10-2264</t>
  </si>
  <si>
    <t>MP10-2265</t>
  </si>
  <si>
    <t>MP10-7488</t>
  </si>
  <si>
    <t>PP001625;PF005454</t>
  </si>
  <si>
    <t>5/20/2021</t>
  </si>
  <si>
    <t>7/15/2022</t>
  </si>
  <si>
    <t>MP10-7489</t>
  </si>
  <si>
    <t>MP10-7490</t>
  </si>
  <si>
    <t>AMAZON,JCPENNEY01,NRTPORT,OVERSTOCK01</t>
  </si>
  <si>
    <t>6/20/2022</t>
  </si>
  <si>
    <t>7/12/2022</t>
  </si>
  <si>
    <t>MP10-2583</t>
  </si>
  <si>
    <t>PF002444</t>
  </si>
  <si>
    <t>AMAZON,CSNSTORES,HDDS,JCPENNEY01,OVERSTOCK01</t>
  </si>
  <si>
    <t>MP10-301</t>
  </si>
  <si>
    <t>AMAZON,JCPENNEY01,KOHLDSN,MACY02,OLLIIX,OVERSTOCK01,TGTDVS</t>
  </si>
  <si>
    <t>MP10-302</t>
  </si>
  <si>
    <t>AMAZON,CSNSTORES,HDDS,JCPENNEY01,OVERSCONSIGN,OVERSTOCK01,TGTDVS,WALMARTDS</t>
  </si>
  <si>
    <t>MP10-303</t>
  </si>
  <si>
    <t>AMAZON,JCPENNEY01,MACY02,NRTPORT,OVERSTOCK01,TGTDVS</t>
  </si>
  <si>
    <t>MP10-2584</t>
  </si>
  <si>
    <t>PF002443</t>
  </si>
  <si>
    <t>CSNSTORES,KOHLDSN,MACY02</t>
  </si>
  <si>
    <t>7/23/2018</t>
  </si>
  <si>
    <t>MP10-304</t>
  </si>
  <si>
    <t>AMAZON,KOHLDSN,MACY02</t>
  </si>
  <si>
    <t>7/2/2018</t>
  </si>
  <si>
    <t>MP10-305</t>
  </si>
  <si>
    <t>AMAZON,CSNSTORES,JCPENNEY01,KOHLDSN,OLLIIX,OVERSTOCK01</t>
  </si>
  <si>
    <t>MP10-306</t>
  </si>
  <si>
    <t>MACY02,OLLIIX</t>
  </si>
  <si>
    <t>7/30/2018</t>
  </si>
  <si>
    <t>MP10-2266</t>
  </si>
  <si>
    <t>PF002446</t>
  </si>
  <si>
    <t>11/14/2018</t>
  </si>
  <si>
    <t>MP10-2267</t>
  </si>
  <si>
    <t>AMAZON,CSNSTORES,FINGERHUTDS,JCPENNEY01,KOHLDSN,OVERSTOCK01</t>
  </si>
  <si>
    <t>MP10-2268</t>
  </si>
  <si>
    <t>MP10-1692</t>
  </si>
  <si>
    <t>Nisha</t>
  </si>
  <si>
    <t>Leah</t>
  </si>
  <si>
    <t>Naomi</t>
  </si>
  <si>
    <t>7 Piece Printed Cotton Sateen Comforter Set</t>
  </si>
  <si>
    <t>Orange</t>
  </si>
  <si>
    <t>PF002728;PP000471</t>
  </si>
  <si>
    <t>Global Inspired</t>
  </si>
  <si>
    <t>AMAZON,BLK01,TGTDVS</t>
  </si>
  <si>
    <t>MP10-1693</t>
  </si>
  <si>
    <t>MP10-4166</t>
  </si>
  <si>
    <t>Holly</t>
  </si>
  <si>
    <t>Sakura</t>
  </si>
  <si>
    <t>Purple/Taupe</t>
  </si>
  <si>
    <t>PF002647</t>
  </si>
  <si>
    <t>AMAZON,BLK01,CSNSTORES,JCPENNEY01,OLLIIX,OVERSTOCK01,TGTDVS</t>
  </si>
  <si>
    <t>MP10-4167</t>
  </si>
  <si>
    <t>8/28/2018</t>
  </si>
  <si>
    <t>MP10-4168</t>
  </si>
  <si>
    <t>PF002647;PP001841</t>
  </si>
  <si>
    <t>KOHLDSN,TGTDVS</t>
  </si>
  <si>
    <t>12/26/2018</t>
  </si>
  <si>
    <t>MP10-7676</t>
  </si>
  <si>
    <t>Pema</t>
  </si>
  <si>
    <t>Zayden</t>
  </si>
  <si>
    <t>Elian</t>
  </si>
  <si>
    <t>8 Piece Printed Seersucker Comforter and Quilt Set Collection</t>
  </si>
  <si>
    <t>PP001671;PF005560</t>
  </si>
  <si>
    <t>Farm House|Cottage/Country</t>
  </si>
  <si>
    <t>10/22/2021</t>
  </si>
  <si>
    <t>CSNSTORES,DESINC,JCPENNEY01,KOHLDSN,OVERSTOCK01</t>
  </si>
  <si>
    <t>MP10-7677</t>
  </si>
  <si>
    <t>BLK01,CSNSTORES,JCPENNEY01,KOHLDSN,TGTDVS</t>
  </si>
  <si>
    <t>7/31/2023</t>
  </si>
  <si>
    <t>MP10-1026</t>
  </si>
  <si>
    <t>Hampton</t>
  </si>
  <si>
    <t>Richmond</t>
  </si>
  <si>
    <t>Cullen</t>
  </si>
  <si>
    <t>PF002709</t>
  </si>
  <si>
    <t>BLK01,JCPENNEY01,MACY02,OVERSTOCK01,TGTDVS</t>
  </si>
  <si>
    <t>11/25/2019</t>
  </si>
  <si>
    <t>MP10-1027</t>
  </si>
  <si>
    <t>MP10-1028</t>
  </si>
  <si>
    <t>MP10-1029</t>
  </si>
  <si>
    <t>PF002710</t>
  </si>
  <si>
    <t>MACY02,OVERSTOCK01,TGTDVS</t>
  </si>
  <si>
    <t>2/14/2019</t>
  </si>
  <si>
    <t>MP10-1031</t>
  </si>
  <si>
    <t>7/4/2019</t>
  </si>
  <si>
    <t>MP10-111</t>
  </si>
  <si>
    <t>Lincoln Square</t>
  </si>
  <si>
    <t>Davenport</t>
  </si>
  <si>
    <t>Daniel</t>
  </si>
  <si>
    <t>8 Piece Jaquard Comforter Set</t>
  </si>
  <si>
    <t>PF002431;PP000444</t>
  </si>
  <si>
    <t>Plaid</t>
  </si>
  <si>
    <t>Traditional|Lodge/Cabin</t>
  </si>
  <si>
    <t>9/23/2024</t>
  </si>
  <si>
    <t>AMAZON,BLK01,CSNSTORES,JCPENNEY01,KOHLDSN,MACY02</t>
  </si>
  <si>
    <t>MP10-112</t>
  </si>
  <si>
    <t>MP10-113</t>
  </si>
  <si>
    <t>MP10-749</t>
  </si>
  <si>
    <t>Donovan</t>
  </si>
  <si>
    <t>Blaine</t>
  </si>
  <si>
    <t>Perry</t>
  </si>
  <si>
    <t>7 Piece Jacquard Comforter Set with Throw Pillows</t>
  </si>
  <si>
    <t>PF002757;PP000411</t>
  </si>
  <si>
    <t>MP10-750</t>
  </si>
  <si>
    <t>AMAZON,BIGLOTSDS,CSNSTORES,JCPENNEY01,KOHLDSN</t>
  </si>
  <si>
    <t>9/17/2018</t>
  </si>
  <si>
    <t>MP10-751</t>
  </si>
  <si>
    <t>JCPENNEY01,KOHLDSN,NRTPORT,OVERSTOCK01</t>
  </si>
  <si>
    <t>MP10-8280</t>
  </si>
  <si>
    <t>PP000411;PF006063</t>
  </si>
  <si>
    <t>8/24/2023</t>
  </si>
  <si>
    <t>1/11/2024</t>
  </si>
  <si>
    <t>6/10/2024</t>
  </si>
  <si>
    <t>MP10-8281</t>
  </si>
  <si>
    <t>MP10-8282</t>
  </si>
  <si>
    <t>MP10-4344</t>
  </si>
  <si>
    <t>PF002605</t>
  </si>
  <si>
    <t>6/2/2017</t>
  </si>
  <si>
    <t>MP10-4345</t>
  </si>
  <si>
    <t>6/7/2017</t>
  </si>
  <si>
    <t>AMAZON,CSNSTORES,JCPENNEY01,KOHLDSN,OVERSTOCK01,TGTDVS,WALMARTDS</t>
  </si>
  <si>
    <t>11/22/2019</t>
  </si>
  <si>
    <t>MP10-4346</t>
  </si>
  <si>
    <t>12/3/2019</t>
  </si>
  <si>
    <t>MP10-6138</t>
  </si>
  <si>
    <t>Heritage</t>
  </si>
  <si>
    <t>Lexington</t>
  </si>
  <si>
    <t>Lawrence</t>
  </si>
  <si>
    <t>8 Piece Comforter and Quilt Set Collection</t>
  </si>
  <si>
    <t>PP001055;PF004549</t>
  </si>
  <si>
    <t>AMAZONDS,BLK01,CSNSTORES,JCPENNEY01,MACY02,NRTPORT,OLLIIX</t>
  </si>
  <si>
    <t>11/11/2021</t>
  </si>
  <si>
    <t>MP10-6139</t>
  </si>
  <si>
    <t>AMAZON,CSNSTORES,KOHLDSN,MACY02,NRTPORT</t>
  </si>
  <si>
    <t>MP10-6140</t>
  </si>
  <si>
    <t>PP001055;PF004550</t>
  </si>
  <si>
    <t>9/9/2024</t>
  </si>
  <si>
    <t>AMAZON,CSNSTORES,DESINC,MACY02,NRTPORT,TGTDVS</t>
  </si>
  <si>
    <t>6/23/2019</t>
  </si>
  <si>
    <t>10/15/2019</t>
  </si>
  <si>
    <t>MP10-6141</t>
  </si>
  <si>
    <t>AMAZON,CSNSTORES,KOHLDSN,MACY02,NRTPORT,TGTDVS</t>
  </si>
  <si>
    <t>9/10/2019</t>
  </si>
  <si>
    <t>MP10-8243</t>
  </si>
  <si>
    <t>PF006015;PP001885</t>
  </si>
  <si>
    <t>7/5/2023</t>
  </si>
  <si>
    <t>AMAZON,CSNSTORES,JCPENNEY01,KOHLDSN,MACY02,NRTPORT,OLLIIX,TGTDVS</t>
  </si>
  <si>
    <t>6/3/2024</t>
  </si>
  <si>
    <t>MP10-8244</t>
  </si>
  <si>
    <t>AMAZON,CSNSTORES,MACY02,NRTPORT,TGTDVS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</si>
  <si>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</si>
  <si>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</si>
  <si>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</si>
  <si>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</si>
  <si>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</si>
  <si>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</si>
  <si>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</si>
  <si>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Casual|Lodge/Cabin</t>
  </si>
  <si>
    <t>AMAZON,BLK01,CSNSTORES,JCPENNEY01,KOHLDSN,MACY02,OVERSTOCK01</t>
  </si>
  <si>
    <t>8/29/2022</t>
  </si>
  <si>
    <t>MP10-7715</t>
  </si>
  <si>
    <t>AMAZON,AMAZONDS,CSNSTORES,JCPENNEY01,KOHLDSN,MACY02,TGTDVS</t>
  </si>
  <si>
    <t>MP10-8287</t>
  </si>
  <si>
    <t>Caralie</t>
  </si>
  <si>
    <t>Evian</t>
  </si>
  <si>
    <t>Tulia</t>
  </si>
  <si>
    <t>PP001862;PF006062</t>
  </si>
  <si>
    <t>3/6/2024</t>
  </si>
  <si>
    <t>MP10-8288</t>
  </si>
  <si>
    <t>BLK01,CSNSTORES,JCPENNEY01,NRTPORT,OLLIIX</t>
  </si>
  <si>
    <t>2/1/2024</t>
  </si>
  <si>
    <t>MP10-8203</t>
  </si>
  <si>
    <t>PP001862;PF005960</t>
  </si>
  <si>
    <t>5/11/2023</t>
  </si>
  <si>
    <t>AMAZONDS,CSNSTORES,JCPENNEY01,MACY02,OLLIIX,TGTDVS</t>
  </si>
  <si>
    <t>MP10-8204</t>
  </si>
  <si>
    <t>AMAZON,NRTPORT</t>
  </si>
  <si>
    <t>3/18/2024</t>
  </si>
  <si>
    <t>MP10-7873</t>
  </si>
  <si>
    <t>Allegany</t>
  </si>
  <si>
    <t>Levi</t>
  </si>
  <si>
    <t>Roman</t>
  </si>
  <si>
    <t>5 Piece Jacquard Comforter Set</t>
  </si>
  <si>
    <t>PP001752;PF005690</t>
  </si>
  <si>
    <t>Farm House|Modern/Contemporary</t>
  </si>
  <si>
    <t>6/21/2022</t>
  </si>
  <si>
    <t>AMAZONDS,CSNSTORES,JCPENNEY01,TGTDVS</t>
  </si>
  <si>
    <t>4/6/2023</t>
  </si>
  <si>
    <t>MP10-7874</t>
  </si>
  <si>
    <t>12/12/2023</t>
  </si>
  <si>
    <t>MP10-8377</t>
  </si>
  <si>
    <t>Amelia</t>
  </si>
  <si>
    <t>Willow</t>
  </si>
  <si>
    <t>Clara</t>
  </si>
  <si>
    <t>5 Piece Textured Jacquard Stripe Comforter Set with Throw Pillows</t>
  </si>
  <si>
    <t>TBD</t>
  </si>
  <si>
    <t>PP001932;PF006164</t>
  </si>
  <si>
    <t>Polyester</t>
  </si>
  <si>
    <t>4/9/2024</t>
  </si>
  <si>
    <t>JCPENNEY01,KOHLDSN,OVERSTOCK01</t>
  </si>
  <si>
    <t>6/8/2024</t>
  </si>
  <si>
    <t>MP10-8378</t>
  </si>
  <si>
    <t>JCPENNEY01,KOHLDSN,NRTPORT,OVERSTOCK01,TGTDVS</t>
  </si>
  <si>
    <t>MP10-8128</t>
  </si>
  <si>
    <t>Andes</t>
  </si>
  <si>
    <t>Lennox</t>
  </si>
  <si>
    <t>Dallas</t>
  </si>
  <si>
    <t>5 Piece Corduroy Comforter Set</t>
  </si>
  <si>
    <t>PP001830;PF005875</t>
  </si>
  <si>
    <t>11/28/2022</t>
  </si>
  <si>
    <t>3/12/2023</t>
  </si>
  <si>
    <t>MP10-8129</t>
  </si>
  <si>
    <t>AMAZON,ASHFURNDS,JCPENNEY01,OLLIIX,TGTDVS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</si>
  <si>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</si>
  <si>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</si>
  <si>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</si>
  <si>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</si>
  <si>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</si>
  <si>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</si>
  <si>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</si>
  <si>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</si>
  <si>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AMAZON,MACY02,OVERSTOCK01,TGTDVS</t>
  </si>
  <si>
    <t>8/16/2019</t>
  </si>
  <si>
    <t>MP10-6033</t>
  </si>
  <si>
    <t>5/16/2019</t>
  </si>
  <si>
    <t>MP10-6034</t>
  </si>
  <si>
    <t>AMAZON,JCPENNEY01,MACY02</t>
  </si>
  <si>
    <t>7/17/2019</t>
  </si>
  <si>
    <t>MP10-504</t>
  </si>
  <si>
    <t>Bayside</t>
  </si>
  <si>
    <t>Nantucket</t>
  </si>
  <si>
    <t>Rockaway</t>
  </si>
  <si>
    <t>PF003396;PP000384</t>
  </si>
  <si>
    <t>AMAZON,JCPENNEY01,OLLIIX</t>
  </si>
  <si>
    <t>MP10-505</t>
  </si>
  <si>
    <t>AMAZON,CSNSTORES,JCPENNEY01,MACY02,OVERSTOCK01,TGTDVS</t>
  </si>
  <si>
    <t>MP10-506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</si>
  <si>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</si>
  <si>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</si>
  <si>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</si>
  <si>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</si>
  <si>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</si>
  <si>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</si>
  <si>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</si>
  <si>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</si>
  <si>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</si>
  <si>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</si>
  <si>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AMAZON,JCPENNEY01,MACY02,OVERSTOCK01</t>
  </si>
  <si>
    <t>7/17/2022</t>
  </si>
  <si>
    <t>MP10-7383</t>
  </si>
  <si>
    <t>AMAZON,CSNSTORES,JCPENNEY01,KOHLDSN,OVERSTOCK01,TGTDVS</t>
  </si>
  <si>
    <t>6/30/2022</t>
  </si>
  <si>
    <t>MP10-7384</t>
  </si>
  <si>
    <t>AMAZON,FINGERHUTDS,MACY02</t>
  </si>
  <si>
    <t>8/1/2022</t>
  </si>
  <si>
    <t>MP10-8404</t>
  </si>
  <si>
    <t>Bella</t>
  </si>
  <si>
    <t>Florence</t>
  </si>
  <si>
    <t>6 Piece Jacquard Comforter Set with Throw Pillows</t>
  </si>
  <si>
    <t>PF006213;PP001949</t>
  </si>
  <si>
    <t>6/1/2024</t>
  </si>
  <si>
    <t>7/10/2024</t>
  </si>
  <si>
    <t>MP10-8405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</si>
  <si>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</si>
  <si>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</si>
  <si>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</si>
  <si>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</si>
  <si>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</si>
  <si>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</si>
  <si>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11/19/2023</t>
  </si>
  <si>
    <t>KIRKLANDDS,KOHLDSN,OLLIIX</t>
  </si>
  <si>
    <t>3/22/2024</t>
  </si>
  <si>
    <t>MP10-8292</t>
  </si>
  <si>
    <t>11/18/2023</t>
  </si>
  <si>
    <t>JCPENNEY01,KIRKLANDDS,TGTDVS</t>
  </si>
  <si>
    <t>4/24/2024</t>
  </si>
  <si>
    <t>MP10-4688</t>
  </si>
  <si>
    <t>Camelia</t>
  </si>
  <si>
    <t>Iris</t>
  </si>
  <si>
    <t>Lillian</t>
  </si>
  <si>
    <t>8 Piece Embroidered Comforter Set</t>
  </si>
  <si>
    <t>Transitional|Traditional</t>
  </si>
  <si>
    <t>8/5/2017</t>
  </si>
  <si>
    <t>10/4/2024</t>
  </si>
  <si>
    <t>4/11/2019</t>
  </si>
  <si>
    <t>MP10-4689</t>
  </si>
  <si>
    <t>AMAZON,CSNSTORES,KOHLDSN,MACY02,OVERSTOCK01</t>
  </si>
  <si>
    <t>1/24/2019</t>
  </si>
  <si>
    <t>MP10-4690</t>
  </si>
  <si>
    <t>MACY02</t>
  </si>
  <si>
    <t>9/17/2019</t>
  </si>
  <si>
    <t>MP10-5281</t>
  </si>
  <si>
    <t>Cape Cod</t>
  </si>
  <si>
    <t>Chatham</t>
  </si>
  <si>
    <t>Bedford</t>
  </si>
  <si>
    <t>PP000578;PF004079</t>
  </si>
  <si>
    <t>10/18/2017</t>
  </si>
  <si>
    <t>AMAZON,CSNSTORES,MACY02,OLLIIX,OVERSTOCK01,TGTDVS</t>
  </si>
  <si>
    <t>MP10-5282</t>
  </si>
  <si>
    <t>PF004079</t>
  </si>
  <si>
    <t>AMAZON,CSNSTORES,KOHLDSN,OLLIIX,OVERSTOCK01,TGTDVS</t>
  </si>
  <si>
    <t>10/18/2018</t>
  </si>
  <si>
    <t>MP10-5283</t>
  </si>
  <si>
    <t>MP10-2375</t>
  </si>
  <si>
    <t>Carlow</t>
  </si>
  <si>
    <t>Elena</t>
  </si>
  <si>
    <t>Carmela</t>
  </si>
  <si>
    <t>PF002747;PP000394</t>
  </si>
  <si>
    <t>3/13/2019</t>
  </si>
  <si>
    <t>MP10-8486</t>
  </si>
  <si>
    <t>Carolina</t>
  </si>
  <si>
    <t>Bianca</t>
  </si>
  <si>
    <t>Beverley</t>
  </si>
  <si>
    <t>7 Piece Stripe Comforter and Quilt Set</t>
  </si>
  <si>
    <t>NEW</t>
  </si>
  <si>
    <t>PP001987;PF006372</t>
  </si>
  <si>
    <t>9/15/2024</t>
  </si>
  <si>
    <t>Open</t>
  </si>
  <si>
    <t>MP10-8487</t>
  </si>
  <si>
    <t>MP10-8488</t>
  </si>
  <si>
    <t>MP10-8489</t>
  </si>
  <si>
    <t>MP10-7834</t>
  </si>
  <si>
    <t>Cassandra</t>
  </si>
  <si>
    <t>Gisele</t>
  </si>
  <si>
    <t>Maddy</t>
  </si>
  <si>
    <t>8 Piece Cotton Printed Comforter Set</t>
  </si>
  <si>
    <t>PP001093;PF005653</t>
  </si>
  <si>
    <t>4/4/2022</t>
  </si>
  <si>
    <t>AMAZONDS,CSNSTORES,JCPENNEY01,MACY02,TGTDVS</t>
  </si>
  <si>
    <t>4/20/2023</t>
  </si>
  <si>
    <t>MP10-7835</t>
  </si>
  <si>
    <t>9/27/2024</t>
  </si>
  <si>
    <t>JCPENNEY01,MACY02,OLLIIX</t>
  </si>
  <si>
    <t>9/1/2023</t>
  </si>
  <si>
    <t>MP10-7836</t>
  </si>
  <si>
    <t>AMAZONDS</t>
  </si>
  <si>
    <t>5/14/2023</t>
  </si>
  <si>
    <t>MP10-6164</t>
  </si>
  <si>
    <t>PF004581;PP001093</t>
  </si>
  <si>
    <t>5/1/2019</t>
  </si>
  <si>
    <t>AMAZON,BEALLSDS,CSNSTORES,HDDS,JCPENNEY01,KOHLDSN,MACY02,TGTDVS,WALMARTDS</t>
  </si>
  <si>
    <t>MP10-6165</t>
  </si>
  <si>
    <t>AMAZON,CSNSTORES,JCPENNEY01,MACY02,OVERSTOCK01,ROOMECOM</t>
  </si>
  <si>
    <t>10/24/2019</t>
  </si>
  <si>
    <t>11/5/2019</t>
  </si>
  <si>
    <t>MP10-6166</t>
  </si>
  <si>
    <t>MP10-8475</t>
  </si>
  <si>
    <t>Houston</t>
  </si>
  <si>
    <t>Caldwell</t>
  </si>
  <si>
    <t>7 Piece Micro Corduroy Comforter Set</t>
  </si>
  <si>
    <t>PP001978;PF006312</t>
  </si>
  <si>
    <t>9/4/2024</t>
  </si>
  <si>
    <t>MP10-8476</t>
  </si>
  <si>
    <t>MP10-8477</t>
  </si>
  <si>
    <t>MP10-8472</t>
  </si>
  <si>
    <t>PP001978;PF006313</t>
  </si>
  <si>
    <t>8/21/2024</t>
  </si>
  <si>
    <t>MP10-8473</t>
  </si>
  <si>
    <t>MP10-8474</t>
  </si>
  <si>
    <t>MP10-313</t>
  </si>
  <si>
    <t>PF002449</t>
  </si>
  <si>
    <t>AMAZON,ASHFURNDS,CSNSTORES,DESINC,KOHLDSN,MACY02,OVERSTOCK01</t>
  </si>
  <si>
    <t>MP10-314</t>
  </si>
  <si>
    <t>AMAZON,CSNSTORES,JCPENNEY01,NRTPORT,OLLIIX,OVERSTOCK01</t>
  </si>
  <si>
    <t>1/10/2019</t>
  </si>
  <si>
    <t>MP10-315</t>
  </si>
  <si>
    <t>AMAZON,ASHFURNDS,CSNSTORES,JCPENNEY01,KOHLDSN</t>
  </si>
  <si>
    <t>MP10-7667</t>
  </si>
  <si>
    <t>Dax</t>
  </si>
  <si>
    <t>Noah</t>
  </si>
  <si>
    <t>PP001669;PF005556</t>
  </si>
  <si>
    <t>9/7/2021</t>
  </si>
  <si>
    <t>7/19/2022</t>
  </si>
  <si>
    <t>MP10-7668</t>
  </si>
  <si>
    <t>ASHFURNDS,CSNSTORES,KOHLDSN,OVERSTOCK01,TGTDVS</t>
  </si>
  <si>
    <t>MP10-7669</t>
  </si>
  <si>
    <t>CSNSTORES,KOHLDSN,OVERSTOCK01,ZOLA</t>
  </si>
  <si>
    <t>10/5/2022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</si>
  <si>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</si>
  <si>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</si>
  <si>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</si>
  <si>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</si>
  <si>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</si>
  <si>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</si>
  <si>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</si>
  <si>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4/7/2023</t>
  </si>
  <si>
    <t>MP10-8161</t>
  </si>
  <si>
    <t>3/15/2024</t>
  </si>
  <si>
    <t>MP10-190</t>
  </si>
  <si>
    <t>Dune</t>
  </si>
  <si>
    <t>Meyers</t>
  </si>
  <si>
    <t>Connell</t>
  </si>
  <si>
    <t>Beige</t>
  </si>
  <si>
    <t>PF001364;PP000413</t>
  </si>
  <si>
    <t>MP10-069</t>
  </si>
  <si>
    <t>MP10-070</t>
  </si>
  <si>
    <t>MP10-071</t>
  </si>
  <si>
    <t>11/19/2018</t>
  </si>
  <si>
    <t>MP10-1338</t>
  </si>
  <si>
    <t>PP000413</t>
  </si>
  <si>
    <t>MP10-146</t>
  </si>
  <si>
    <t>MP10-147</t>
  </si>
  <si>
    <t>8/31/2018</t>
  </si>
  <si>
    <t>MP10-148</t>
  </si>
  <si>
    <t>AMAZON,AMAZONDS,ASHFURNDS,JCPENNEY01,MACY02</t>
  </si>
  <si>
    <t>MP10-5810</t>
  </si>
  <si>
    <t>Enza</t>
  </si>
  <si>
    <t>Adella</t>
  </si>
  <si>
    <t>Slade</t>
  </si>
  <si>
    <t>PF004252;PP000878</t>
  </si>
  <si>
    <t>5/3/2018</t>
  </si>
  <si>
    <t>CSNSTORES,OVERSTOCK01,TGTDVS</t>
  </si>
  <si>
    <t>6/10/2019</t>
  </si>
  <si>
    <t>MP10-8466</t>
  </si>
  <si>
    <t>Fraser</t>
  </si>
  <si>
    <t>Joshua</t>
  </si>
  <si>
    <t>5 Piece Printed Seersucker Comforter Set with Throw Pillows</t>
  </si>
  <si>
    <t>Ivory/Black</t>
  </si>
  <si>
    <t>PP001818;PF006291</t>
  </si>
  <si>
    <t>Southwest</t>
  </si>
  <si>
    <t>5/18/2024</t>
  </si>
  <si>
    <t>MP10-8467</t>
  </si>
  <si>
    <t>MP10-8267</t>
  </si>
  <si>
    <t>Taupe/Blue</t>
  </si>
  <si>
    <t>PP001818;PF005849</t>
  </si>
  <si>
    <t>7/25/2023</t>
  </si>
  <si>
    <t>AMAZON,CSNSTORES,JCPENNEY01,KOHLDSN,OLLIIX,TGTDVS</t>
  </si>
  <si>
    <t>MP10-8268</t>
  </si>
  <si>
    <t>8/13/2024</t>
  </si>
  <si>
    <t>CSNSTORES,DESINC,KOHLDSN,OLLIIX</t>
  </si>
  <si>
    <t>2/22/2024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</si>
  <si>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</si>
  <si>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</si>
  <si>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</si>
  <si>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</si>
  <si>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</si>
  <si>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</si>
  <si>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</si>
  <si>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4</t>
  </si>
  <si>
    <t>11/14/2023</t>
  </si>
  <si>
    <t>AMAZON,CSNSTORES,JCPENNEY01,OLLIIX,TGTDVS</t>
  </si>
  <si>
    <t>6/24/2024</t>
  </si>
  <si>
    <t>MP10-8284</t>
  </si>
  <si>
    <t>5/23/2024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</si>
  <si>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</si>
  <si>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</si>
  <si>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</si>
  <si>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</si>
  <si>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</si>
  <si>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</si>
  <si>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</si>
  <si>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9/28/2024</t>
  </si>
  <si>
    <t>AMAZON,KOHLDSN,OVERSTOCK01,TGTDVS</t>
  </si>
  <si>
    <t>1/31/2024</t>
  </si>
  <si>
    <t>MP10-8338</t>
  </si>
  <si>
    <t>2/26/2024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</si>
  <si>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</si>
  <si>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</si>
  <si>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</si>
  <si>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</si>
  <si>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</si>
  <si>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</si>
  <si>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Modern/Contemporary|Shabby Chic</t>
  </si>
  <si>
    <t>4/26/2018</t>
  </si>
  <si>
    <t>AMAZON,CSNSTORES,JCPENNEY01,OVERSTOCK01,TGTDVS</t>
  </si>
  <si>
    <t>MP10-5804</t>
  </si>
  <si>
    <t>10/16/2024</t>
  </si>
  <si>
    <t>AMAZON,AMERSIGNDS,CSNSTORES,JCPENNEY01,KOHLDSN,OVERSTOCK01</t>
  </si>
  <si>
    <t>MP10-5805</t>
  </si>
  <si>
    <t>JCPENNEY01,KOHLDSN</t>
  </si>
  <si>
    <t>4/1/2019</t>
  </si>
  <si>
    <t>MP10-8155</t>
  </si>
  <si>
    <t>PP000879;PF005889</t>
  </si>
  <si>
    <t>12/8/2022</t>
  </si>
  <si>
    <t>AMAZONDS,KOHLDSN,OVERSTOCK01,TGTDVS</t>
  </si>
  <si>
    <t>9/13/2023</t>
  </si>
  <si>
    <t>MP10-8156</t>
  </si>
  <si>
    <t>AMAZONDS,JCPENNEY01,KOHLDSN,OVERSTOCK01</t>
  </si>
  <si>
    <t>MP10-8157</t>
  </si>
  <si>
    <t>7/7/2023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</si>
  <si>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</si>
  <si>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</si>
  <si>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</si>
  <si>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</si>
  <si>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</si>
  <si>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</si>
  <si>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</si>
  <si>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3</t>
  </si>
  <si>
    <t>MP10-8491</t>
  </si>
  <si>
    <t>MP10-8207</t>
  </si>
  <si>
    <t>Jules</t>
  </si>
  <si>
    <t>Alaina</t>
  </si>
  <si>
    <t>Everly</t>
  </si>
  <si>
    <t>5 Piece Cotton Floral Comforter Set with Throw Pillows</t>
  </si>
  <si>
    <t>Teal</t>
  </si>
  <si>
    <t>PP001865;PF005964</t>
  </si>
  <si>
    <t>5/9/2023</t>
  </si>
  <si>
    <t>1/14/2024</t>
  </si>
  <si>
    <t>MP10-8208</t>
  </si>
  <si>
    <t>5/30/2024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</si>
  <si>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</si>
  <si>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</si>
  <si>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</si>
  <si>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</si>
  <si>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</si>
  <si>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</si>
  <si>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</si>
  <si>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MP10-459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</si>
  <si>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</si>
  <si>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</si>
  <si>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</si>
  <si>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</si>
  <si>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</si>
  <si>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</si>
  <si>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AMAZON,AMAZONDS,CSNSTORES,KOHLDSN,OVERSTOCK01,TGTDVS</t>
  </si>
  <si>
    <t>MP10-8344</t>
  </si>
  <si>
    <t>2/19/2024</t>
  </si>
  <si>
    <t>MP10-8345</t>
  </si>
  <si>
    <t>1/13/2024</t>
  </si>
  <si>
    <t>AMAZON,AMAZONDS,KOHLDSN,OVERSTOCK01</t>
  </si>
  <si>
    <t>6/12/2024</t>
  </si>
  <si>
    <t>MP10-8346</t>
  </si>
  <si>
    <t>PP001915;PF006121</t>
  </si>
  <si>
    <t>AMAZON,AMAZONDS,JCPENNEY01,KIRKLANDDS,KOHLDSN,OVERSTOCK01</t>
  </si>
  <si>
    <t>MP10-8347</t>
  </si>
  <si>
    <t>CSNSTORES,JCPENNEY01,KIRKLANDDS,NRTPORT,OVERSTOCK01</t>
  </si>
  <si>
    <t>1/15/2024</t>
  </si>
  <si>
    <t>2/12/2024</t>
  </si>
  <si>
    <t>MP10-8348</t>
  </si>
  <si>
    <t>JCPENNEY01,OVERSTOCK01</t>
  </si>
  <si>
    <t>MP10-8165</t>
  </si>
  <si>
    <t>Langley</t>
  </si>
  <si>
    <t>Cove</t>
  </si>
  <si>
    <t xml:space="preserve">5 Piece Clipped Jacquard  Comforter Set</t>
  </si>
  <si>
    <t>Neutral</t>
  </si>
  <si>
    <t>PP001838;PF005893</t>
  </si>
  <si>
    <t>12/21/2022</t>
  </si>
  <si>
    <t>7/4/2023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</si>
  <si>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</si>
  <si>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</si>
  <si>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</si>
  <si>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</si>
  <si>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</si>
  <si>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</si>
  <si>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</si>
  <si>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1/19/2024</t>
  </si>
  <si>
    <t>MP10-8354</t>
  </si>
  <si>
    <t>1/20/2024</t>
  </si>
  <si>
    <t>1/22/2024</t>
  </si>
  <si>
    <t>5/14/2024</t>
  </si>
  <si>
    <t>MP10-8351</t>
  </si>
  <si>
    <t>Silver</t>
  </si>
  <si>
    <t>PP001914;PF006118</t>
  </si>
  <si>
    <t>6/13/2024</t>
  </si>
  <si>
    <t>MP10-8352</t>
  </si>
  <si>
    <t>MP10-8349</t>
  </si>
  <si>
    <t>PP001914;PF006117</t>
  </si>
  <si>
    <t>MP10-8350</t>
  </si>
  <si>
    <t>AMAZON,KOHLDSN,NRTPORT,OVERSTOCK01,TGTDVS</t>
  </si>
  <si>
    <t>MP10-8406</t>
  </si>
  <si>
    <t>Lily</t>
  </si>
  <si>
    <t>Annette</t>
  </si>
  <si>
    <t>Eloise</t>
  </si>
  <si>
    <t>PF006215;PP001951</t>
  </si>
  <si>
    <t>MP10-8407</t>
  </si>
  <si>
    <t>MP10-8408</t>
  </si>
  <si>
    <t>PP001951;PF006216</t>
  </si>
  <si>
    <t>MP10-8409</t>
  </si>
  <si>
    <t>MP10-8433</t>
  </si>
  <si>
    <t>Lori</t>
  </si>
  <si>
    <t>Tessa</t>
  </si>
  <si>
    <t>Black/Silver</t>
  </si>
  <si>
    <t>PP001956;PF006231</t>
  </si>
  <si>
    <t>6/7/2024</t>
  </si>
  <si>
    <t>8/12/2024</t>
  </si>
  <si>
    <t>MP10-8434</t>
  </si>
  <si>
    <t>MP10-8435</t>
  </si>
  <si>
    <t>Teal/Silver</t>
  </si>
  <si>
    <t>PP001956;PF006232</t>
  </si>
  <si>
    <t>MP10-8436</t>
  </si>
  <si>
    <t>MP10-5267</t>
  </si>
  <si>
    <t>Lucinda</t>
  </si>
  <si>
    <t>Joanna</t>
  </si>
  <si>
    <t>Leslie</t>
  </si>
  <si>
    <t>7 Piece Reversible Cotton Sateen Comforter Set</t>
  </si>
  <si>
    <t>PF004037;PP000574</t>
  </si>
  <si>
    <t>MP10-5268</t>
  </si>
  <si>
    <t>MP10-5269</t>
  </si>
  <si>
    <t>MP10-3660</t>
  </si>
  <si>
    <t>Lucy</t>
  </si>
  <si>
    <t>Georgia</t>
  </si>
  <si>
    <t>Rose</t>
  </si>
  <si>
    <t>9 Piece Cotton Twill Reversible Comforter Set</t>
  </si>
  <si>
    <t>PF002610</t>
  </si>
  <si>
    <t>MP10-3661</t>
  </si>
  <si>
    <t>5/19/2017</t>
  </si>
  <si>
    <t>AMAZON,CSNSTORES,JCPENNEY01,OLLIIX,OVERSTOCK01,TGTDVS</t>
  </si>
  <si>
    <t>MP10-3662</t>
  </si>
  <si>
    <t>AMAZON,AMAZONDS,HOUZZ</t>
  </si>
  <si>
    <t>10/17/2018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</si>
  <si>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</si>
  <si>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</si>
  <si>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</si>
  <si>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</si>
  <si>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</si>
  <si>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</si>
  <si>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Cottage/Country|Transitional</t>
  </si>
  <si>
    <t>3/27/2019</t>
  </si>
  <si>
    <t>8/10/2024</t>
  </si>
  <si>
    <t>ASHFURNDS,CSNSTORES,JCPENNEY01,MACY02,OVERSTOCK01</t>
  </si>
  <si>
    <t>9/21/2019</t>
  </si>
  <si>
    <t>MP10-6184</t>
  </si>
  <si>
    <t>ASHFURNDS,FINGERHUTDS,KOHLDSN,MACY02,OLLIIX,OVERSTOCK01,TGTDVS</t>
  </si>
  <si>
    <t>9/12/2019</t>
  </si>
  <si>
    <t>5/19/2020</t>
  </si>
  <si>
    <t>MP10-525</t>
  </si>
  <si>
    <t>Malone</t>
  </si>
  <si>
    <t>Harley</t>
  </si>
  <si>
    <t>Beau</t>
  </si>
  <si>
    <t>PF003379</t>
  </si>
  <si>
    <t>Southwestern</t>
  </si>
  <si>
    <t>Lodge/Cabin|Casual</t>
  </si>
  <si>
    <t>JCPENNEY01,TGTDVS</t>
  </si>
  <si>
    <t>MP10-526</t>
  </si>
  <si>
    <t>MP10-527</t>
  </si>
  <si>
    <t>2/25/2019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</si>
  <si>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</si>
  <si>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</si>
  <si>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</si>
  <si>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</si>
  <si>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</si>
  <si>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</si>
  <si>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</si>
  <si>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MP10-8411</t>
  </si>
  <si>
    <t>MP10-7090</t>
  </si>
  <si>
    <t>Mariana</t>
  </si>
  <si>
    <t>Fiona</t>
  </si>
  <si>
    <t>Julia</t>
  </si>
  <si>
    <t>Multi</t>
  </si>
  <si>
    <t>PF005034</t>
  </si>
  <si>
    <t>2/25/2020</t>
  </si>
  <si>
    <t>MP10-7091</t>
  </si>
  <si>
    <t>MP10-7092</t>
  </si>
  <si>
    <t>FINGERHUTDS,MACY02</t>
  </si>
  <si>
    <t>8/31/2022</t>
  </si>
  <si>
    <t>MP10-7946</t>
  </si>
  <si>
    <t>Marina</t>
  </si>
  <si>
    <t>Anchorage</t>
  </si>
  <si>
    <t>Fairbanks</t>
  </si>
  <si>
    <t>PP001782;PF005731</t>
  </si>
  <si>
    <t>8/16/2022</t>
  </si>
  <si>
    <t>MP10-7947</t>
  </si>
  <si>
    <t>8/19/2022</t>
  </si>
  <si>
    <t>4/19/2023</t>
  </si>
  <si>
    <t>MP10-6155</t>
  </si>
  <si>
    <t>PF004567</t>
  </si>
  <si>
    <t>2/20/2019</t>
  </si>
  <si>
    <t>8/30/2024</t>
  </si>
  <si>
    <t>AMAZON,AMAZONDS,CSNSTORES,JCPENNEY01,KIRKLANDDS,KOHLDSN,MACY02,TGTDVS</t>
  </si>
  <si>
    <t>MP10-6156</t>
  </si>
  <si>
    <t>AMAZON,AMAZONDS,CSNSTORES,KOHLDSN,MACY02,TGTDVS</t>
  </si>
  <si>
    <t>MP10-7942</t>
  </si>
  <si>
    <t>PP001782;PF005730</t>
  </si>
  <si>
    <t>11/9/2023</t>
  </si>
  <si>
    <t>MP10-7943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</si>
  <si>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</si>
  <si>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</si>
  <si>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</si>
  <si>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</si>
  <si>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</si>
  <si>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</si>
  <si>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MP10-8465</t>
  </si>
  <si>
    <t>MP10-510</t>
  </si>
  <si>
    <t>Matilda</t>
  </si>
  <si>
    <t>Kira</t>
  </si>
  <si>
    <t>Blake</t>
  </si>
  <si>
    <t>PF003378</t>
  </si>
  <si>
    <t>AMAZON,CSNSTORES,DESINC,JCPENNEY01,TGTDVS</t>
  </si>
  <si>
    <t>MP10-511</t>
  </si>
  <si>
    <t>MP10-512</t>
  </si>
  <si>
    <t>KOHLDSN,TGTDVS,WALMARTDS</t>
  </si>
  <si>
    <t>MP10-1658</t>
  </si>
  <si>
    <t>Medina</t>
  </si>
  <si>
    <t>Barrett</t>
  </si>
  <si>
    <t>Ryland</t>
  </si>
  <si>
    <t>PF002737</t>
  </si>
  <si>
    <t>HSNDS,MACY02,OVERSTOCK01,TGTDVS</t>
  </si>
  <si>
    <t>MP10-1659</t>
  </si>
  <si>
    <t>CSNSTORES,JCPENNEY01,KOHLDSN,MACY02,OLLIIX,TGTDVS</t>
  </si>
  <si>
    <t>MP10-1660</t>
  </si>
  <si>
    <t>MP10-4887</t>
  </si>
  <si>
    <t>Mercia</t>
  </si>
  <si>
    <t>Delta</t>
  </si>
  <si>
    <t>Corynn</t>
  </si>
  <si>
    <t>Donation</t>
  </si>
  <si>
    <t>PF002675</t>
  </si>
  <si>
    <t>8/30/2017</t>
  </si>
  <si>
    <t>1/28/2019</t>
  </si>
  <si>
    <t>MP10-7829</t>
  </si>
  <si>
    <t>Midnight Garden</t>
  </si>
  <si>
    <t>Midnight Grove</t>
  </si>
  <si>
    <t>Midnight Sky</t>
  </si>
  <si>
    <t>7 Piece Metallic Print Comforter Set</t>
  </si>
  <si>
    <t>PP001729;PF005649</t>
  </si>
  <si>
    <t>2/11/2022</t>
  </si>
  <si>
    <t>4/24/2023</t>
  </si>
  <si>
    <t>MP10-8140</t>
  </si>
  <si>
    <t>Panache</t>
  </si>
  <si>
    <t>Vera</t>
  </si>
  <si>
    <t>Arabella</t>
  </si>
  <si>
    <t>8 Piece Embroidered Microfiber Comforter Set</t>
  </si>
  <si>
    <t>PP001836;PF005885</t>
  </si>
  <si>
    <t>12/1/2022</t>
  </si>
  <si>
    <t>CSNSTORES,OLLIIX</t>
  </si>
  <si>
    <t>5/7/2023</t>
  </si>
  <si>
    <t>MP10-8141</t>
  </si>
  <si>
    <t>4/21/2023</t>
  </si>
  <si>
    <t>MP10-8142</t>
  </si>
  <si>
    <t>12/9/2022</t>
  </si>
  <si>
    <t>11/28/2023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</si>
  <si>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</si>
  <si>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</si>
  <si>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</si>
  <si>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</si>
  <si>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</si>
  <si>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</si>
  <si>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</si>
  <si>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Novelty</t>
  </si>
  <si>
    <t>AMAZON,CSNSTORES,JCPENNEY01,KOHLDSN,MACY02,OLLIIX,OVERSTOCK01</t>
  </si>
  <si>
    <t>MP10-759</t>
  </si>
  <si>
    <t>AMAZON,CSNSTORES,MACY02,OLLIIX,OVERSTOCK01</t>
  </si>
  <si>
    <t>MP10-760</t>
  </si>
  <si>
    <t>PF002722;PP001842</t>
  </si>
  <si>
    <t>3/25/2019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</si>
  <si>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</si>
  <si>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</si>
  <si>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</si>
  <si>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</si>
  <si>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</si>
  <si>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</si>
  <si>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</si>
  <si>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1/24/2024</t>
  </si>
  <si>
    <t>MP10-8210</t>
  </si>
  <si>
    <t>7/28/2023</t>
  </si>
  <si>
    <t>3/4/2024</t>
  </si>
  <si>
    <t>MP10-3396</t>
  </si>
  <si>
    <t>Rhapsody</t>
  </si>
  <si>
    <t>Melody</t>
  </si>
  <si>
    <t>Harmony</t>
  </si>
  <si>
    <t>Grey/Taupe</t>
  </si>
  <si>
    <t>PF002618</t>
  </si>
  <si>
    <t>Modern/Contemporary|Glam/Luxury</t>
  </si>
  <si>
    <t>MP10-3397</t>
  </si>
  <si>
    <t>CSNSTORES,JCPENNEY01,NRTPORT,OVERSTOCK01,TGTDVS</t>
  </si>
  <si>
    <t>MP10-3398</t>
  </si>
  <si>
    <t>MP10-7420</t>
  </si>
  <si>
    <t>PP001573</t>
  </si>
  <si>
    <t>Glam/Luxury|Modern/Contemporary</t>
  </si>
  <si>
    <t>6/29/2021</t>
  </si>
  <si>
    <t>7/13/2022</t>
  </si>
  <si>
    <t>MP10-7421</t>
  </si>
  <si>
    <t>6/23/2021</t>
  </si>
  <si>
    <t>AMAZONDS,JCPENNEY01,OVERSTOCK01</t>
  </si>
  <si>
    <t>MP10-7422</t>
  </si>
  <si>
    <t>11/21/2022</t>
  </si>
  <si>
    <t>MP10-7327</t>
  </si>
  <si>
    <t>PF005291;PP001573</t>
  </si>
  <si>
    <t>1/28/2021</t>
  </si>
  <si>
    <t>10/7/2021</t>
  </si>
  <si>
    <t>MP10-7328</t>
  </si>
  <si>
    <t>AMAZON,NRTPORT,OVERSTOCK01</t>
  </si>
  <si>
    <t>10/18/2021</t>
  </si>
  <si>
    <t>MP10-7329</t>
  </si>
  <si>
    <t>9/14/2022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</si>
  <si>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</si>
  <si>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</si>
  <si>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</si>
  <si>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</si>
  <si>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</si>
  <si>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</si>
  <si>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</si>
  <si>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</si>
  <si>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JCPENNEY01,KOHLDSN,OVERSTOCK01,TGTDVS</t>
  </si>
  <si>
    <t>MP10-8372</t>
  </si>
  <si>
    <t>2/17/2024</t>
  </si>
  <si>
    <t>MP10-4676</t>
  </si>
  <si>
    <t>Ridge</t>
  </si>
  <si>
    <t>Pioneer</t>
  </si>
  <si>
    <t>7 Piece Herringbone Comforter Set</t>
  </si>
  <si>
    <t>9/6/2017</t>
  </si>
  <si>
    <t>AMAZON,CSNSTORES,HDDS,KIRKLANDDS</t>
  </si>
  <si>
    <t>MP10-4677</t>
  </si>
  <si>
    <t>MP10-4678</t>
  </si>
  <si>
    <t>MP10-7212</t>
  </si>
  <si>
    <t>PP001537;PF005192</t>
  </si>
  <si>
    <t>10/5/2020</t>
  </si>
  <si>
    <t>HDDS,MACY02,OVERSTOCK01,TGTDVS</t>
  </si>
  <si>
    <t>2/21/2022</t>
  </si>
  <si>
    <t>MP10-7213</t>
  </si>
  <si>
    <t>AMAZON,JCPENNEY01,KOHLDSN,TGTDVS</t>
  </si>
  <si>
    <t>10/29/2021</t>
  </si>
  <si>
    <t>MP10-7214</t>
  </si>
  <si>
    <t>MP10-4669</t>
  </si>
  <si>
    <t>9/1/2017</t>
  </si>
  <si>
    <t>7/2/2024</t>
  </si>
  <si>
    <t>MP10-4670</t>
  </si>
  <si>
    <t>AMAZON,HDDS</t>
  </si>
  <si>
    <t>MP10-4671</t>
  </si>
  <si>
    <t>MP10-3323</t>
  </si>
  <si>
    <t>Sabrina</t>
  </si>
  <si>
    <t>Sarah</t>
  </si>
  <si>
    <t>Amber</t>
  </si>
  <si>
    <t>4 Piece Tufted Chenille Comforter Set</t>
  </si>
  <si>
    <t>Off-White</t>
  </si>
  <si>
    <t>PF002604</t>
  </si>
  <si>
    <t>MP10-1099</t>
  </si>
  <si>
    <t>Serena</t>
  </si>
  <si>
    <t>Jasmine</t>
  </si>
  <si>
    <t>PF002716</t>
  </si>
  <si>
    <t>MP10-1100</t>
  </si>
  <si>
    <t>JCPENNEY01,MACY02,OVERSTOCK01,TGTDVS</t>
  </si>
  <si>
    <t>10/4/2018</t>
  </si>
  <si>
    <t>MP10-1101</t>
  </si>
  <si>
    <t>CSNSTORES,KOHLDSN,MACY02,TGTDVS</t>
  </si>
  <si>
    <t>MP10-3535</t>
  </si>
  <si>
    <t>Serendipity</t>
  </si>
  <si>
    <t>Desiree</t>
  </si>
  <si>
    <t>Cotton Percale Comforter Set</t>
  </si>
  <si>
    <t>Peach</t>
  </si>
  <si>
    <t>PF002628</t>
  </si>
  <si>
    <t>AMAZON,AMAZONDS,JCPENNEY01,OLLIIX,TGTDVS</t>
  </si>
  <si>
    <t>MP10-3536</t>
  </si>
  <si>
    <t>MP10-3537</t>
  </si>
  <si>
    <t>MP10-3538</t>
  </si>
  <si>
    <t>1/15/2019</t>
  </si>
  <si>
    <t>MP10-3539</t>
  </si>
  <si>
    <t>1/30/2019</t>
  </si>
  <si>
    <t>BB10-1111</t>
  </si>
  <si>
    <t>Sidney Blue</t>
  </si>
  <si>
    <t>Comforter Set</t>
  </si>
  <si>
    <t>Inactive</t>
  </si>
  <si>
    <t>Restricted</t>
  </si>
  <si>
    <t>MP10-8199</t>
  </si>
  <si>
    <t>Taylor</t>
  </si>
  <si>
    <t>Bryn</t>
  </si>
  <si>
    <t>River</t>
  </si>
  <si>
    <t>PP001860;PF005952</t>
  </si>
  <si>
    <t>5/12/2023</t>
  </si>
  <si>
    <t>CSNSTORES,JCPENNEY01,MACY02,OVERSTOCK01,TGTDVS</t>
  </si>
  <si>
    <t>1/16/2024</t>
  </si>
  <si>
    <t>MP10-8200</t>
  </si>
  <si>
    <t>CSNSTORES,HDDS,KIRKLANDDS,KOHLDSN,MACY02,OLLIIX,TGTDVS</t>
  </si>
  <si>
    <t>MP10-931</t>
  </si>
  <si>
    <t>Trinity</t>
  </si>
  <si>
    <t>Channing</t>
  </si>
  <si>
    <t>Vargas</t>
  </si>
  <si>
    <t>7 Piece Polyester Charmeuse Comforter Set</t>
  </si>
  <si>
    <t>PF002690</t>
  </si>
  <si>
    <t>CSNSTORES,MACY02,OLLIIX,OVERSTOCK01</t>
  </si>
  <si>
    <t>MP10-932</t>
  </si>
  <si>
    <t>MP10-933</t>
  </si>
  <si>
    <t>OLLIIX</t>
  </si>
  <si>
    <t>MP10-6290</t>
  </si>
  <si>
    <t>Walter</t>
  </si>
  <si>
    <t>Clayton</t>
  </si>
  <si>
    <t>Kelan</t>
  </si>
  <si>
    <t>7 Piece Printed Seersucker Comforter Set</t>
  </si>
  <si>
    <t>PP001162;PF004649</t>
  </si>
  <si>
    <t>Transitional|Farm House</t>
  </si>
  <si>
    <t>5/19/2019</t>
  </si>
  <si>
    <t>12/27/2021</t>
  </si>
  <si>
    <t>MP10-6291</t>
  </si>
  <si>
    <t>CSNSTORES,KIRKLANDDS,MACY02,OLLIIX</t>
  </si>
  <si>
    <t>12/29/2021</t>
  </si>
  <si>
    <t>MP10-6292</t>
  </si>
  <si>
    <t>CSNSTORES,TGTDVS</t>
  </si>
  <si>
    <t>1/18/2022</t>
  </si>
  <si>
    <t>MP10-7129</t>
  </si>
  <si>
    <t>PP001162;PF005048</t>
  </si>
  <si>
    <t>2/5/2020</t>
  </si>
  <si>
    <t>ASHFURNDS,CSNSTORES,HDDS,OLLIIX,OVERSTOCK01</t>
  </si>
  <si>
    <t>12/14/2021</t>
  </si>
  <si>
    <t>MP10-7130</t>
  </si>
  <si>
    <t>AMAZON,ASHFURNDS,CSNSTORES,HDDS,JCPENNEY01,TGTDVS</t>
  </si>
  <si>
    <t>12/28/2021</t>
  </si>
  <si>
    <t>MP10-7131</t>
  </si>
  <si>
    <t>1/20/2022</t>
  </si>
  <si>
    <t>MP10-7085</t>
  </si>
  <si>
    <t>PP001162;PF005033</t>
  </si>
  <si>
    <t>1/15/2020</t>
  </si>
  <si>
    <t>CSNSTORES,JCPENNEY01,NRTPORT,OVERSTOCK01</t>
  </si>
  <si>
    <t>MP10-7086</t>
  </si>
  <si>
    <t>AMAZON,BIGLOTSDS,CSNSTORES,TGTDVS</t>
  </si>
  <si>
    <t>1/3/2022</t>
  </si>
  <si>
    <t>MP10-7087</t>
  </si>
  <si>
    <t>9/10/2021</t>
  </si>
  <si>
    <t>4/1/2022</t>
  </si>
  <si>
    <t>MP10-7839</t>
  </si>
  <si>
    <t>Whitney</t>
  </si>
  <si>
    <t>Elaine</t>
  </si>
  <si>
    <t>Martha</t>
  </si>
  <si>
    <t>PP001732;PF005655</t>
  </si>
  <si>
    <t>3/24/2022</t>
  </si>
  <si>
    <t>CSNSTORES,JCPENNEY01,KOHLDSN,OLLIIX,OVERSTOCK01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</si>
  <si>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</si>
  <si>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</si>
  <si>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</si>
  <si>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</si>
  <si>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</si>
  <si>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</si>
  <si>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5/7/2019</t>
  </si>
  <si>
    <t>AMAZONDS,CSNSTORES,HSNDS,JCPENNEY01,KIRKLANDDS,KOHLDSN,MACY02,OVERSTOCK01,TGTDVS</t>
  </si>
  <si>
    <t>10/21/2021</t>
  </si>
  <si>
    <t>MP10-6304</t>
  </si>
  <si>
    <t>AMAZONDS,JCPENNEY01,KOHLDSN,MACY02,OLLIIX,TGTDVS</t>
  </si>
  <si>
    <t>11/3/2021</t>
  </si>
  <si>
    <t>MP10-8402</t>
  </si>
  <si>
    <t>Taupe/Blush</t>
  </si>
  <si>
    <t>PP001168;PF006212</t>
  </si>
  <si>
    <t>3/16/2024</t>
  </si>
  <si>
    <t>MP10-8403</t>
  </si>
  <si>
    <t>AMAZON,AMAZONDS,OVERSTOCK01</t>
  </si>
  <si>
    <t>MP10-2579</t>
  </si>
  <si>
    <t>BIAB</t>
  </si>
  <si>
    <t>Aubrey</t>
  </si>
  <si>
    <t>Whitman</t>
  </si>
  <si>
    <t>Charlotte</t>
  </si>
  <si>
    <t>12 Piece Comforter Set with Cotton Bed Sheets</t>
  </si>
  <si>
    <t>PF003388;PP000381</t>
  </si>
  <si>
    <t>12</t>
  </si>
  <si>
    <t>MP10-333</t>
  </si>
  <si>
    <t>8/9/2018</t>
  </si>
  <si>
    <t>MP10-334</t>
  </si>
  <si>
    <t>AMAZON,BLK01,CSNSTORES,KOHLDSN,OLLIIX</t>
  </si>
  <si>
    <t>8/10/2018</t>
  </si>
  <si>
    <t>MP10-335</t>
  </si>
  <si>
    <t>MP10-657</t>
  </si>
  <si>
    <t>Blue/Brown</t>
  </si>
  <si>
    <t>PF003389;PP000381</t>
  </si>
  <si>
    <t>4/8/2019</t>
  </si>
  <si>
    <t>MP10-115</t>
  </si>
  <si>
    <t>8/8/2024</t>
  </si>
  <si>
    <t>AMAZON,CSNSTORES,KOHLDSN</t>
  </si>
  <si>
    <t>10/27/2022</t>
  </si>
  <si>
    <t>MP10-116</t>
  </si>
  <si>
    <t>AMAZON,BLK01,DESINC,MACY02</t>
  </si>
  <si>
    <t>10/26/2022</t>
  </si>
  <si>
    <t>MP10-117</t>
  </si>
  <si>
    <t>MP10-8311</t>
  </si>
  <si>
    <t>PP001909;PF006091</t>
  </si>
  <si>
    <t>MP10-8312</t>
  </si>
  <si>
    <t>AMAZON,BLK01,CSNSTORES,KOHLDSN,OVERSTOCK01,TGTDVS</t>
  </si>
  <si>
    <t>MP10-8313</t>
  </si>
  <si>
    <t>AMAZON,AMAZONDS</t>
  </si>
  <si>
    <t>4/10/2024</t>
  </si>
  <si>
    <t>MP10-4695</t>
  </si>
  <si>
    <t>PF003394</t>
  </si>
  <si>
    <t>MP10-4696</t>
  </si>
  <si>
    <t>AMAZON,AMAZONDS,BLK01,CSNSTORES,HOUZZ,KOHLDSN</t>
  </si>
  <si>
    <t>8/21/2018</t>
  </si>
  <si>
    <t>MP10-4697</t>
  </si>
  <si>
    <t>MP10-319</t>
  </si>
  <si>
    <t>PF003393;PP000381</t>
  </si>
  <si>
    <t>AMAZON,CSNSTORES,FINGERHUTDS,KOHLDSN,OLLIIX,TGTDVS</t>
  </si>
  <si>
    <t>MP10-320</t>
  </si>
  <si>
    <t>AMAZON,AMAZONDS,CSNSTORES,FINGERHUTDS,JCPENNEY01,KOHLDSN,MACY02</t>
  </si>
  <si>
    <t>MP10-321</t>
  </si>
  <si>
    <t>AMAZON,DESINC,JCPENNEY01,KOHLDSN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</si>
  <si>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</si>
  <si>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</si>
  <si>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</si>
  <si>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</si>
  <si>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</si>
  <si>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</si>
  <si>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</si>
  <si>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AMAZON,AMAZONDS,BLK01,CSNSTORES,JCPENNEY01,MACY02,OVERSTOCK01,TGTDVS</t>
  </si>
  <si>
    <t>11/15/2021</t>
  </si>
  <si>
    <t>MP10-7205</t>
  </si>
  <si>
    <t>BLK01,CSNSTORES,MACY02,OLLIIX,OVERSTOCK01</t>
  </si>
  <si>
    <t>11/4/2021</t>
  </si>
  <si>
    <t>MP10-7206</t>
  </si>
  <si>
    <t>8/10/2020</t>
  </si>
  <si>
    <t>AMAZON,DESINC,MACY02,OLLIIX,OVERSTOCK01</t>
  </si>
  <si>
    <t>6/25/2022</t>
  </si>
  <si>
    <t>7/4/2022</t>
  </si>
  <si>
    <t>MP10-8437</t>
  </si>
  <si>
    <t>PP001528;PF006230</t>
  </si>
  <si>
    <t>5/31/2024</t>
  </si>
  <si>
    <t>7/1/2024</t>
  </si>
  <si>
    <t>MP10-8438</t>
  </si>
  <si>
    <t>MP10-8439</t>
  </si>
  <si>
    <t>MP10-1665</t>
  </si>
  <si>
    <t>Lavine</t>
  </si>
  <si>
    <t>Anouk</t>
  </si>
  <si>
    <t>Octavia</t>
  </si>
  <si>
    <t>PF002739;PP000441</t>
  </si>
  <si>
    <t>MP10-1666</t>
  </si>
  <si>
    <t>MP10-1667</t>
  </si>
  <si>
    <t>MP10-7950</t>
  </si>
  <si>
    <t>Gold</t>
  </si>
  <si>
    <t>PP000441;PF005734</t>
  </si>
  <si>
    <t>Traditional|Transitional</t>
  </si>
  <si>
    <t>MP10-7951</t>
  </si>
  <si>
    <t>MP10-4044</t>
  </si>
  <si>
    <t>PF002740</t>
  </si>
  <si>
    <t>MP10-4045</t>
  </si>
  <si>
    <t>MP10-4046</t>
  </si>
  <si>
    <t>4/22/2020</t>
  </si>
  <si>
    <t>MP10-5624</t>
  </si>
  <si>
    <t>Comforter Mini Set</t>
  </si>
  <si>
    <t>Finley</t>
  </si>
  <si>
    <t>Rianon</t>
  </si>
  <si>
    <t>Lucina</t>
  </si>
  <si>
    <t>3 Piece Cotton Waffle Weave Comforter set</t>
  </si>
  <si>
    <t>PP000854;PF004193</t>
  </si>
  <si>
    <t>4/24/2018</t>
  </si>
  <si>
    <t>6/11/2019</t>
  </si>
  <si>
    <t>MP10-5625</t>
  </si>
  <si>
    <t>BLK01,CSNSTORES,JCPENNEY01,OLLIIX</t>
  </si>
  <si>
    <t>6/14/2019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</si>
  <si>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</si>
  <si>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</si>
  <si>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</si>
  <si>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</si>
  <si>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</si>
  <si>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</si>
  <si>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</si>
  <si>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5/20/2019</t>
  </si>
  <si>
    <t>MP10-5988</t>
  </si>
  <si>
    <t>AMAZON,ASHFURNDS,BLK01,CSNSTORES,OLLIIX,OVERSTOCK01,TGTDVS</t>
  </si>
  <si>
    <t>MP10-7355</t>
  </si>
  <si>
    <t>Margot</t>
  </si>
  <si>
    <t>Luna</t>
  </si>
  <si>
    <t>3 Piece Cotton Comforter Set</t>
  </si>
  <si>
    <t>PP001599;PF005369</t>
  </si>
  <si>
    <t>5/27/2021</t>
  </si>
  <si>
    <t>BLK01,CSNSTORES,JCPENNEY01,KOHLDSN,ZOLA</t>
  </si>
  <si>
    <t>9/6/2022</t>
  </si>
  <si>
    <t>MP10-7356</t>
  </si>
  <si>
    <t>AMAZON,CSNSTORES,KOHLDSN,MACY02,TGTDVS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</si>
  <si>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</si>
  <si>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</si>
  <si>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</si>
  <si>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</si>
  <si>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</si>
  <si>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</si>
  <si>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</si>
  <si>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CSNSTORES,KOHLDSN,MACY02,OVERSTOCK01</t>
  </si>
  <si>
    <t>10/9/2019</t>
  </si>
  <si>
    <t>MP10-6160</t>
  </si>
  <si>
    <t>BLK01,KIRKLANDDS,MACY02,TGTDVS</t>
  </si>
  <si>
    <t>9/23/2019</t>
  </si>
  <si>
    <t>11/1/2019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</si>
  <si>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</si>
  <si>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</si>
  <si>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</si>
  <si>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</si>
  <si>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</si>
  <si>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</si>
  <si>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8/11/2024</t>
  </si>
  <si>
    <t>AMAZON,CSNSTORES,HOUZZ,TGTDVS</t>
  </si>
  <si>
    <t>2/16/2022</t>
  </si>
  <si>
    <t>MP10-6222</t>
  </si>
  <si>
    <t>AMAZON,OLLIIX,OVERSTOCK01,TGTDVS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</si>
  <si>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</si>
  <si>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</si>
  <si>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</si>
  <si>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</si>
  <si>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</si>
  <si>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</si>
  <si>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</si>
  <si>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MP10-8368</t>
  </si>
  <si>
    <t>1/23/2024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</si>
  <si>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</si>
  <si>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</si>
  <si>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</si>
  <si>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</si>
  <si>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</si>
  <si>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</si>
  <si>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</si>
  <si>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</si>
  <si>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</si>
  <si>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AMAZON,DESINC,KOHLDSN</t>
  </si>
  <si>
    <t>4/12/2024</t>
  </si>
  <si>
    <t>MP10-8356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</si>
  <si>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</si>
  <si>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</si>
  <si>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</si>
  <si>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</si>
  <si>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</si>
  <si>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</si>
  <si>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</si>
  <si>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10/20/2024</t>
  </si>
  <si>
    <t>MP10-8398</t>
  </si>
  <si>
    <t>OVERSTOCK01</t>
  </si>
  <si>
    <t>MP10-8395</t>
  </si>
  <si>
    <t>PP001947;PF006205</t>
  </si>
  <si>
    <t>MP10-8396</t>
  </si>
  <si>
    <t>NRTPORT,TGTDVS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</si>
  <si>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</si>
  <si>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</si>
  <si>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</si>
  <si>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</si>
  <si>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</si>
  <si>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</si>
  <si>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</si>
  <si>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JCPENNEY01,KIRKLANDDS</t>
  </si>
  <si>
    <t>MP10-8304</t>
  </si>
  <si>
    <t>10/27/2023</t>
  </si>
  <si>
    <t>5/13/2024</t>
  </si>
  <si>
    <t>MP10-5877</t>
  </si>
  <si>
    <t>Laetitia</t>
  </si>
  <si>
    <t>Virginia</t>
  </si>
  <si>
    <t>Cecily</t>
  </si>
  <si>
    <t>3-Piece Tufted Cotton Chenille Medallion Comforter Set</t>
  </si>
  <si>
    <t>PF004301;PP000898</t>
  </si>
  <si>
    <t>BOHO|Casual</t>
  </si>
  <si>
    <t>5/29/2018</t>
  </si>
  <si>
    <t>8/15/2024</t>
  </si>
  <si>
    <t>AMAZON,AMAZONDS,ASHFURNDS,CSNSTORES,JCPENNEY01,KOHLDSN,TGTDVS</t>
  </si>
  <si>
    <t>MP10-5878</t>
  </si>
  <si>
    <t>AMAZON,ASHFURNDS,CSNSTORES</t>
  </si>
  <si>
    <t>2/19/2019</t>
  </si>
  <si>
    <t>MP10-5881</t>
  </si>
  <si>
    <t>PF004302;PP000898</t>
  </si>
  <si>
    <t>MP10-5882</t>
  </si>
  <si>
    <t>MP10-6839</t>
  </si>
  <si>
    <t>2 Piece Cotton Chenille Comforter Set</t>
  </si>
  <si>
    <t>PF004300;PP000898</t>
  </si>
  <si>
    <t>2</t>
  </si>
  <si>
    <t>12/19/2019</t>
  </si>
  <si>
    <t>MP10-5873</t>
  </si>
  <si>
    <t>MP10-5874</t>
  </si>
  <si>
    <t>AMAZON,ASHFURNDS,CSNSTORES,JCPENNEY01,MACY02,OVERSTOCK01,TGTDVS,WALMARTDS</t>
  </si>
  <si>
    <t>MP10-7114</t>
  </si>
  <si>
    <t>Tufted Cotton Chenille Medallion Comforter Set</t>
  </si>
  <si>
    <t>PP000898;PF005042</t>
  </si>
  <si>
    <t>3/10/2020</t>
  </si>
  <si>
    <t>11/5/2021</t>
  </si>
  <si>
    <t>MP10-7115</t>
  </si>
  <si>
    <t>CSNSTORES,JCPENNEY01,OLLIIX,TGTDVS</t>
  </si>
  <si>
    <t>9/18/2021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</si>
  <si>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</si>
  <si>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</si>
  <si>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</si>
  <si>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</si>
  <si>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</si>
  <si>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</si>
  <si>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</si>
  <si>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CSNSTORES,OLLIIX,OVERSTOCK01</t>
  </si>
  <si>
    <t>4/29/2024</t>
  </si>
  <si>
    <t>MP10-8317</t>
  </si>
  <si>
    <t>2/8/2024</t>
  </si>
  <si>
    <t>2/7/2024</t>
  </si>
  <si>
    <t>5/1/2024</t>
  </si>
  <si>
    <t>MP10-8375</t>
  </si>
  <si>
    <t>Orly</t>
  </si>
  <si>
    <t>Eliana</t>
  </si>
  <si>
    <t>Tamar</t>
  </si>
  <si>
    <t>3 Piece Tufted Woven Comforter Set</t>
  </si>
  <si>
    <t>PP001922;PF006138</t>
  </si>
  <si>
    <t>3/12/2024</t>
  </si>
  <si>
    <t>3/11/2024</t>
  </si>
  <si>
    <t>MP10-8376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</si>
  <si>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</si>
  <si>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</si>
  <si>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</si>
  <si>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</si>
  <si>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</si>
  <si>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</si>
  <si>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</si>
  <si>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</si>
  <si>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4/4/2023</t>
  </si>
  <si>
    <t>MP10-7824</t>
  </si>
  <si>
    <t>KOHLDSN,MACY02,OVERSTOCK01</t>
  </si>
  <si>
    <t>4/9/2023</t>
  </si>
  <si>
    <t>MP10-6392</t>
  </si>
  <si>
    <t>Warm Grey/White</t>
  </si>
  <si>
    <t>PP001234;PF004710</t>
  </si>
  <si>
    <t>CSNSTORES,MACY02,OLLIIX,TGTDVS</t>
  </si>
  <si>
    <t>10/25/2021</t>
  </si>
  <si>
    <t>MP10-6393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</si>
  <si>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</si>
  <si>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</si>
  <si>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</si>
  <si>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</si>
  <si>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</si>
  <si>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</si>
  <si>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</si>
  <si>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5/31/2019</t>
  </si>
  <si>
    <t>MP10-6016</t>
  </si>
  <si>
    <t>8/3/2024</t>
  </si>
  <si>
    <t>AMAZON,AMERSIGNDS,CSNSTORES</t>
  </si>
  <si>
    <t>MP10-7102</t>
  </si>
  <si>
    <t>3 piece Tufted Cotton Chenille Damask Comforter Set</t>
  </si>
  <si>
    <t>PP000957;PF005045</t>
  </si>
  <si>
    <t>3/12/2020</t>
  </si>
  <si>
    <t>MP10-7103</t>
  </si>
  <si>
    <t>AMAZON,JCPENNEY01,KOHLDSN,OLLIIX,OVERSTOCK01,TGTDVS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</si>
  <si>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</si>
  <si>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</si>
  <si>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</si>
  <si>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</si>
  <si>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</si>
  <si>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</si>
  <si>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AMAZON,CSNSTORES,JCPENNEY01,KIRKLANDDS,KOHLDSN,MACY02,OLLIIX</t>
  </si>
  <si>
    <t>MP10-7141</t>
  </si>
  <si>
    <t>AMAZON,MACY02,OLLIIX</t>
  </si>
  <si>
    <t>MP13-6130</t>
  </si>
  <si>
    <t>COVERLET&amp;BEDSPR</t>
  </si>
  <si>
    <t>Bedspread</t>
  </si>
  <si>
    <t>Quebec</t>
  </si>
  <si>
    <t>Mansfield</t>
  </si>
  <si>
    <t>Vancouver</t>
  </si>
  <si>
    <t>Reversible Bedspread Set</t>
  </si>
  <si>
    <t>Twin</t>
  </si>
  <si>
    <t>PF002402;PP000488</t>
  </si>
  <si>
    <t>7/23/2019</t>
  </si>
  <si>
    <t>11/14/2019</t>
  </si>
  <si>
    <t>MP13-6131</t>
  </si>
  <si>
    <t>BLK01,CSNSTORES,JCPENNEY01,KOHLDSN,MACY02</t>
  </si>
  <si>
    <t>MP13-2991</t>
  </si>
  <si>
    <t>PF002402</t>
  </si>
  <si>
    <t>AMAZON,BLK01,CSNSTORES,JCPENNEY01,KOHLDSN,MACY02,OVERSTOCK01,TGTDVS</t>
  </si>
  <si>
    <t>MP13-2992</t>
  </si>
  <si>
    <t>BLK01,CSNSTORES,JCPENNEY01,MACY02,OVERSTOCK01,TGTDVS</t>
  </si>
  <si>
    <t>MP13-6128</t>
  </si>
  <si>
    <t>PF002486;PP000488</t>
  </si>
  <si>
    <t>11/4/2019</t>
  </si>
  <si>
    <t>MP13-6129</t>
  </si>
  <si>
    <t>MP13-1569</t>
  </si>
  <si>
    <t>PF002486</t>
  </si>
  <si>
    <t>AMAZON,BLK01,CSNSTORES,JCPENNEY01,MACY02,OVERSTOCK01,TGTDVS</t>
  </si>
  <si>
    <t>MP13-1570</t>
  </si>
  <si>
    <t>AMAZON,BLK01,CSNSTORES,JCPENNEY01,KOHLDSN,MACY02,OLLIIX,TGTDVS</t>
  </si>
  <si>
    <t>MP13-2632</t>
  </si>
  <si>
    <t>Cream</t>
  </si>
  <si>
    <t>PF002442</t>
  </si>
  <si>
    <t>AMAZON,AMAZONDS,BLK01,CSNSTORES,JCPENNEY01,KOHLDSN,TGTDVS</t>
  </si>
  <si>
    <t>6/26/2018</t>
  </si>
  <si>
    <t>MP13-2633</t>
  </si>
  <si>
    <t>AMAZON,BLK01,CSNSTORES,JCPENNEY01,KOHLDSN</t>
  </si>
  <si>
    <t>7/15/2018</t>
  </si>
  <si>
    <t>MP13-708</t>
  </si>
  <si>
    <t>CSNSTORES,JCPENNEY01,KOHLDSN,MACY02,OVERSTOCK01,TGTDVS</t>
  </si>
  <si>
    <t>MP13-709</t>
  </si>
  <si>
    <t>AMAZON,AMAZONDS,BLK01,CSNSTORES,JCPENNEY01,KOHLDSN,MACY02,OVERSTOCK01</t>
  </si>
  <si>
    <t>MP13-1563</t>
  </si>
  <si>
    <t>PF002475</t>
  </si>
  <si>
    <t>MP13-1564</t>
  </si>
  <si>
    <t>MP13-6497</t>
  </si>
  <si>
    <t>Mocha</t>
  </si>
  <si>
    <t>PP000488</t>
  </si>
  <si>
    <t>AMAZON,CSNSTORES,JCPENNEY01,KOHLDSN,MACY02,TGTDVS</t>
  </si>
  <si>
    <t>MP13-6498</t>
  </si>
  <si>
    <t>MP13-1565</t>
  </si>
  <si>
    <t>PF002453</t>
  </si>
  <si>
    <t>AMAZON,BLK01,CSNSTORES,HSNDS,JCPENNEY01,MACY02,OVERSTOCK01</t>
  </si>
  <si>
    <t>MP13-1566</t>
  </si>
  <si>
    <t>MP13-6455</t>
  </si>
  <si>
    <t>Dark Grey</t>
  </si>
  <si>
    <t>7/9/2019</t>
  </si>
  <si>
    <t>MP13-6126</t>
  </si>
  <si>
    <t>PP000488;PF004538</t>
  </si>
  <si>
    <t>AMAZON,BIGLOTSDS,JCPENNEY01,OVERSTOCK01,TGTDVS</t>
  </si>
  <si>
    <t>MP13-6127</t>
  </si>
  <si>
    <t>ASHFURNDS,BLK01,CSNSTORES,JCPENNEY01,KOHLDSN,MACY02,OLLIIX,OVERSTOCK01,TGTDVS</t>
  </si>
  <si>
    <t>5/13/2019</t>
  </si>
  <si>
    <t>MP13-6153</t>
  </si>
  <si>
    <t>1/20/2019</t>
  </si>
  <si>
    <t>MP13-6154</t>
  </si>
  <si>
    <t>BLK01,JCPENNEY01,KOHLDSN,OVERSTOCK01</t>
  </si>
  <si>
    <t>10/11/2019</t>
  </si>
  <si>
    <t>MP13-2993</t>
  </si>
  <si>
    <t>PF002401</t>
  </si>
  <si>
    <t>4/7/2017</t>
  </si>
  <si>
    <t>MP13-2994</t>
  </si>
  <si>
    <t>MP13-6444</t>
  </si>
  <si>
    <t>7/11/2019</t>
  </si>
  <si>
    <t>8/10/2022</t>
  </si>
  <si>
    <t>MP13-6445</t>
  </si>
  <si>
    <t>8/3/2022</t>
  </si>
  <si>
    <t>10/10/2022</t>
  </si>
  <si>
    <t>MP13-1567</t>
  </si>
  <si>
    <t>PF002464</t>
  </si>
  <si>
    <t>MP13-1568</t>
  </si>
  <si>
    <t>MP13-2989</t>
  </si>
  <si>
    <t>PF002400</t>
  </si>
  <si>
    <t>AMAZON,BLK01,JCPENNEY01,KOHLDSN,MACY02,OVERSTOCK01</t>
  </si>
  <si>
    <t>MP13-2990</t>
  </si>
  <si>
    <t>5/18/2017</t>
  </si>
  <si>
    <t>AMAZON,CSNSTORES,JCPENNEY01,MACY02,OLLIIX,OVERSTOCK01,TGTDVS</t>
  </si>
  <si>
    <t>MP13-8480</t>
  </si>
  <si>
    <t>3 Piece Reversible Bedspread Set</t>
  </si>
  <si>
    <t>Balsam Green</t>
  </si>
  <si>
    <t>PP000640</t>
  </si>
  <si>
    <t>MP13-8481</t>
  </si>
  <si>
    <t>MP13-8484</t>
  </si>
  <si>
    <t>Clay Red</t>
  </si>
  <si>
    <t>MP13-8485</t>
  </si>
  <si>
    <t>MP13-5320</t>
  </si>
  <si>
    <t>3 Piece Tufted Cotton Chenille Bedspread Set</t>
  </si>
  <si>
    <t>PF002604;PP000641</t>
  </si>
  <si>
    <t>11/20/2017</t>
  </si>
  <si>
    <t>BLK01,CSNSTORES,JCPENNEY01,OLLIIX,OVERSTOCK01,TGTDVS,WALMARTDS</t>
  </si>
  <si>
    <t>MP13-5321</t>
  </si>
  <si>
    <t>BLK01,CSNSTORES,FINGERHUTDS,JCPENNEY01,KOHLDSN,MACY02,OVERSTOCK01,TGTDVS</t>
  </si>
  <si>
    <t>MP13-7124</t>
  </si>
  <si>
    <t xml:space="preserve">3 piece Tufted Cotton  bedspread  set</t>
  </si>
  <si>
    <t>PP000641;PF005044</t>
  </si>
  <si>
    <t>3/17/2020</t>
  </si>
  <si>
    <t>BLK01,CSNSTORES,JCPENNEY01,MACY02,OVERSTOCK01,TGTDVS,WALMARTDS</t>
  </si>
  <si>
    <t>9/27/2021</t>
  </si>
  <si>
    <t>MP13-7125</t>
  </si>
  <si>
    <t>BLK01,CSNSTORES,JCPENNEY01,MACY02,OLLIIX,OVERSTOCK01,TGTDVS</t>
  </si>
  <si>
    <t>MP13-7960</t>
  </si>
  <si>
    <t>5 Piece Jacquard Bedspread Set with Throw Pillows</t>
  </si>
  <si>
    <t>PP000381;PF005740</t>
  </si>
  <si>
    <t>7/8/2022</t>
  </si>
  <si>
    <t>AMAZONDS,CSNSTORES,JCPENNEY01,OVERSTOCK01</t>
  </si>
  <si>
    <t>MP13-7961</t>
  </si>
  <si>
    <t>AMAZONDS,BLK01,CSNSTORES,JCPENNEY01,OLLIIX</t>
  </si>
  <si>
    <t>4/5/2023</t>
  </si>
  <si>
    <t>MP13-4338</t>
  </si>
  <si>
    <t>PF003389</t>
  </si>
  <si>
    <t>4/26/2017</t>
  </si>
  <si>
    <t>MP13-4339</t>
  </si>
  <si>
    <t>AMAZON,BLK01,JCPENNEY01,OLLIIX,ROOMECOM,TGTDVS</t>
  </si>
  <si>
    <t>MP13-7964</t>
  </si>
  <si>
    <t>PP000381;PF005742</t>
  </si>
  <si>
    <t>7/28/2022</t>
  </si>
  <si>
    <t>MP13-7965</t>
  </si>
  <si>
    <t>7/22/2022</t>
  </si>
  <si>
    <t>AMAZONDS,BLK01,CSNSTORES,JCPENNEY01,OLLIIX,TGTDVS</t>
  </si>
  <si>
    <t>MP13-7962</t>
  </si>
  <si>
    <t>Burgundy</t>
  </si>
  <si>
    <t>PP000381;PF005741</t>
  </si>
  <si>
    <t>3/28/2023</t>
  </si>
  <si>
    <t>MP13-7963</t>
  </si>
  <si>
    <t>AMAZONDS,CSNSTORES,JCPENNEY01,KOHLDSN,MACY02,OLLIIX,TGTDVS</t>
  </si>
  <si>
    <t>3/6/2023</t>
  </si>
  <si>
    <t>MP13-8314</t>
  </si>
  <si>
    <t>MP13-8315</t>
  </si>
  <si>
    <t>AMAZON,CSNSTORES,KOHLDSN,OLLIIX,TGTDVS</t>
  </si>
  <si>
    <t>MP13-7966</t>
  </si>
  <si>
    <t>5 Piece Reversible Jacquard Bedspread Set</t>
  </si>
  <si>
    <t>PP000487;PF005738</t>
  </si>
  <si>
    <t>3/1/2023</t>
  </si>
  <si>
    <t>4/12/2023</t>
  </si>
  <si>
    <t>MP13-7967</t>
  </si>
  <si>
    <t>AMAZONDS,BLK01,JCPENNEY01,KOHLDSN</t>
  </si>
  <si>
    <t>MP13-4340</t>
  </si>
  <si>
    <t>PF003392</t>
  </si>
  <si>
    <t>8/19/2019</t>
  </si>
  <si>
    <t>MP13-4341</t>
  </si>
  <si>
    <t>AMAZON,CSNSTORES,JCPENNEY01,MACY02,TGTDVS,WALMARTDS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</si>
  <si>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</si>
  <si>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</si>
  <si>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</si>
  <si>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</si>
  <si>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</si>
  <si>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</si>
  <si>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</si>
  <si>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JCPENNEY01,KOHLDSN,TGTDVS</t>
  </si>
  <si>
    <t>9/13/2018</t>
  </si>
  <si>
    <t>MP13-2629</t>
  </si>
  <si>
    <t>AMAZON,JCPENNEY01,MACY02,ROOMECOM,TGTDVS</t>
  </si>
  <si>
    <t>MP13-5318</t>
  </si>
  <si>
    <t>PF003397;PP000614</t>
  </si>
  <si>
    <t>8/12/2019</t>
  </si>
  <si>
    <t>MP13-5319</t>
  </si>
  <si>
    <t>MP13-783</t>
  </si>
  <si>
    <t>Coverlet</t>
  </si>
  <si>
    <t>Tangiers</t>
  </si>
  <si>
    <t>Moraga</t>
  </si>
  <si>
    <t>Menara</t>
  </si>
  <si>
    <t>6 Piece Reversible Quilt Set with Throw Pillows</t>
  </si>
  <si>
    <t>PF002678;PP000518</t>
  </si>
  <si>
    <t>6/26/2022</t>
  </si>
  <si>
    <t>MP13-784</t>
  </si>
  <si>
    <t>6/27/2022</t>
  </si>
  <si>
    <t>MP13-1523</t>
  </si>
  <si>
    <t>PF002679;PP000518</t>
  </si>
  <si>
    <t>8/1/2024</t>
  </si>
  <si>
    <t>MP13-1524</t>
  </si>
  <si>
    <t>MP13-2709</t>
  </si>
  <si>
    <t>6 Piece Cotton Sateen Quilt Set with Throw Pillows</t>
  </si>
  <si>
    <t>MP13-2710</t>
  </si>
  <si>
    <t>AMAZON,BLK01,CSNSTORES,HDDS,JCPENNEY01,KOHLDSN,OLLIIX,OVERSTOCK01</t>
  </si>
  <si>
    <t>MP13-8077</t>
  </si>
  <si>
    <t>PP000484;PF005792</t>
  </si>
  <si>
    <t>AMAZONDS,CSNSTORES,JCPENNEY01,OLLIIX,OVERSTOCK01</t>
  </si>
  <si>
    <t>3/14/2023</t>
  </si>
  <si>
    <t>MP13-8078</t>
  </si>
  <si>
    <t>10/19/2022</t>
  </si>
  <si>
    <t>AMAZONDS,CSNSTORES,HDDS,JCPENNEY01,KOHLDSN</t>
  </si>
  <si>
    <t>3/20/2023</t>
  </si>
  <si>
    <t>MP13-2425</t>
  </si>
  <si>
    <t>6 Piece Printed Quilt Set with Throw Pillows</t>
  </si>
  <si>
    <t>PF002744</t>
  </si>
  <si>
    <t>AMAZON,AMAZONDS,CSNSTORES,JCPENNEY01,KOHLDSN,MACY02,OLLIIX,OVERSTOCK01,TGTDVS</t>
  </si>
  <si>
    <t>8/26/2019</t>
  </si>
  <si>
    <t>MP13-2426</t>
  </si>
  <si>
    <t>AMAZON,BLK01,CSNSTORES,JCPENNEY01,KOHLDSN,OLLIIX,OVERSTOCK01</t>
  </si>
  <si>
    <t>9/24/2019</t>
  </si>
  <si>
    <t>MP13-7948</t>
  </si>
  <si>
    <t>PP001782;PF005733</t>
  </si>
  <si>
    <t>MP13-7949</t>
  </si>
  <si>
    <t>AMAZONDS,CSNSTORES,JCPENNEY01,KOHLDSN,OLLIIX,OVERSTOCK01,TGTDVS</t>
  </si>
  <si>
    <t>4/18/2023</t>
  </si>
  <si>
    <t>MP13-7944</t>
  </si>
  <si>
    <t>PP001782;PF005732</t>
  </si>
  <si>
    <t>AMAZONDS,JCPENNEY01,KOHLDSN</t>
  </si>
  <si>
    <t>MP13-7945</t>
  </si>
  <si>
    <t>3/10/2023</t>
  </si>
  <si>
    <t>MP13-2799</t>
  </si>
  <si>
    <t>6 Piece Cotton Percale Quilt Set with Throw Pillows</t>
  </si>
  <si>
    <t>PF003408;PP000407;PP000484</t>
  </si>
  <si>
    <t>AMAZON,CSNSTORES,JCPENNEY01,MACY02,TGTDVS</t>
  </si>
  <si>
    <t>MP13-2800</t>
  </si>
  <si>
    <t>11/20/2018</t>
  </si>
  <si>
    <t>MP13-2801</t>
  </si>
  <si>
    <t>8/21/2019</t>
  </si>
  <si>
    <t>MP13-2802</t>
  </si>
  <si>
    <t>AMAZON,CSNSTORES,HDDS,JCPENNEY01,KOHLDSN,MACY02,NRTPORT,OVERSTOCK01,TGTDVS</t>
  </si>
  <si>
    <t>MP13-6872</t>
  </si>
  <si>
    <t>AMAZON,AMAZONDS,CSNSTORES,HSNDS,JCPENNEY01,KOHLDSN,MACY02,OVERSTOCK01,TGTDVS</t>
  </si>
  <si>
    <t>9/26/2021</t>
  </si>
  <si>
    <t>MP13-6873</t>
  </si>
  <si>
    <t>AMAZON,CSNSTORES,KOHLDSN,MACY02,OVERSTOCK01,TGTDVS</t>
  </si>
  <si>
    <t>MP13-7283</t>
  </si>
  <si>
    <t>PP000407;PF005242</t>
  </si>
  <si>
    <t>AMAZON,AMAZONDS,CSNSTORES,JCPENNEY01,KOHLDSN,MACY02,OVERSTOCK01,TGTDVS</t>
  </si>
  <si>
    <t>MP13-7284</t>
  </si>
  <si>
    <t>AMAZON,CSNSTORES,HDDS,JCPENNEY01,KOHLDSN,MACY02,OVERSTOCK01,TGTDVS</t>
  </si>
  <si>
    <t>MP13-1679</t>
  </si>
  <si>
    <t>Geneva</t>
  </si>
  <si>
    <t>Lavinia</t>
  </si>
  <si>
    <t>Leona</t>
  </si>
  <si>
    <t>PF002741</t>
  </si>
  <si>
    <t>Global Inspired|Traditional</t>
  </si>
  <si>
    <t>MP13-7395</t>
  </si>
  <si>
    <t>4 Piece Jacquard Quilt Set with Throw Pillow</t>
  </si>
  <si>
    <t>PP001609;PF005405</t>
  </si>
  <si>
    <t>7/26/2021</t>
  </si>
  <si>
    <t>6/30/2023</t>
  </si>
  <si>
    <t>MP13-7396</t>
  </si>
  <si>
    <t>AMAZON,JCPENNEY01,KOHLDSN,MACY02</t>
  </si>
  <si>
    <t>MP13-6023</t>
  </si>
  <si>
    <t>AMAZON,KIRKLANDDS,MACY02</t>
  </si>
  <si>
    <t>MP13-6024</t>
  </si>
  <si>
    <t>4/23/2019</t>
  </si>
  <si>
    <t>4/29/2019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</si>
  <si>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</si>
  <si>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</si>
  <si>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</si>
  <si>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</si>
  <si>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</si>
  <si>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</si>
  <si>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MP13-241</t>
  </si>
  <si>
    <t>MP13-1741</t>
  </si>
  <si>
    <t>PF002419</t>
  </si>
  <si>
    <t>AMAZONDS,JCPENNEY01,MACY02,OLLIIX,ROOMECOM,TGTDVS</t>
  </si>
  <si>
    <t>MP13-1742</t>
  </si>
  <si>
    <t>AMAZON,JCPENNEY01,KOHLDSN,MACY02,TGTDVS</t>
  </si>
  <si>
    <t>MP13-2694</t>
  </si>
  <si>
    <t>6 Piece Jacquard Quilt Set with Throw Pillows</t>
  </si>
  <si>
    <t>PF003388</t>
  </si>
  <si>
    <t>MP13-2695</t>
  </si>
  <si>
    <t>MP13-483</t>
  </si>
  <si>
    <t>Brushed Microfiber Quilt Set with Throw Pillows</t>
  </si>
  <si>
    <t>AMAZONDS,CSNSTORES,TGTDVS,WALMARTDS</t>
  </si>
  <si>
    <t>MP13-374</t>
  </si>
  <si>
    <t>AMAZONDS,BEALLSDS,CSNSTORES,HDDS,JCPENNEY01,KOHLDSN,MACY02,TGTDVS,WALMARTDS</t>
  </si>
  <si>
    <t>9/13/2019</t>
  </si>
  <si>
    <t>MP13-375</t>
  </si>
  <si>
    <t>AMAZON,CSNSTORES,HDDS,MACY02</t>
  </si>
  <si>
    <t>10/22/2019</t>
  </si>
  <si>
    <t>MP13-368</t>
  </si>
  <si>
    <t>PF003397;PP000386</t>
  </si>
  <si>
    <t>AMAZON,FINGERHUTDS,JCPENNEY01,KOHLDSN,MACY02,WALMARTDS</t>
  </si>
  <si>
    <t>MP13-369</t>
  </si>
  <si>
    <t>AMAZON,AMAZONDS,JCPENNEY01,KOHLDSN,MACY02,TGTDVS</t>
  </si>
  <si>
    <t>8/29/2019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</si>
  <si>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</si>
  <si>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</si>
  <si>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</si>
  <si>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</si>
  <si>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</si>
  <si>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</si>
  <si>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</si>
  <si>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AMAZONDS,CSNSTORES,HOUZZ,JCPENNEY01,MACY02,OVERSTOCK01,TGTDVS</t>
  </si>
  <si>
    <t>4/17/2019</t>
  </si>
  <si>
    <t>5/2/2019</t>
  </si>
  <si>
    <t>MP13-774</t>
  </si>
  <si>
    <t>AMAZON,AMAZONDS,CSNSTORES,HSNDS,JCPENNEY01,MACY02,ROOMECOM,TGTDVS</t>
  </si>
  <si>
    <t>MP13-775</t>
  </si>
  <si>
    <t>PF002680</t>
  </si>
  <si>
    <t>MP13-776</t>
  </si>
  <si>
    <t>AMAZON,CSNSTORES,HDDS,JCPENNEY01,MACY02,TGTDVS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</si>
  <si>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</si>
  <si>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</si>
  <si>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</si>
  <si>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</si>
  <si>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</si>
  <si>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</si>
  <si>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</si>
  <si>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MP13-1522</t>
  </si>
  <si>
    <t>MP13-2532</t>
  </si>
  <si>
    <t>4 Piece Microfiber Reversible Ruffle Quilt Set with Throw Pillow</t>
  </si>
  <si>
    <t>AMAZON,OVERSCONSIGN</t>
  </si>
  <si>
    <t>MP13-2533</t>
  </si>
  <si>
    <t>AMAZON,JCPENNEY01,TGTDVS</t>
  </si>
  <si>
    <t>12/14/2018</t>
  </si>
  <si>
    <t>MP13-1420</t>
  </si>
  <si>
    <t>Claire</t>
  </si>
  <si>
    <t>Montecito</t>
  </si>
  <si>
    <t>Arbor</t>
  </si>
  <si>
    <t>PF002720;PP000401</t>
  </si>
  <si>
    <t>MP13-1421</t>
  </si>
  <si>
    <t>AMAZON,CSNSTORES,HSNDS,JCPENNEY01,KOHLDSN,MACY02,TGTDVS</t>
  </si>
  <si>
    <t>MP13-1422</t>
  </si>
  <si>
    <t>PF002721;PP000401</t>
  </si>
  <si>
    <t>ASHFURNDS</t>
  </si>
  <si>
    <t>MP13-1423</t>
  </si>
  <si>
    <t>MP13-2644</t>
  </si>
  <si>
    <t>6 Piece Printed Cotton Quilt Set with Throw Pillows</t>
  </si>
  <si>
    <t>JCPENNEY01,KOHLDSN,MACY02</t>
  </si>
  <si>
    <t>MP13-2645</t>
  </si>
  <si>
    <t>MP13-6834</t>
  </si>
  <si>
    <t>1/7/2020</t>
  </si>
  <si>
    <t>8/18/2024</t>
  </si>
  <si>
    <t>10/10/2021</t>
  </si>
  <si>
    <t>MP13-6835</t>
  </si>
  <si>
    <t>10/30/2024</t>
  </si>
  <si>
    <t>MP13-2312</t>
  </si>
  <si>
    <t>10/22/2024</t>
  </si>
  <si>
    <t>AMAZON,CSNSTORES,FINGERHUTDS,JCPENNEY01,MACY02</t>
  </si>
  <si>
    <t>MP13-2313</t>
  </si>
  <si>
    <t>CSNSTORES,FINGERHUTDS,JCPENNEY01,MACY02</t>
  </si>
  <si>
    <t>MP13-325</t>
  </si>
  <si>
    <t>PF002451;PP000448</t>
  </si>
  <si>
    <t>11/5/2024</t>
  </si>
  <si>
    <t>AMAZONDS,CSNSTORES,JCPENNEY01,MACY02,OVERSTOCK01</t>
  </si>
  <si>
    <t>MP13-326</t>
  </si>
  <si>
    <t>MP13-5270</t>
  </si>
  <si>
    <t>6 Piece Reversible Cotton Quilt Set with Throw Pillows</t>
  </si>
  <si>
    <t>MP13-5271</t>
  </si>
  <si>
    <t>8/14/2019</t>
  </si>
  <si>
    <t>MP13-5017</t>
  </si>
  <si>
    <t>6 Piece Reversible Cotton Twill Quilt Set with Throw Pillows</t>
  </si>
  <si>
    <t>9/26/2017</t>
  </si>
  <si>
    <t>11/9/2020</t>
  </si>
  <si>
    <t>MP13-5018</t>
  </si>
  <si>
    <t>AMAZON,AMAZONDS,JCPENNEY01,KOHLDSN,MACY02</t>
  </si>
  <si>
    <t>MP13-2120</t>
  </si>
  <si>
    <t>Piper</t>
  </si>
  <si>
    <t>PF002742</t>
  </si>
  <si>
    <t>9/16/2024</t>
  </si>
  <si>
    <t>MP13-2121</t>
  </si>
  <si>
    <t>AMAZON,CSNSTORES,JCPENNEY01,MACY02,OLLIIX</t>
  </si>
  <si>
    <t>MP13-2122</t>
  </si>
  <si>
    <t>PF002743</t>
  </si>
  <si>
    <t>MP13-2123</t>
  </si>
  <si>
    <t>AMAZON,CSNSTORES,JCPENNEY01,KOHLDSN,LAMPDS,MACY02,OLLIIX,OVERSTOCK01,TGTDVS</t>
  </si>
  <si>
    <t>MP13-613</t>
  </si>
  <si>
    <t>5 Piece Jacquard Quilt Set with Throw Pillows</t>
  </si>
  <si>
    <t>MP13-614</t>
  </si>
  <si>
    <t>BEALLSDS,CSNSTORES,HOUZZ,JCPENNEY01,MACY02</t>
  </si>
  <si>
    <t>MP13-615</t>
  </si>
  <si>
    <t>4/19/2019</t>
  </si>
  <si>
    <t>MP13-616</t>
  </si>
  <si>
    <t>MP13-3399</t>
  </si>
  <si>
    <t>6 Piece Reversible Jacquard Quilt Set with Throw Pillows</t>
  </si>
  <si>
    <t>5/4/2017</t>
  </si>
  <si>
    <t>AMAZON,AMAZONDS,CSNSTORES,JCPENNEY01,MACY02,OVERSTOCK01,TGTDVS</t>
  </si>
  <si>
    <t>MP13-3400</t>
  </si>
  <si>
    <t>9/13/2024</t>
  </si>
  <si>
    <t>MP13-7423</t>
  </si>
  <si>
    <t>AMAZON,CSNSTORES,FINGERHUTDS,JCPENNEY01,MACY02,OVERSTOCK01</t>
  </si>
  <si>
    <t>8/15/2022</t>
  </si>
  <si>
    <t>MP13-7424</t>
  </si>
  <si>
    <t>AMAZON,CSNSTORES,JCPENNEY01,KOHLDSN,MACY02,OLLIIX,OVERSTOCK01,TGTDVS</t>
  </si>
  <si>
    <t>MP13-4681</t>
  </si>
  <si>
    <t>6 Piece Printed Herringbone Quilt Set with Throw Pillows</t>
  </si>
  <si>
    <t>AMAZON,CSNSTORES,TGTDVS</t>
  </si>
  <si>
    <t>MP13-4682</t>
  </si>
  <si>
    <t>MP13-7217</t>
  </si>
  <si>
    <t>PP001538;PF005193</t>
  </si>
  <si>
    <t>10/6/2022</t>
  </si>
  <si>
    <t>MP13-7218</t>
  </si>
  <si>
    <t>10/4/2022</t>
  </si>
  <si>
    <t>MP13-4674</t>
  </si>
  <si>
    <t>MP13-4675</t>
  </si>
  <si>
    <t>MP13-3153</t>
  </si>
  <si>
    <t>Taos</t>
  </si>
  <si>
    <t>Davy</t>
  </si>
  <si>
    <t>Duncan</t>
  </si>
  <si>
    <t>PF002600</t>
  </si>
  <si>
    <t>MP13-3154</t>
  </si>
  <si>
    <t>ASHFURNDS,CSNSTORES,JCPENNEY01,KOHLDSN,MACY02,NRTPORT,OVERSTOCK01</t>
  </si>
  <si>
    <t>MP13-484</t>
  </si>
  <si>
    <t>Tissa</t>
  </si>
  <si>
    <t>Maya</t>
  </si>
  <si>
    <t>Neda</t>
  </si>
  <si>
    <t>PF003380</t>
  </si>
  <si>
    <t>8/17/2020</t>
  </si>
  <si>
    <t>MP13-485</t>
  </si>
  <si>
    <t>8/19/2020</t>
  </si>
  <si>
    <t>MP13-7958</t>
  </si>
  <si>
    <t>PP001783;PF005736</t>
  </si>
  <si>
    <t>6/12/2023</t>
  </si>
  <si>
    <t>MP13-7959</t>
  </si>
  <si>
    <t>MP13-5578</t>
  </si>
  <si>
    <t>PF003377;PP000530</t>
  </si>
  <si>
    <t>2/15/2018</t>
  </si>
  <si>
    <t>MP13-5579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</si>
  <si>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</si>
  <si>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</si>
  <si>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</si>
  <si>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</si>
  <si>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</si>
  <si>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</si>
  <si>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AMAZONDS,CSNSTORES,JCPENNEY01,MACY02</t>
  </si>
  <si>
    <t>MP13-3241</t>
  </si>
  <si>
    <t>MP13-2582</t>
  </si>
  <si>
    <t>Yosemite</t>
  </si>
  <si>
    <t>Sequoia</t>
  </si>
  <si>
    <t>Reyes</t>
  </si>
  <si>
    <t>Reversible Quilt Set with Throw Pillows</t>
  </si>
  <si>
    <t>PF002447;PP000538</t>
  </si>
  <si>
    <t>MP13-270</t>
  </si>
  <si>
    <t>MP13-271</t>
  </si>
  <si>
    <t>AMAZON,KOHLDSN,MACY02,OVERSTOCK01</t>
  </si>
  <si>
    <t>MP13-1035</t>
  </si>
  <si>
    <t>Coverlet Mini Set</t>
  </si>
  <si>
    <t>Tuscany</t>
  </si>
  <si>
    <t>Marino</t>
  </si>
  <si>
    <t>Genoa</t>
  </si>
  <si>
    <t>3 Piece Reversible Scalloped Edge Quilt Set</t>
  </si>
  <si>
    <t>PF002700;PP000525</t>
  </si>
  <si>
    <t>AMAZON,BLK01,CSNSTORES,JCPENNEY01,KOHLDSN,MACY02,OLLIIX,OVERSTOCK01</t>
  </si>
  <si>
    <t>MP13-1036</t>
  </si>
  <si>
    <t>AMAZON,BLK01,CSNSTORES,JCPENNEY01,KIRKLANDDS,KOHLDSN,MACY02,TGTDVS</t>
  </si>
  <si>
    <t>MP13-1037</t>
  </si>
  <si>
    <t>PF002701;PP000525</t>
  </si>
  <si>
    <t>AMAZON,CSNSTORES,DESINC,JCPENNEY01,KOHLDSN,MACY02,TGTDVS,ZOLA</t>
  </si>
  <si>
    <t>8/25/2018</t>
  </si>
  <si>
    <t>MP13-1038</t>
  </si>
  <si>
    <t>AMAZON,BLK01,CSNSTORES,HSNDS,JCPENNEY01,KOHLDSN,MACY02,ROOMECOM,TGTDVS</t>
  </si>
  <si>
    <t>MP13-8245</t>
  </si>
  <si>
    <t>PF006016;PP001886</t>
  </si>
  <si>
    <t>AMAZON,BLK01,CSNSTORES,JCPENNEY01,KOHLDSN,MACY02,OLLIIX</t>
  </si>
  <si>
    <t>3/19/2024</t>
  </si>
  <si>
    <t>MP13-8246</t>
  </si>
  <si>
    <t>AMAZON,CSNSTORES,JCPENNEY01,KOHLDSN,MACY02,OLLIIX,TGTDVS</t>
  </si>
  <si>
    <t>MP13-6121</t>
  </si>
  <si>
    <t>PP000525;PF004533</t>
  </si>
  <si>
    <t>AMAZON,BLK01,CSNSTORES,JCPENNEY01,KOHLDSN,MACY02,OLLIIX,OVERSTOCK01,TGTDVS</t>
  </si>
  <si>
    <t>5/8/2019</t>
  </si>
  <si>
    <t>MP13-6122</t>
  </si>
  <si>
    <t>AMAZON,CSNSTORES,HSNDS,JCPENNEY01,KOHLDSN,MACY02,OLLIIX,TGTDVS</t>
  </si>
  <si>
    <t>4/30/2019</t>
  </si>
  <si>
    <t>MP13-8497</t>
  </si>
  <si>
    <t>PP001886;PF006370</t>
  </si>
  <si>
    <t>MP13-8498</t>
  </si>
  <si>
    <t>MP13-6119</t>
  </si>
  <si>
    <t>PF003552;PP000525</t>
  </si>
  <si>
    <t>MP13-6120</t>
  </si>
  <si>
    <t>AMAZON,CSNSTORES,HSNDS,JCPENNEY01,KOHLDSN,MACY02</t>
  </si>
  <si>
    <t>6/7/2019</t>
  </si>
  <si>
    <t>MP13-2580</t>
  </si>
  <si>
    <t>Reversible Quilt Set</t>
  </si>
  <si>
    <t>PF002475;PP000488</t>
  </si>
  <si>
    <t>MP13-366</t>
  </si>
  <si>
    <t>BLK01,CSNSTORES,JCPENNEY01,KOHLDSN,MACY02,OLLIIX</t>
  </si>
  <si>
    <t>MP13-367</t>
  </si>
  <si>
    <t>AMAZON,ASHFURNDS,BLK01,CSNSTORES,JCPENNEY01,MACY02,NRTPORT,TGTDVS</t>
  </si>
  <si>
    <t>5/6/2024</t>
  </si>
  <si>
    <t>MP13-1387</t>
  </si>
  <si>
    <t>MP13-1371</t>
  </si>
  <si>
    <t>ASHFURNDS,BLK01,CSNSTORES,DESINC,JCPENNEY01,KOHLDSN,TGTDVS</t>
  </si>
  <si>
    <t>MP13-1372</t>
  </si>
  <si>
    <t>AMAZON,ASHFURNDS,BLK01,CSNSTORES,HOUZZ,JCPENNEY01,MACY02,TGTDVS</t>
  </si>
  <si>
    <t>MP13-4972</t>
  </si>
  <si>
    <t>8/23/2017</t>
  </si>
  <si>
    <t>AMAZON,AMAZONDS,CSNSTORES,JCPENNEY01,KOHLDSN,TGTDVS</t>
  </si>
  <si>
    <t>MP13-1686</t>
  </si>
  <si>
    <t>MP13-1687</t>
  </si>
  <si>
    <t>BLK01,CSNSTORES,JCPENNEY01,MACY02,TGTDVS,WALMARTDS</t>
  </si>
  <si>
    <t>MP13-6486</t>
  </si>
  <si>
    <t>AMAZON,AMAZONDS,BLK01,JCPENNEY01,KOHLDSN,MACY02,OLLIIX</t>
  </si>
  <si>
    <t>10/2/2021</t>
  </si>
  <si>
    <t>MP13-6487</t>
  </si>
  <si>
    <t>AMAZON,AMAZONDS,CSNSTORES,MACY02,OLLIIX,TGTDVS</t>
  </si>
  <si>
    <t>MP13-8478</t>
  </si>
  <si>
    <t>3 Piece Reversible Quilt Set</t>
  </si>
  <si>
    <t>MP13-8479</t>
  </si>
  <si>
    <t>MP13-8482</t>
  </si>
  <si>
    <t>MP13-8483</t>
  </si>
  <si>
    <t>MP13-480</t>
  </si>
  <si>
    <t>PF002442;PP000488</t>
  </si>
  <si>
    <t>AMAZONDS,CSNSTORES,MACY02</t>
  </si>
  <si>
    <t>MP13-149</t>
  </si>
  <si>
    <t>AMAZON,ASHFURNDS,CSNSTORES,HDDS,JCPENNEY01,KOHLDSN,MACY02,OLLIIX</t>
  </si>
  <si>
    <t>MP13-150</t>
  </si>
  <si>
    <t>AMAZON,AMAZONDS,ASHFURNDS,CSNSTORES,HDDS,JCPENNEY01,MACY02,OLLIIX,TGTDVS</t>
  </si>
  <si>
    <t>MP13-2581</t>
  </si>
  <si>
    <t>MP13-1369</t>
  </si>
  <si>
    <t>MP13-1370</t>
  </si>
  <si>
    <t>ASHFURNDS,CSNSTORES,JCPENNEY01,KOHLDSN,MACY02,TGTDVS</t>
  </si>
  <si>
    <t>MP13-481</t>
  </si>
  <si>
    <t>PF002453;PP000488</t>
  </si>
  <si>
    <t>AMAZONDS,CSNSTORES,JCPENNEY01</t>
  </si>
  <si>
    <t>MP13-155</t>
  </si>
  <si>
    <t>MP13-156</t>
  </si>
  <si>
    <t>AMAZON,JCPENNEY01,MACY02,OLLIIX</t>
  </si>
  <si>
    <t>10/21/2018</t>
  </si>
  <si>
    <t>MP13-6149</t>
  </si>
  <si>
    <t>AMAZON,ASHFURNDS,JCPENNEY01,MACY02</t>
  </si>
  <si>
    <t>MP13-6150</t>
  </si>
  <si>
    <t>6/24/2019</t>
  </si>
  <si>
    <t>12/27/2019</t>
  </si>
  <si>
    <t>MP13-482</t>
  </si>
  <si>
    <t>PF002464;PP000488</t>
  </si>
  <si>
    <t>CSNSTORES,JCPENNEY01,MACY02,TGTDVS</t>
  </si>
  <si>
    <t>MP13-153</t>
  </si>
  <si>
    <t>9/19/2021</t>
  </si>
  <si>
    <t>MP13-154</t>
  </si>
  <si>
    <t>AMAZON,ASHFURNDS,CSNSTORES,JCPENNEY01,MACY02</t>
  </si>
  <si>
    <t>9/22/2021</t>
  </si>
  <si>
    <t>MP13-7118</t>
  </si>
  <si>
    <t>Tufted Cotton Chenille Medallion Fringe Coverlet Mini Set</t>
  </si>
  <si>
    <t>Casual|BOHO</t>
  </si>
  <si>
    <t>MP13-7119</t>
  </si>
  <si>
    <t>AMAZON,AMAZONDS,CSNSTORES,JCPENNEY01,KOHLDSN,MACY02,OVERSTOCK01</t>
  </si>
  <si>
    <t>MP13-5879</t>
  </si>
  <si>
    <t>4/26/2019</t>
  </si>
  <si>
    <t>MP13-5880</t>
  </si>
  <si>
    <t>AMAZON,BLK01,MACY02,OVERSTOCK01</t>
  </si>
  <si>
    <t>5/9/2019</t>
  </si>
  <si>
    <t>MP13-6840</t>
  </si>
  <si>
    <t>MP13-5875</t>
  </si>
  <si>
    <t>AMAZONDS,BEALLSDS,BLK01,CSNSTORES,JCPENNEY01,MACY02,TGTDVS,ZOLA</t>
  </si>
  <si>
    <t>MP13-5876</t>
  </si>
  <si>
    <t>AMAZON,CSNSTORES,JCPENNEY01,KOHLDSN,MACY02,OLLIIX</t>
  </si>
  <si>
    <t>4/25/2019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</si>
  <si>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</si>
  <si>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</si>
  <si>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</si>
  <si>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</si>
  <si>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</si>
  <si>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</si>
  <si>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</si>
  <si>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</si>
  <si>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AMAZON,JCPENNEY01,KOHLDSN,MACY02,OVERSTOCK01,TGTDVS</t>
  </si>
  <si>
    <t>MP13-6088</t>
  </si>
  <si>
    <t>AMAZON,BLK01,JCPENNEY01,OVERSTOCK01,TGTDVS</t>
  </si>
  <si>
    <t>MP13-7524</t>
  </si>
  <si>
    <t>Green / Navy</t>
  </si>
  <si>
    <t>PP001028;PF005484</t>
  </si>
  <si>
    <t>6/5/2021</t>
  </si>
  <si>
    <t>7/20/2022</t>
  </si>
  <si>
    <t>MP13-7525</t>
  </si>
  <si>
    <t>6/3/2021</t>
  </si>
  <si>
    <t>MP13-8195</t>
  </si>
  <si>
    <t>Nala</t>
  </si>
  <si>
    <t>Alva</t>
  </si>
  <si>
    <t>Azariah</t>
  </si>
  <si>
    <t>3 Piece Scalloped Edge Crinkle Microfiber Quilt Set</t>
  </si>
  <si>
    <t>PP001861;PF005954</t>
  </si>
  <si>
    <t>MP13-8196</t>
  </si>
  <si>
    <t>BLK01,CSNSTORES,JCPENNEY01,KIRKLANDDS,KOHLDSN,MACY02,TGTDVS</t>
  </si>
  <si>
    <t>MP13-8197</t>
  </si>
  <si>
    <t>PP001861;PF005955</t>
  </si>
  <si>
    <t>ASHFURNDS,BLK01,CSNSTORES,KIRKLANDDS,KOHLDSN,MACY02,TGTDVS</t>
  </si>
  <si>
    <t>4/1/2024</t>
  </si>
  <si>
    <t>MP13-8198</t>
  </si>
  <si>
    <t>KOHLDSN,MACY02</t>
  </si>
  <si>
    <t>MP13-6132</t>
  </si>
  <si>
    <t>Keaton</t>
  </si>
  <si>
    <t>Jaxson</t>
  </si>
  <si>
    <t>Mitchell</t>
  </si>
  <si>
    <t>2 Piece Quilt Set</t>
  </si>
  <si>
    <t>PF004530</t>
  </si>
  <si>
    <t>Farm House|Transitional</t>
  </si>
  <si>
    <t>1/4/2019</t>
  </si>
  <si>
    <t>JCPENNEY01,KOHLDSN,MACY02,TGTDVS</t>
  </si>
  <si>
    <t>MP13-6133</t>
  </si>
  <si>
    <t>3 Piece Quilt Set</t>
  </si>
  <si>
    <t>ASHFURNDS,JCPENNEY01,KOHLDSN,MACY02,OLLIIX,TGTDVS</t>
  </si>
  <si>
    <t>MP13-6134</t>
  </si>
  <si>
    <t>ASHFURNDS,BLK01,CSNSTORES,JCPENNEY01,KOHLDSN,OLLIIX,TGTDVS</t>
  </si>
  <si>
    <t>MP13-1237</t>
  </si>
  <si>
    <t>PF003411</t>
  </si>
  <si>
    <t>ASHFURNDS,CSNSTORES,JCPENNEY01,MACY02,TGTDVS</t>
  </si>
  <si>
    <t>MP13-1238</t>
  </si>
  <si>
    <t>AAFESDS,CSNSTORES,KOHLDSN,MACY02,OLLIIX,ROOMECOM</t>
  </si>
  <si>
    <t>MP13-1239</t>
  </si>
  <si>
    <t>ASHFURNDS,CSNSTORES,JCPENNEY01,MACY02,OLLIIX</t>
  </si>
  <si>
    <t>MP13-3457</t>
  </si>
  <si>
    <t>PF003412</t>
  </si>
  <si>
    <t>CSNSTORES,JCPENNEY01,KOHLDSN,MACY02,TGTDVS</t>
  </si>
  <si>
    <t>MP13-3458</t>
  </si>
  <si>
    <t>MP13-3459</t>
  </si>
  <si>
    <t>ASHFURNDS,CSNSTORES,KOHLDSN,MACY02,OLLIIX,OVERSTOCK01</t>
  </si>
  <si>
    <t>8/26/2018</t>
  </si>
  <si>
    <t>MP13-6115</t>
  </si>
  <si>
    <t>11/18/2019</t>
  </si>
  <si>
    <t>MP13-6116</t>
  </si>
  <si>
    <t>CSNSTORES,DESINC,JCPENNEY01,KOHLDSN,MACY02,TGTDVS</t>
  </si>
  <si>
    <t>MP13-6117</t>
  </si>
  <si>
    <t>CSNSTORES,JCPENNEY01,KOHLDSN,MACY02,OVERSTOCK01</t>
  </si>
  <si>
    <t>3/31/2019</t>
  </si>
  <si>
    <t>MP13-625</t>
  </si>
  <si>
    <t>PF003409</t>
  </si>
  <si>
    <t>MP13-626</t>
  </si>
  <si>
    <t>ASHFURNDS,CSNSTORES,JCPENNEY01,OLLIIX,OVERSTOCK01,TGTDVS</t>
  </si>
  <si>
    <t>MP13-627</t>
  </si>
  <si>
    <t>ASHFURNDS,CSNSTORES,JCPENNEY01,MACY02,OLLIIX,OVERSTOCK01,TGTDVS</t>
  </si>
  <si>
    <t>MP13-8112</t>
  </si>
  <si>
    <t>3 Piece Printed Microfiber Seersucker Quilt Set</t>
  </si>
  <si>
    <t>10/24/2022</t>
  </si>
  <si>
    <t>ASHFURNDS,BLK01,CSNSTORES,JCPENNEY01,MACY02,OVERSTOCK01,TGTDVS</t>
  </si>
  <si>
    <t>MP13-8113</t>
  </si>
  <si>
    <t>ASHFURNDS,CSNSTORES,JCPENNEY01,MACY02,OVERSTOCK01,TGTDVS</t>
  </si>
  <si>
    <t>3/17/2023</t>
  </si>
  <si>
    <t>MP13-8468</t>
  </si>
  <si>
    <t>MP13-8469</t>
  </si>
  <si>
    <t>MP13-8132</t>
  </si>
  <si>
    <t>3 Piece Printed Color Blocking Microfiber Quilt Set</t>
  </si>
  <si>
    <t>PP001831;PF005878</t>
  </si>
  <si>
    <t>11/8/2022</t>
  </si>
  <si>
    <t>MP13-8133</t>
  </si>
  <si>
    <t>MP13-8152</t>
  </si>
  <si>
    <t>Franklin</t>
  </si>
  <si>
    <t>Cameron</t>
  </si>
  <si>
    <t>Ashton</t>
  </si>
  <si>
    <t>3 Piece Crinkled Microfiber Quilt Set</t>
  </si>
  <si>
    <t>Charcoal</t>
  </si>
  <si>
    <t>PP001837;PF005891</t>
  </si>
  <si>
    <t>12/15/2022</t>
  </si>
  <si>
    <t>JCPENNEY01,OLLIIX</t>
  </si>
  <si>
    <t>10/24/2023</t>
  </si>
  <si>
    <t>MP13-8153</t>
  </si>
  <si>
    <t>PP001837;PF005892</t>
  </si>
  <si>
    <t>11/16/2023</t>
  </si>
  <si>
    <t>MP13-8154</t>
  </si>
  <si>
    <t>AMAZON,OVERSTOCK01,TGTDVS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</si>
  <si>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</si>
  <si>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</si>
  <si>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</si>
  <si>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</si>
  <si>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</si>
  <si>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</si>
  <si>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</si>
  <si>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1/23/2023</t>
  </si>
  <si>
    <t>MP13-8191</t>
  </si>
  <si>
    <t>6/26/2023</t>
  </si>
  <si>
    <t>MP13-8307</t>
  </si>
  <si>
    <t>Harlow</t>
  </si>
  <si>
    <t>Raine</t>
  </si>
  <si>
    <t>Lux</t>
  </si>
  <si>
    <t>3 Piece Reversible Matelasse Coverlet Set</t>
  </si>
  <si>
    <t>PP001908;PF006089</t>
  </si>
  <si>
    <t>KOHLDSN,OLLIIX</t>
  </si>
  <si>
    <t>MP13-8308</t>
  </si>
  <si>
    <t>MP13-8309</t>
  </si>
  <si>
    <t>PP001908;PF006090</t>
  </si>
  <si>
    <t>10/26/2023</t>
  </si>
  <si>
    <t>OVERSTOCK01,TGTDVS</t>
  </si>
  <si>
    <t>MP13-8310</t>
  </si>
  <si>
    <t>MP13-6466</t>
  </si>
  <si>
    <t>Harper</t>
  </si>
  <si>
    <t>Emery</t>
  </si>
  <si>
    <t>Mercer</t>
  </si>
  <si>
    <t>3 Piece Velvet Quilt Set</t>
  </si>
  <si>
    <t>PF004509</t>
  </si>
  <si>
    <t>AMAZON,CSNSTORES,JCPENNEY01,ROOMECOM,TGTDVS</t>
  </si>
  <si>
    <t>MP13-6467</t>
  </si>
  <si>
    <t>MP13-3307</t>
  </si>
  <si>
    <t>PF002598</t>
  </si>
  <si>
    <t>MP13-3308</t>
  </si>
  <si>
    <t>JCPENNEY01,MACY02,OLLIIX,TGTDVS</t>
  </si>
  <si>
    <t>MP13-3301</t>
  </si>
  <si>
    <t>PF002595</t>
  </si>
  <si>
    <t>MP13-3302</t>
  </si>
  <si>
    <t>AMAZON,CSNSTORES,JCPENNEY01,MACY02,OLLIIX,TGTDVS</t>
  </si>
  <si>
    <t>MP13-8009</t>
  </si>
  <si>
    <t>Mustard</t>
  </si>
  <si>
    <t>PP001790;PF005759</t>
  </si>
  <si>
    <t>MP13-8010</t>
  </si>
  <si>
    <t>MP13-3303</t>
  </si>
  <si>
    <t>PF002596</t>
  </si>
  <si>
    <t>AMAZON,AMAZONDS,CSNSTORES,JCPENNEY01,MACY02,OLLIIX</t>
  </si>
  <si>
    <t>MP13-3304</t>
  </si>
  <si>
    <t>AMAZON,AMAZONDS,JCPENNEY01,MACY02,OLLIIX</t>
  </si>
  <si>
    <t>MP13-8007</t>
  </si>
  <si>
    <t>Rust</t>
  </si>
  <si>
    <t>PP001790;PF005758</t>
  </si>
  <si>
    <t>ASHFURNDS,CSNSTORES,JCPENNEY01,TGTDVS</t>
  </si>
  <si>
    <t>MP13-8008</t>
  </si>
  <si>
    <t>MP13-3305</t>
  </si>
  <si>
    <t>PF002597</t>
  </si>
  <si>
    <t>11/29/2019</t>
  </si>
  <si>
    <t>MP13-3306</t>
  </si>
  <si>
    <t>AMAZON,CSNSTORES,MACY02,OLLIIX,TGTDVS</t>
  </si>
  <si>
    <t>MP13-4611</t>
  </si>
  <si>
    <t>PF002599</t>
  </si>
  <si>
    <t>6/29/2017</t>
  </si>
  <si>
    <t>MP13-4612</t>
  </si>
  <si>
    <t>AMAZON,CSNSTORES,HSNDS,MACY02,OLLIIX,ROOMECOM,TGTDVS</t>
  </si>
  <si>
    <t>MP13-7144</t>
  </si>
  <si>
    <t xml:space="preserve">3 Piece Tufted Cotton Chenille  Coverlet Set</t>
  </si>
  <si>
    <t>PP001469;PF005063</t>
  </si>
  <si>
    <t>4/9/2020</t>
  </si>
  <si>
    <t>MP13-7145</t>
  </si>
  <si>
    <t>MP13-6476</t>
  </si>
  <si>
    <t>Fitted Bedspread</t>
  </si>
  <si>
    <t>3 Piece Split Corner Pleated Quilted Bedspread</t>
  </si>
  <si>
    <t>7/18/2019</t>
  </si>
  <si>
    <t>AMAZONDS,BLK01,CSNSTORES,JCPENNEY01,KOHLDSN,TGTDVS</t>
  </si>
  <si>
    <t>MP13-6477</t>
  </si>
  <si>
    <t>AMAZON,BLK01,CSNSTORES,JCPENNEY01,MACY02,TGTDVS</t>
  </si>
  <si>
    <t>MP13-6480</t>
  </si>
  <si>
    <t>MP13-6481</t>
  </si>
  <si>
    <t>AMAZON,BLK01,CSNSTORES,KOHLDSN</t>
  </si>
  <si>
    <t>MP13-6474</t>
  </si>
  <si>
    <t>AMAZON,AMAZONDS,BLK01,KOHLDSN</t>
  </si>
  <si>
    <t>10/17/2021</t>
  </si>
  <si>
    <t>MP13-6475</t>
  </si>
  <si>
    <t>AMAZON,CSNSTORES,JCPENNEY01,KOHLDSN,TGTDVS,WALMARTDS</t>
  </si>
  <si>
    <t>MP13-6478</t>
  </si>
  <si>
    <t>AMAZON,JCPENNEY01,TGTDVS,WALMARTDS</t>
  </si>
  <si>
    <t>11/1/2021</t>
  </si>
  <si>
    <t>MP13-6479</t>
  </si>
  <si>
    <t>MP13-5485</t>
  </si>
  <si>
    <t>Breanna</t>
  </si>
  <si>
    <t>Levine</t>
  </si>
  <si>
    <t>Miller</t>
  </si>
  <si>
    <t>4 Piece Cotton Reversible Tailored Bedspread Set</t>
  </si>
  <si>
    <t>PF004098;PP000746</t>
  </si>
  <si>
    <t>11/27/2017</t>
  </si>
  <si>
    <t>MP13-5486</t>
  </si>
  <si>
    <t>MP13-5487</t>
  </si>
  <si>
    <t>PF004099;PP000746</t>
  </si>
  <si>
    <t>MP13-5488</t>
  </si>
  <si>
    <t xml:space="preserve">4 Piece Cotton Reversible Tailored  Bedspread  Set</t>
  </si>
  <si>
    <t>MP13-4473</t>
  </si>
  <si>
    <t>Daybed Cover</t>
  </si>
  <si>
    <t>6 Piece Reversible Daybed Cover Set</t>
  </si>
  <si>
    <t>Daybed</t>
  </si>
  <si>
    <t>PF002447</t>
  </si>
  <si>
    <t>6/23/2017</t>
  </si>
  <si>
    <t>AMAZON,BLK01,CSNSTORES,JCPENNEY01,KOHLDSN,MACY02,TGTDVS,WALMARTDS</t>
  </si>
  <si>
    <t>MP13-4474</t>
  </si>
  <si>
    <t>6 Piece Reversible Printed Microfiber Daybed Cover Set</t>
  </si>
  <si>
    <t>PF003396</t>
  </si>
  <si>
    <t>6/10/2017</t>
  </si>
  <si>
    <t>AMAZON,AMAZONDS,CSNSTORES,HDDS,JCPENNEY01,KOHLDSN,OLLIIX,OVERSTOCK01</t>
  </si>
  <si>
    <t>MP13-6572</t>
  </si>
  <si>
    <t>Southwest|Transitional</t>
  </si>
  <si>
    <t>1/14/2020</t>
  </si>
  <si>
    <t>MP13-6472</t>
  </si>
  <si>
    <t>6 Piece Cotton Daybed Cover Set</t>
  </si>
  <si>
    <t>PF004099</t>
  </si>
  <si>
    <t>Cottage/Country|Casual</t>
  </si>
  <si>
    <t>7/29/2019</t>
  </si>
  <si>
    <t>MP13-3972</t>
  </si>
  <si>
    <t>PF002720</t>
  </si>
  <si>
    <t>5/10/2017</t>
  </si>
  <si>
    <t>11/15/2024</t>
  </si>
  <si>
    <t>AMAZON,CSNSTORES,FINGERHUTDS,JCPENNEY01,MACY02,OLLIIX,TGTDVS,WALMARTDS</t>
  </si>
  <si>
    <t>MP13-5590</t>
  </si>
  <si>
    <t>Leila</t>
  </si>
  <si>
    <t>Lorilyn</t>
  </si>
  <si>
    <t>Lucita</t>
  </si>
  <si>
    <t>Dark Gray</t>
  </si>
  <si>
    <t>PF004175;PP000845</t>
  </si>
  <si>
    <t>3/20/2018</t>
  </si>
  <si>
    <t>MP13-3976</t>
  </si>
  <si>
    <t>Peyton</t>
  </si>
  <si>
    <t>Brenna</t>
  </si>
  <si>
    <t>Natalie</t>
  </si>
  <si>
    <t>PF002639;PP000923</t>
  </si>
  <si>
    <t>5/26/2017</t>
  </si>
  <si>
    <t>AMAZON,CSNSTORES,JCPENNEY01,KOHLDSN,WALMARTDS</t>
  </si>
  <si>
    <t>1/18/2019</t>
  </si>
  <si>
    <t>MP13-6458</t>
  </si>
  <si>
    <t>10/27/2021</t>
  </si>
  <si>
    <t>MP13-4970</t>
  </si>
  <si>
    <t>PF002408</t>
  </si>
  <si>
    <t>8/24/2017</t>
  </si>
  <si>
    <t>MP13-3977</t>
  </si>
  <si>
    <t>PF002403</t>
  </si>
  <si>
    <t>MP13-4971</t>
  </si>
  <si>
    <t>PF002410</t>
  </si>
  <si>
    <t>AMAZON,CSNSTORES,HDDS,JCPENNEY01,KOHLDSN</t>
  </si>
  <si>
    <t>MP13-3979</t>
  </si>
  <si>
    <t>PF002405</t>
  </si>
  <si>
    <t>MP13-3980</t>
  </si>
  <si>
    <t>PF002406</t>
  </si>
  <si>
    <t>MP13-8388</t>
  </si>
  <si>
    <t>6 Piece Reversible Plaid Daybed Cover Set</t>
  </si>
  <si>
    <t>PP001537;PF006171</t>
  </si>
  <si>
    <t>4/5/2024</t>
  </si>
  <si>
    <t>MP13-8387</t>
  </si>
  <si>
    <t>MP13-6465</t>
  </si>
  <si>
    <t>PP001308</t>
  </si>
  <si>
    <t>10/2/2019</t>
  </si>
  <si>
    <t>10/20/2021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</si>
  <si>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</si>
  <si>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</si>
  <si>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</si>
  <si>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</si>
  <si>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</si>
  <si>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</si>
  <si>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</si>
  <si>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</si>
  <si>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AMAZON,CSNSTORES,TGTDVS,WALMARTDS</t>
  </si>
  <si>
    <t>MP13-5322</t>
  </si>
  <si>
    <t>5 Piece Tufted Cotton Chenille Daybed Set</t>
  </si>
  <si>
    <t>MP13-3973</t>
  </si>
  <si>
    <t>PF002678</t>
  </si>
  <si>
    <t>4/20/2017</t>
  </si>
  <si>
    <t>MP13-3974</t>
  </si>
  <si>
    <t>4/27/2017</t>
  </si>
  <si>
    <t>JCPENNEY01,OVERSTOCK01,TGTDVS</t>
  </si>
  <si>
    <t>MP13-8386</t>
  </si>
  <si>
    <t>6 Piece Reversible Scalloped Edge Daybed Cover Set</t>
  </si>
  <si>
    <t>Shabby Chic|Traditional</t>
  </si>
  <si>
    <t>MP13-6463</t>
  </si>
  <si>
    <t>7/12/2019</t>
  </si>
  <si>
    <t>11/19/2021</t>
  </si>
  <si>
    <t>MP13-5024</t>
  </si>
  <si>
    <t>PF002700</t>
  </si>
  <si>
    <t>9/9/2017</t>
  </si>
  <si>
    <t>MP13-8499</t>
  </si>
  <si>
    <t>MP13-6464</t>
  </si>
  <si>
    <t>9/24/2021</t>
  </si>
  <si>
    <t>10/28/2021</t>
  </si>
  <si>
    <t>MP13-5023</t>
  </si>
  <si>
    <t>MP13-8289</t>
  </si>
  <si>
    <t>Coverlet &amp; Bedspread</t>
  </si>
  <si>
    <t>4 Piece Seersucker Quilt Set with Throw Pillow</t>
  </si>
  <si>
    <t>8/25/2023</t>
  </si>
  <si>
    <t>MP13-8290</t>
  </si>
  <si>
    <t>MP13-8205</t>
  </si>
  <si>
    <t>PP001862;PF005961</t>
  </si>
  <si>
    <t>AMAZON,CSNSTORES,JCPENNEY01,KIRKLANDDS,KOHLDSN,MACY02,OVERSTOCK01</t>
  </si>
  <si>
    <t>MP13-8206</t>
  </si>
  <si>
    <t>AMAZON,CSNSTORES,JCPENNEY01,KIRKLANDDS,KOHLDSN,MACY02,OVERSTOCK01,TGTDVS</t>
  </si>
  <si>
    <t>MP13-8470</t>
  </si>
  <si>
    <t>Red/Black</t>
  </si>
  <si>
    <t>PP001028;PF006311</t>
  </si>
  <si>
    <t>5/29/2024</t>
  </si>
  <si>
    <t>MP13-8471</t>
  </si>
  <si>
    <t>MP12-3832</t>
  </si>
  <si>
    <t>DUVET&amp;DUVET SET</t>
  </si>
  <si>
    <t>Duvet&amp;Duvet Set</t>
  </si>
  <si>
    <t>6 Piece Printed Duvet Cover Set</t>
  </si>
  <si>
    <t>MP12-3833</t>
  </si>
  <si>
    <t>5/17/2017</t>
  </si>
  <si>
    <t>AMAZON,BLK01,CSNSTORES,JCPENNEY01,KOHLDSN,MACY02,TGTDVS</t>
  </si>
  <si>
    <t>9/9/2019</t>
  </si>
  <si>
    <t>MP12-7956</t>
  </si>
  <si>
    <t>PP001783;PF005737</t>
  </si>
  <si>
    <t>Ready To Offer</t>
  </si>
  <si>
    <t>MP12-7957</t>
  </si>
  <si>
    <t>MP12-476</t>
  </si>
  <si>
    <t>12/5/2019</t>
  </si>
  <si>
    <t>MP12-477</t>
  </si>
  <si>
    <t>12/13/2019</t>
  </si>
  <si>
    <t>MP12-2707</t>
  </si>
  <si>
    <t>6 Piece Cotton Sateen Duvet Cover Set</t>
  </si>
  <si>
    <t>AMAZON,AMAZONDS,BLK01,KOHLDSN,OLLIIX</t>
  </si>
  <si>
    <t>MP12-2708</t>
  </si>
  <si>
    <t>MP12-8075</t>
  </si>
  <si>
    <t>PP000484;PF005793</t>
  </si>
  <si>
    <t>MP12-8076</t>
  </si>
  <si>
    <t>MP12-276</t>
  </si>
  <si>
    <t>6 Piece Duvet Cover Set</t>
  </si>
  <si>
    <t>MP12-277</t>
  </si>
  <si>
    <t>MP12-3736</t>
  </si>
  <si>
    <t>6 Piece Jaquard Duvet Cover Set</t>
  </si>
  <si>
    <t>9/6/2019</t>
  </si>
  <si>
    <t>MP12-3737</t>
  </si>
  <si>
    <t>MP12-3053</t>
  </si>
  <si>
    <t>MP12-3054</t>
  </si>
  <si>
    <t>8/30/2019</t>
  </si>
  <si>
    <t>MP12-8293</t>
  </si>
  <si>
    <t>5 Piece Botanical Floral Seersucker Duvet Cover Set</t>
  </si>
  <si>
    <t>MP12-8294</t>
  </si>
  <si>
    <t>MP12-2530</t>
  </si>
  <si>
    <t>4 Piece Microfiber 2-in-1 Duvet Set</t>
  </si>
  <si>
    <t>11/12/2019</t>
  </si>
  <si>
    <t>MP12-2531</t>
  </si>
  <si>
    <t>MP12-389</t>
  </si>
  <si>
    <t>9 Piece Cotton Percale Duvet Cover Set</t>
  </si>
  <si>
    <t>8/8/2019</t>
  </si>
  <si>
    <t>1/22/2021</t>
  </si>
  <si>
    <t>MP12-390</t>
  </si>
  <si>
    <t>1/9/2021</t>
  </si>
  <si>
    <t>MP12-391</t>
  </si>
  <si>
    <t>1/10/2021</t>
  </si>
  <si>
    <t>MP12-4169</t>
  </si>
  <si>
    <t>7 Piece Cotton Duvet Cover Set</t>
  </si>
  <si>
    <t>MP12-4170</t>
  </si>
  <si>
    <t>MP12-8339</t>
  </si>
  <si>
    <t>4 Piece Printed Duvet Cover Set with Throw Pillow</t>
  </si>
  <si>
    <t>MP12-8340</t>
  </si>
  <si>
    <t>AMAZON,CSNSTORES,OLLIIX,OVERSTOCK01</t>
  </si>
  <si>
    <t>MP12-5673</t>
  </si>
  <si>
    <t>MP12-5674</t>
  </si>
  <si>
    <t>MP12-260</t>
  </si>
  <si>
    <t>MP12-261</t>
  </si>
  <si>
    <t>MP12-176</t>
  </si>
  <si>
    <t>MP12-177</t>
  </si>
  <si>
    <t>MP12-3663</t>
  </si>
  <si>
    <t>9 Piece Cotton Twill Reversible Duvet Set</t>
  </si>
  <si>
    <t>MP12-3664</t>
  </si>
  <si>
    <t>4/5/2017</t>
  </si>
  <si>
    <t>MP12-3665</t>
  </si>
  <si>
    <t>5/23/2017</t>
  </si>
  <si>
    <t>MP12-6185</t>
  </si>
  <si>
    <t>4 Piece Embroidered Cotton Reversible Duvet Cover Set</t>
  </si>
  <si>
    <t>1/28/2020</t>
  </si>
  <si>
    <t>MP12-6186</t>
  </si>
  <si>
    <t>MP12-4396</t>
  </si>
  <si>
    <t>Nicolette</t>
  </si>
  <si>
    <t>Kate</t>
  </si>
  <si>
    <t>Amari</t>
  </si>
  <si>
    <t>4 Piece Cotton Seersucker Duvet Cover Set</t>
  </si>
  <si>
    <t>PF002666</t>
  </si>
  <si>
    <t>6/8/2017</t>
  </si>
  <si>
    <t>8/28/2019</t>
  </si>
  <si>
    <t>MP12-4397</t>
  </si>
  <si>
    <t>10/30/2019</t>
  </si>
  <si>
    <t>MP12-2555</t>
  </si>
  <si>
    <t>4 Piece 2-in-1 Duvet Set</t>
  </si>
  <si>
    <t>9/18/2019</t>
  </si>
  <si>
    <t>MP12-7215</t>
  </si>
  <si>
    <t>6 Piece Herringbone Duvet Cover Set</t>
  </si>
  <si>
    <t>PP001539;PF005194</t>
  </si>
  <si>
    <t>6/15/2022</t>
  </si>
  <si>
    <t>12/19/2022</t>
  </si>
  <si>
    <t>MP12-7216</t>
  </si>
  <si>
    <t>9/9/2022</t>
  </si>
  <si>
    <t>MP12-4672</t>
  </si>
  <si>
    <t>9/7/2019</t>
  </si>
  <si>
    <t>MP12-4673</t>
  </si>
  <si>
    <t>10/14/2019</t>
  </si>
  <si>
    <t>MP12-1102</t>
  </si>
  <si>
    <t>MP12-1103</t>
  </si>
  <si>
    <t>MP12-5806</t>
  </si>
  <si>
    <t>Duvet Mini Set</t>
  </si>
  <si>
    <t>3 Piece Cotton Floral Printed Reversible Duvet Cover Set</t>
  </si>
  <si>
    <t>KOHLDSN,MACY02,TGTDVS</t>
  </si>
  <si>
    <t>MP12-5807</t>
  </si>
  <si>
    <t>BIGLOTSDS,BLK01,JCPENNEY01,MACY02,TGTDVS</t>
  </si>
  <si>
    <t>MP12-8158</t>
  </si>
  <si>
    <t>PP000879;PF005890</t>
  </si>
  <si>
    <t>MP12-8159</t>
  </si>
  <si>
    <t>MP12-7875</t>
  </si>
  <si>
    <t>3 Piece Jacquard Duvet Cover Set</t>
  </si>
  <si>
    <t>PP001752;PF005692</t>
  </si>
  <si>
    <t>MP12-7876</t>
  </si>
  <si>
    <t>MP12-6161</t>
  </si>
  <si>
    <t>3 Piece Cotton Seersucker Duvet Cover Set</t>
  </si>
  <si>
    <t>2/23/2019</t>
  </si>
  <si>
    <t>8/27/2019</t>
  </si>
  <si>
    <t>MP12-6162</t>
  </si>
  <si>
    <t>10/31/2019</t>
  </si>
  <si>
    <t>MP12-8130</t>
  </si>
  <si>
    <t>3 Piece Corduroy Duvet Cover Set</t>
  </si>
  <si>
    <t>PP001830;PF005877</t>
  </si>
  <si>
    <t>CSNSTORES,NRTPORT,TGTDVS</t>
  </si>
  <si>
    <t>MP12-8131</t>
  </si>
  <si>
    <t>MP12-6223</t>
  </si>
  <si>
    <t>3 Piece Tufted Cotton Chenille Palm Duvet Cover Set</t>
  </si>
  <si>
    <t>MP12-6224</t>
  </si>
  <si>
    <t>AMAZONDS,CSNSTORES,KOHLDSN,MACY02,TGTDVS</t>
  </si>
  <si>
    <t>6/10/2022</t>
  </si>
  <si>
    <t>8/5/2022</t>
  </si>
  <si>
    <t>MP12-8369</t>
  </si>
  <si>
    <t>3 Piece Floral Printed Cotton Duvet Cover Set</t>
  </si>
  <si>
    <t>MP12-8370</t>
  </si>
  <si>
    <t>MP12-7298</t>
  </si>
  <si>
    <t>3 Piece Cotton Duvet Cover Set</t>
  </si>
  <si>
    <t>PP001567;PF005263</t>
  </si>
  <si>
    <t>MP12-7299</t>
  </si>
  <si>
    <t>6/5/2022</t>
  </si>
  <si>
    <t>MP12-7837</t>
  </si>
  <si>
    <t>3 Piece Cotton Printed Duvet Cover Set</t>
  </si>
  <si>
    <t>PP001093;PF005654</t>
  </si>
  <si>
    <t>2/24/2022</t>
  </si>
  <si>
    <t>MP12-7838</t>
  </si>
  <si>
    <t>MP12-6167</t>
  </si>
  <si>
    <t>AMAZON,CSNSTORES,KOHLDSN,MACY02,OLLIIX,TGTDVS</t>
  </si>
  <si>
    <t>MP12-6168</t>
  </si>
  <si>
    <t>AMAZON,BIGLOTSDS,JCPENNEY01,NRTPORT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</si>
  <si>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</si>
  <si>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</si>
  <si>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</si>
  <si>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</si>
  <si>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</si>
  <si>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</si>
  <si>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MP12-8163</t>
  </si>
  <si>
    <t>MP12-8305</t>
  </si>
  <si>
    <t>3 Piece Tufted Woven Medallion Duvet Cover Set</t>
  </si>
  <si>
    <t>OLLIIX,TGTDVS</t>
  </si>
  <si>
    <t>MP12-8306</t>
  </si>
  <si>
    <t>MP12-5626</t>
  </si>
  <si>
    <t>3 Piece Cotton Waffle Weave Duvet Cover Set</t>
  </si>
  <si>
    <t>ASHFURNDS,CSNSTORES,JCPENNEY01,OLLIIX</t>
  </si>
  <si>
    <t>6/29/2019</t>
  </si>
  <si>
    <t>MP12-5627</t>
  </si>
  <si>
    <t>MP12-8285</t>
  </si>
  <si>
    <t>3 Piece Floral Duvet Cover Set</t>
  </si>
  <si>
    <t>10/25/2023</t>
  </si>
  <si>
    <t>MP12-8286</t>
  </si>
  <si>
    <t>MP12-8492</t>
  </si>
  <si>
    <t>MP12-8493</t>
  </si>
  <si>
    <t>MP12-5980</t>
  </si>
  <si>
    <t>3-Piece Tufted Cotton Chenille Medallion Duvet Cover Set</t>
  </si>
  <si>
    <t>MP12-5981</t>
  </si>
  <si>
    <t>5/17/2019</t>
  </si>
  <si>
    <t>MP12-5982</t>
  </si>
  <si>
    <t>MP12-5983</t>
  </si>
  <si>
    <t>MP12-5978</t>
  </si>
  <si>
    <t>MP12-5979</t>
  </si>
  <si>
    <t>5/10/2019</t>
  </si>
  <si>
    <t>MP12-7116</t>
  </si>
  <si>
    <t>3 piece Tufted Cotton duvet cover set</t>
  </si>
  <si>
    <t>MP12-7117</t>
  </si>
  <si>
    <t>MP12-8166</t>
  </si>
  <si>
    <t xml:space="preserve">3 Piece Clipped Jacquard  Duvet Cover Set</t>
  </si>
  <si>
    <t>PP001838;PF005894</t>
  </si>
  <si>
    <t>MP12-8167</t>
  </si>
  <si>
    <t>MP12-5862</t>
  </si>
  <si>
    <t>Daisi</t>
  </si>
  <si>
    <t>Sula</t>
  </si>
  <si>
    <t>Cotton Duvet Cover Set</t>
  </si>
  <si>
    <t>PF004277;PP000891</t>
  </si>
  <si>
    <t>JCPENNEY01,OLLIIX,TGTDVS</t>
  </si>
  <si>
    <t>MP12-8412</t>
  </si>
  <si>
    <t>3 Piece Pintuck Duvet Cover Set</t>
  </si>
  <si>
    <t>MP12-8413</t>
  </si>
  <si>
    <t>MP12-7357</t>
  </si>
  <si>
    <t>PP001599;PF005371</t>
  </si>
  <si>
    <t>AMERSIGNDS,CSNSTORES</t>
  </si>
  <si>
    <t>8/8/2022</t>
  </si>
  <si>
    <t>MP12-7358</t>
  </si>
  <si>
    <t>7/26/2022</t>
  </si>
  <si>
    <t>MP12-7093</t>
  </si>
  <si>
    <t xml:space="preserve">3 Piece Cotton Printed  Duvet Cover Set</t>
  </si>
  <si>
    <t>AMAZON,KOHLDSN,MACY02,TGTDVS,WALMARTDS</t>
  </si>
  <si>
    <t>MP12-7094</t>
  </si>
  <si>
    <t>MP12-8318</t>
  </si>
  <si>
    <t>3 Piece Floral Printed Duvet Cover Set</t>
  </si>
  <si>
    <t>MP12-8319</t>
  </si>
  <si>
    <t>MP12-5991</t>
  </si>
  <si>
    <t>3 Piece Tufted Cotton Chenille Geometric Duvet Cover Set</t>
  </si>
  <si>
    <t>AMAZONDS,TGTDVS</t>
  </si>
  <si>
    <t>MP12-5992</t>
  </si>
  <si>
    <t>5/28/2019</t>
  </si>
  <si>
    <t>MP12-8373</t>
  </si>
  <si>
    <t>3 Piece Stripe Duvet Cover Set</t>
  </si>
  <si>
    <t>MP12-8374</t>
  </si>
  <si>
    <t>MP12-6103</t>
  </si>
  <si>
    <t>3 Piece Tufted Cotton Chenille Duvet Cover Set</t>
  </si>
  <si>
    <t>MP12-6104</t>
  </si>
  <si>
    <t>11/11/2019</t>
  </si>
  <si>
    <t>MP12-8201</t>
  </si>
  <si>
    <t>PP001860;PF005953</t>
  </si>
  <si>
    <t>MP12-8202</t>
  </si>
  <si>
    <t>JCPENNEY01,OLLIIX,OVERSTOCK01</t>
  </si>
  <si>
    <t>MP12-7825</t>
  </si>
  <si>
    <t>3 Piece Tufted Cotton Chenille Floral Duvet Cover Set</t>
  </si>
  <si>
    <t>PP001234;PF005648</t>
  </si>
  <si>
    <t>JCPENNEY01,KOHLDSN,MACY02,OVERSTOCK01,TGTDVS</t>
  </si>
  <si>
    <t>MP12-7826</t>
  </si>
  <si>
    <t>MP12-6394</t>
  </si>
  <si>
    <t>MP12-6395</t>
  </si>
  <si>
    <t>MP12-6207</t>
  </si>
  <si>
    <t>3 Piece Tufted Cotton Chenille Damask Duvet Cover Set</t>
  </si>
  <si>
    <t>MP12-6208</t>
  </si>
  <si>
    <t>AMAZON,AMERSIGNDS,ASHFURNDS,CSNSTORES,JCPENNEY01,MACY02,OLLIIX,OVERSTOCK01,ZOLA</t>
  </si>
  <si>
    <t>11/23/2019</t>
  </si>
  <si>
    <t>MP12-7104</t>
  </si>
  <si>
    <t>3 piece Tufted Cotton Chenille Damask Duvet Cover Set</t>
  </si>
  <si>
    <t>3/18/2020</t>
  </si>
  <si>
    <t>MP12-7105</t>
  </si>
  <si>
    <t>AMAZON,CSNSTORES,HDDS,JCPENNEY01,KOHLDSN,TGTDVS,ZOLA</t>
  </si>
  <si>
    <t>MP12-7142</t>
  </si>
  <si>
    <t>PP001468;PF005062</t>
  </si>
  <si>
    <t>AMAZON,TGTDVS,WALMARTDS</t>
  </si>
  <si>
    <t>7/6/2022</t>
  </si>
  <si>
    <t>MP12-7143</t>
  </si>
  <si>
    <t>MP50-1215</t>
  </si>
  <si>
    <t>THROW</t>
  </si>
  <si>
    <t>Filled Throw</t>
  </si>
  <si>
    <t>Oversized Quilted Throw with Scalloped Edges</t>
  </si>
  <si>
    <t>60x72"</t>
  </si>
  <si>
    <t>1</t>
  </si>
  <si>
    <t>AMAZON,BLK01,CSNSTORES,MACY02,ZOLA</t>
  </si>
  <si>
    <t>11/8/2019</t>
  </si>
  <si>
    <t>MP50-4302</t>
  </si>
  <si>
    <t>PF003553</t>
  </si>
  <si>
    <t>AMAZON,BIGLOTSDS,BLK01,CSNSTORES,HSNDS,KOHLDSN,MACY02,TGTDVS</t>
  </si>
  <si>
    <t>MP50-1216</t>
  </si>
  <si>
    <t>AMAZON,ASHFURNDS,BLK01,KOHLDSN,MACY02,TGTDVS,ZOLA</t>
  </si>
  <si>
    <t>MP50-8385</t>
  </si>
  <si>
    <t>AMAZON,AMAZONDS,KOHLDSN,TGTDVS</t>
  </si>
  <si>
    <t>MP50-6123</t>
  </si>
  <si>
    <t>3/3/2020</t>
  </si>
  <si>
    <t>5/22/2020</t>
  </si>
  <si>
    <t>MP50-4301</t>
  </si>
  <si>
    <t>PF003552</t>
  </si>
  <si>
    <t>10/18/2019</t>
  </si>
  <si>
    <t>MP50-2988</t>
  </si>
  <si>
    <t>Oversized Quilted Throw</t>
  </si>
  <si>
    <t>60x70"</t>
  </si>
  <si>
    <t>AMAZON,BLK01,CSNSTORES,KOHLDSN,MACY02</t>
  </si>
  <si>
    <t>MP50-2986</t>
  </si>
  <si>
    <t>AMAZON,AMAZONDS,BLK01,CSNSTORES,HSNDS,KOHLDSN</t>
  </si>
  <si>
    <t>7/16/2019</t>
  </si>
  <si>
    <t>10/21/2019</t>
  </si>
  <si>
    <t>MP50-2984</t>
  </si>
  <si>
    <t>MP50-2985</t>
  </si>
  <si>
    <t>MP50-2987</t>
  </si>
  <si>
    <t>AMAZON,AMAZONDS,CSNSTORES,MACY02</t>
  </si>
  <si>
    <t>9/27/2019</t>
  </si>
  <si>
    <t>MP50-1970</t>
  </si>
  <si>
    <t>Oversized Printed Microfiber Quilted Throw</t>
  </si>
  <si>
    <t>PF003566;PP000384</t>
  </si>
  <si>
    <t>AMAZON,AMAZONDS,ASHFURNDS,CSNSTORES,KOHLDSN,MACY02,OLLIIX,OVERSTOCK01,TGTDVS</t>
  </si>
  <si>
    <t>8/23/2019</t>
  </si>
  <si>
    <t>MP50-3723</t>
  </si>
  <si>
    <t>Oversized Cotton Quilted Throw</t>
  </si>
  <si>
    <t>50x70"</t>
  </si>
  <si>
    <t>AMAZON,AMAZONDS,CSNSTORES,HSNDS,KOHLDSN,MACY02,TGTDVS,WALMARTDS</t>
  </si>
  <si>
    <t>9/11/2019</t>
  </si>
  <si>
    <t>MP11-5366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</si>
  <si>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</si>
  <si>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</si>
  <si>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</si>
  <si>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</si>
  <si>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</si>
  <si>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</si>
  <si>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</si>
  <si>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11/6/2017</t>
  </si>
  <si>
    <t>MP11-5365</t>
  </si>
  <si>
    <t>CSNSTORES,JCPENNEY01,KOHLDSN,OVERSTOCK01,TGTDVS</t>
  </si>
  <si>
    <t>MP11-5368</t>
  </si>
  <si>
    <t>PF001679</t>
  </si>
  <si>
    <t>MP11-5364</t>
  </si>
  <si>
    <t>AMAZON,AMAZONDS,CSNSTORES,JCPENNEY01,KOHLDSN,OVERSTOCK01,TGTDVS,WALMARTDS</t>
  </si>
  <si>
    <t>8/31/2019</t>
  </si>
  <si>
    <t>MPE10-980</t>
  </si>
  <si>
    <t>Madison Park Essentials</t>
  </si>
  <si>
    <t>RIAB</t>
  </si>
  <si>
    <t>Brystol</t>
  </si>
  <si>
    <t>Cadence</t>
  </si>
  <si>
    <t>24 Piece Room in a Bag</t>
  </si>
  <si>
    <t>PP001789;PF005756</t>
  </si>
  <si>
    <t>24</t>
  </si>
  <si>
    <t>9/2/2022</t>
  </si>
  <si>
    <t>AMAZONDS,BLK01,CSNSTORES,JCPENNEY01,MACY02,NRTPORT,OVERSTOCK01</t>
  </si>
  <si>
    <t>MPE10-981</t>
  </si>
  <si>
    <t>AMAZONDS,BLK01,CSNSTORES,JCPENNEY01,KOHLDSN,MACY02,NRTPORT,OVERSTOCK01</t>
  </si>
  <si>
    <t>4/2/2023</t>
  </si>
  <si>
    <t>MPE10-982</t>
  </si>
  <si>
    <t>AAFESDS,AMAZONDS,BLK01,CSNSTORES,DESINC,JCPENNEY01,MACY02,TGTDVS</t>
  </si>
  <si>
    <t>MPE10-636</t>
  </si>
  <si>
    <t>PF003680</t>
  </si>
  <si>
    <t>8/19/2017</t>
  </si>
  <si>
    <t>AMAZON,BLK01,CSNSTORES,HSNDS,JCPENNEY01,MACY02,NRTPORT,ROOMECOM</t>
  </si>
  <si>
    <t>MPE10-637</t>
  </si>
  <si>
    <t>6/30/2024</t>
  </si>
  <si>
    <t>AAFESDS,AMAZON,BLK01,CSNSTORES,FINGERHUTDS,JCPENNEY01,MACY02,NRTPORT,TGTDVS</t>
  </si>
  <si>
    <t>MPE10-638</t>
  </si>
  <si>
    <t>MPE10-633</t>
  </si>
  <si>
    <t>PF003679</t>
  </si>
  <si>
    <t>AMAZON,BLK01,CSNSTORES,HSNDS,JCPENNEY01,NRTPORT,TGTDVS</t>
  </si>
  <si>
    <t>MPE10-634</t>
  </si>
  <si>
    <t>AMAZON,BLK01,CSNSTORES,JCPENNEY01,OVERSTOCK01,TGTDVS</t>
  </si>
  <si>
    <t>MPE10-635</t>
  </si>
  <si>
    <t>AAFESDS,AMAZON,CSNSTORES,FINGERHUTDS,JCPENNEY01</t>
  </si>
  <si>
    <t>MPE10-223</t>
  </si>
  <si>
    <t>PF003678</t>
  </si>
  <si>
    <t>AMAZON,CSNSTORES,FINGERHUTDS,JCPENNEY01,KOHLDSN,MACY02</t>
  </si>
  <si>
    <t>MPE10-224</t>
  </si>
  <si>
    <t>AMAZON,CSNSTORES,FINGERHUTDS,JCPENNEY01,MACY02,OVERSTOCK01,TGTDVS</t>
  </si>
  <si>
    <t>MPE10-225</t>
  </si>
  <si>
    <t>AMAZON,BLK01,CSNSTORES,FINGERHUTDS,JCPENNEY01,NRTPORT,OVERSTOCK01</t>
  </si>
  <si>
    <t>MPE10-784</t>
  </si>
  <si>
    <t>PF004547</t>
  </si>
  <si>
    <t>AMAZON,CSNSTORES,FINGERHUTDS,JCPENNEY01,MACY02,OLLIIX,OVERSTOCK01</t>
  </si>
  <si>
    <t>6/21/2019</t>
  </si>
  <si>
    <t>10/8/2019</t>
  </si>
  <si>
    <t>MPE10-785</t>
  </si>
  <si>
    <t>AMAZON,BLK01,CSNSTORES,JCPENNEY01,OVERSTOCK01</t>
  </si>
  <si>
    <t>MPE10-786</t>
  </si>
  <si>
    <t>AMAZON,CSNSTORES,JCPENNEY01,NRTPORT,ROOMECOM</t>
  </si>
  <si>
    <t>MPE10-977</t>
  </si>
  <si>
    <t>PP001789;PF005757</t>
  </si>
  <si>
    <t>AMAZONDS,BLK01,CSNSTORES,JCPENNEY01,NRTPORT,OVERSTOCK01</t>
  </si>
  <si>
    <t>MPE10-978</t>
  </si>
  <si>
    <t>3/30/2023</t>
  </si>
  <si>
    <t>MPE10-979</t>
  </si>
  <si>
    <t>AAFESDS,AMAZONDS,CSNSTORES,JCPENNEY01</t>
  </si>
  <si>
    <t>5/23/2023</t>
  </si>
  <si>
    <t>MPE10-698</t>
  </si>
  <si>
    <t>Joella</t>
  </si>
  <si>
    <t>Loretta</t>
  </si>
  <si>
    <t>Emma</t>
  </si>
  <si>
    <t>24 Piece Room In a Bag</t>
  </si>
  <si>
    <t>PP000636;PF004062</t>
  </si>
  <si>
    <t>Glam/Luxury|Casual</t>
  </si>
  <si>
    <t>CSNSTORES,FINGERHUTDS,JCPENNEY01,MACY02,NRTPORT,OVERSTOCK01</t>
  </si>
  <si>
    <t>MPE10-699</t>
  </si>
  <si>
    <t>AMAZON,BLK01,CSNSTORES,FINGERHUTDS,JCPENNEY01,MACY02,OVERSTOCK01,TGTDVS</t>
  </si>
  <si>
    <t>MPE10-700</t>
  </si>
  <si>
    <t>AMAZON,AMAZONDS,BLK01,CSNSTORES,JCPENNEY01,KOHLDSN,MACY02,WALMARTDS</t>
  </si>
  <si>
    <t>MPE10-809</t>
  </si>
  <si>
    <t>PP000636;PF004747</t>
  </si>
  <si>
    <t>Cottage/Country|Glam/Luxury</t>
  </si>
  <si>
    <t>MPE10-810</t>
  </si>
  <si>
    <t>AMAZON,BLK01,CSNSTORES,MACY02,OVERSTOCK01,TGTDVS</t>
  </si>
  <si>
    <t>MPE10-811</t>
  </si>
  <si>
    <t>MPE10-476</t>
  </si>
  <si>
    <t>PF003692</t>
  </si>
  <si>
    <t>AMAZON,CSNSTORES,JCPENNEY01,KOHLDSN,MACY02,OVERSTOCK01,TGTDVS,WALMARTDS</t>
  </si>
  <si>
    <t>MPE10-477</t>
  </si>
  <si>
    <t>AMAZON,AMAZONDS,CSNSTORES,JCPENNEY01,MACY02,NRTPORT,OVERSTOCK01</t>
  </si>
  <si>
    <t>MPE10-478</t>
  </si>
  <si>
    <t>AMAZON,AMAZONDS,BLK01,CSNSTORES,JCPENNEY01,NRTPORT,OVERSTOCK01</t>
  </si>
  <si>
    <t>MPE10-765</t>
  </si>
  <si>
    <t>PP000636;PF004504</t>
  </si>
  <si>
    <t>AAFESDS,AMAZON,BLK01,CSNSTORES,JCPENNEY01,NRTPORT,OVERSTOCK01,WALMARTDS</t>
  </si>
  <si>
    <t>12/2/2019</t>
  </si>
  <si>
    <t>MPE10-766</t>
  </si>
  <si>
    <t>AMAZON,AMAZONDS,CSNSTORES,JCPENNEY01,KOHLDSN,NRTPORT</t>
  </si>
  <si>
    <t>MPE10-767</t>
  </si>
  <si>
    <t>AMAZON,CSNSTORES,JCPENNEY01,NRTPORT,OVERSTOCK01</t>
  </si>
  <si>
    <t>MPE10-479</t>
  </si>
  <si>
    <t>PF003691</t>
  </si>
  <si>
    <t>6/1/2017</t>
  </si>
  <si>
    <t>10/25/2024</t>
  </si>
  <si>
    <t>MPE10-480</t>
  </si>
  <si>
    <t>AMAZON,CSNSTORES,NRTPORT,OVERSTOCK01,TGTDVS</t>
  </si>
  <si>
    <t>MPE10-481</t>
  </si>
  <si>
    <t>AMAZON,FINGERHUTDS,OVERSTOCK01</t>
  </si>
  <si>
    <t>MPE10-707</t>
  </si>
  <si>
    <t>Delaney</t>
  </si>
  <si>
    <t>Parker</t>
  </si>
  <si>
    <t>Emerson</t>
  </si>
  <si>
    <t>PF004065;PP000639</t>
  </si>
  <si>
    <t>10/18/2024</t>
  </si>
  <si>
    <t>AMAZON,AMAZONDS,DESINC,FINGERHUTDS,JCPENNEY01,MACY02,OVERSTOCK01</t>
  </si>
  <si>
    <t>11/2/2018</t>
  </si>
  <si>
    <t>MPE10-708</t>
  </si>
  <si>
    <t>AMAZON,BLK01,CSNSTORES,FINGERHUTDS,NRTPORT,TGTDVS</t>
  </si>
  <si>
    <t>11/29/2018</t>
  </si>
  <si>
    <t>MPE10-709</t>
  </si>
  <si>
    <t>AMAZON,FINGERHUTDS,MACY02,NRTPORT</t>
  </si>
  <si>
    <t>MPE10-812</t>
  </si>
  <si>
    <t>PP000639;PF004751</t>
  </si>
  <si>
    <t>7/22/2019</t>
  </si>
  <si>
    <t>AMAZONDS,KOHLDSN,TGTDVS</t>
  </si>
  <si>
    <t>MPE10-813</t>
  </si>
  <si>
    <t>AMAZON,BLK01,CSNSTORES,KOHLDSN,MACY02,NRTPORT,ROOMECOM,TGTDVS</t>
  </si>
  <si>
    <t>MPE10-814</t>
  </si>
  <si>
    <t>MPE10-232</t>
  </si>
  <si>
    <t>Jelena</t>
  </si>
  <si>
    <t>Katarina</t>
  </si>
  <si>
    <t>Ivana</t>
  </si>
  <si>
    <t>PF003683</t>
  </si>
  <si>
    <t>MPE10-233</t>
  </si>
  <si>
    <t>BLK01,CSNSTORES,JCPENNEY01,KOHLDSN,WALMARTDS</t>
  </si>
  <si>
    <t>MPE10-234</t>
  </si>
  <si>
    <t>AMAZON,CSNSTORES,NRTPORT</t>
  </si>
  <si>
    <t>MPE10-610</t>
  </si>
  <si>
    <t>Jordan</t>
  </si>
  <si>
    <t>Charley</t>
  </si>
  <si>
    <t>PF003701</t>
  </si>
  <si>
    <t>MPE10-220</t>
  </si>
  <si>
    <t>Michelle</t>
  </si>
  <si>
    <t>Christine</t>
  </si>
  <si>
    <t>Tracy</t>
  </si>
  <si>
    <t>PF003677</t>
  </si>
  <si>
    <t>MPE10-221</t>
  </si>
  <si>
    <t>MPE10-222</t>
  </si>
  <si>
    <t>MPE10-762</t>
  </si>
  <si>
    <t>Windsor</t>
  </si>
  <si>
    <t>Harriet</t>
  </si>
  <si>
    <t>24 Piece Room In A Bag</t>
  </si>
  <si>
    <t>Black/Gold</t>
  </si>
  <si>
    <t>PF004501;PP001023</t>
  </si>
  <si>
    <t>MPE10-763</t>
  </si>
  <si>
    <t>AMAZON,CSNSTORES,KOHLDSN,MACY02</t>
  </si>
  <si>
    <t>MPE10-764</t>
  </si>
  <si>
    <t>MPE10-727</t>
  </si>
  <si>
    <t>Maible</t>
  </si>
  <si>
    <t>Calla</t>
  </si>
  <si>
    <t>7 Piece Comforter Set with Cotton Bed Sheets</t>
  </si>
  <si>
    <t>PP000877;PF004250</t>
  </si>
  <si>
    <t>3/28/2018</t>
  </si>
  <si>
    <t>CSNSTORES,MACY02,OLLIIX</t>
  </si>
  <si>
    <t>MPE10-728</t>
  </si>
  <si>
    <t>9 Piece Comforter Set with Cotton Bed Sheets</t>
  </si>
  <si>
    <t>AMAZON,CSNSTORES,OLLIIX,OVERSTOCK01,WALMARTDS</t>
  </si>
  <si>
    <t>MPE10-729</t>
  </si>
  <si>
    <t>BLK01,CSNSTORES,DESINC,JCPENNEY01,KOHLDSN,MACY02,OVERSTOCK01</t>
  </si>
  <si>
    <t>MPE10-730</t>
  </si>
  <si>
    <t>4/1/2020</t>
  </si>
  <si>
    <t>MPE10-731</t>
  </si>
  <si>
    <t>MPE10-732</t>
  </si>
  <si>
    <t>PP000877;PF004251</t>
  </si>
  <si>
    <t>AMAZON,OVERSTOCK01,WALMARTDS</t>
  </si>
  <si>
    <t>3/2/2020</t>
  </si>
  <si>
    <t>MPE10-733</t>
  </si>
  <si>
    <t>AMAZON,BLK01,CSNSTORES,JCPENNEY01,KOHLDSN,MACY02,WALMARTDS</t>
  </si>
  <si>
    <t>2/7/2020</t>
  </si>
  <si>
    <t>MPE10-734</t>
  </si>
  <si>
    <t>AMAZON,CSNSTORES,FINGERHUTDS,JCPENNEY01,KOHLDSN,MACY02,OVERSTOCK01</t>
  </si>
  <si>
    <t>MPE10-735</t>
  </si>
  <si>
    <t>1/9/2020</t>
  </si>
  <si>
    <t>MPE10-736</t>
  </si>
  <si>
    <t>MPE10-859</t>
  </si>
  <si>
    <t>Blush/Grey</t>
  </si>
  <si>
    <t>PF004932</t>
  </si>
  <si>
    <t>CSNSTORES,MACY02,TGTDVS</t>
  </si>
  <si>
    <t>11/23/2021</t>
  </si>
  <si>
    <t>MPE10-860</t>
  </si>
  <si>
    <t>MPE10-861</t>
  </si>
  <si>
    <t>MPE10-862</t>
  </si>
  <si>
    <t>AMAZON,CSNSTORES,JCPENNEY01,MACY02,OVERSTOCK01</t>
  </si>
  <si>
    <t>MPE10-863</t>
  </si>
  <si>
    <t>CSNSTORES,HSNDS,JCPENNEY01,MACY02,OLLIIX</t>
  </si>
  <si>
    <t>12/2/2021</t>
  </si>
  <si>
    <t>MPE10-021</t>
  </si>
  <si>
    <t>Claremont</t>
  </si>
  <si>
    <t>Kendall</t>
  </si>
  <si>
    <t>PF003659</t>
  </si>
  <si>
    <t>MPE10-022</t>
  </si>
  <si>
    <t>BLK01,JCPENNEY01,KOHLDSN</t>
  </si>
  <si>
    <t>MPE10-023</t>
  </si>
  <si>
    <t>ASHFURNDS,BLK01,CSNSTORES,JCPENNEY01,KOHLDSN,OLLIIX</t>
  </si>
  <si>
    <t>MPE10-024</t>
  </si>
  <si>
    <t>JCPENNEY01,KOHLDSN,OLLIIX</t>
  </si>
  <si>
    <t>MPE10-034</t>
  </si>
  <si>
    <t>JCPENNEY01,KOHLDSN,NRTPORT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</si>
  <si>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</si>
  <si>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</si>
  <si>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</si>
  <si>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</si>
  <si>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</si>
  <si>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</si>
  <si>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AMAZON,AMAZONDS,BLK01,CSNSTORES,TGTDVS,WALMARTDS</t>
  </si>
  <si>
    <t>MPE10-879</t>
  </si>
  <si>
    <t>Reversible 8 Piece Comforter Set with Bed Sheets</t>
  </si>
  <si>
    <t>10/16/2021</t>
  </si>
  <si>
    <t>MPE10-880</t>
  </si>
  <si>
    <t>AMAZON,BIGLOTSDS,CSNSTORES,HDDS,HSNDS,JCPENNEY01,MACY02,TGTDVS</t>
  </si>
  <si>
    <t>MPE10-881</t>
  </si>
  <si>
    <t>AMAZON,ASHFURNDS,BLK01,CSNSTORES,JCPENNEY01,KOHLDSN,MACY02,TGTDVS</t>
  </si>
  <si>
    <t>MPE10-882</t>
  </si>
  <si>
    <t>MPE10-204</t>
  </si>
  <si>
    <t>Serenity</t>
  </si>
  <si>
    <t>Odisha</t>
  </si>
  <si>
    <t>Nepal</t>
  </si>
  <si>
    <t>PF003666</t>
  </si>
  <si>
    <t>MPE10-568</t>
  </si>
  <si>
    <t>Twin XL</t>
  </si>
  <si>
    <t>6/24/2017</t>
  </si>
  <si>
    <t>4/12/2020</t>
  </si>
  <si>
    <t>MPE10-205</t>
  </si>
  <si>
    <t>MPE10-206</t>
  </si>
  <si>
    <t>MPE10-207</t>
  </si>
  <si>
    <t>BIGLOTSDS,BLK01,CSNSTORES,HSNDS,JCPENNEY01,KOHLDSN,WALMARTDS</t>
  </si>
  <si>
    <t>MPE10-208</t>
  </si>
  <si>
    <t>MPE10-150</t>
  </si>
  <si>
    <t>PF003665;PP000507</t>
  </si>
  <si>
    <t>MPE10-151</t>
  </si>
  <si>
    <t>MPE10-152</t>
  </si>
  <si>
    <t>MPE10-153</t>
  </si>
  <si>
    <t>CSNSTORES,HSNDS,JCPENNEY01,OVERSTOCK01,TGTDVS</t>
  </si>
  <si>
    <t>MPE10-154</t>
  </si>
  <si>
    <t>CSNSTORES,WALMARTDS</t>
  </si>
  <si>
    <t>MPE10-005</t>
  </si>
  <si>
    <t>Knowles</t>
  </si>
  <si>
    <t>Glendale</t>
  </si>
  <si>
    <t>Cabrillo</t>
  </si>
  <si>
    <t>PF003651;PP000436</t>
  </si>
  <si>
    <t>MPE10-006</t>
  </si>
  <si>
    <t>MPE10-007</t>
  </si>
  <si>
    <t>MPE10-008</t>
  </si>
  <si>
    <t>MPE10-030</t>
  </si>
  <si>
    <t>MPE10-158</t>
  </si>
  <si>
    <t>PF003652</t>
  </si>
  <si>
    <t>8/28/2024</t>
  </si>
  <si>
    <t>AMAZON,KOHLDSN,TGTDVS</t>
  </si>
  <si>
    <t>MPE10-159</t>
  </si>
  <si>
    <t>MPE10-160</t>
  </si>
  <si>
    <t>AMAZON,CSNSTORES,HSNDS,JCPENNEY01,MACY02,OVERSTOCK01</t>
  </si>
  <si>
    <t>MPE10-161</t>
  </si>
  <si>
    <t>MPE10-162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</si>
  <si>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</si>
  <si>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</si>
  <si>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</si>
  <si>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</si>
  <si>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</si>
  <si>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</si>
  <si>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</si>
  <si>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3/2/2023</t>
  </si>
  <si>
    <t>MPE10-957</t>
  </si>
  <si>
    <t>7 Piece Comforter Set with Bed Sheets</t>
  </si>
  <si>
    <t>FINGERHUTDS,TGTDVS</t>
  </si>
  <si>
    <t>MPE10-958</t>
  </si>
  <si>
    <t>CSNSTORES,OLLIIX,TGTDVS</t>
  </si>
  <si>
    <t>MPE10-959</t>
  </si>
  <si>
    <t>MPE10-960</t>
  </si>
  <si>
    <t>MPE10-1036</t>
  </si>
  <si>
    <t>Jaxon</t>
  </si>
  <si>
    <t>Deacon</t>
  </si>
  <si>
    <t>Ryder</t>
  </si>
  <si>
    <t>Stripe Comforter Set with Bed Sheets</t>
  </si>
  <si>
    <t>Taupe/Grey</t>
  </si>
  <si>
    <t>PP001834;PF006114</t>
  </si>
  <si>
    <t>12/22/2023</t>
  </si>
  <si>
    <t>AMAZON,CSNSTORES,NRTPORT,TGTDVS</t>
  </si>
  <si>
    <t>MPE10-1037</t>
  </si>
  <si>
    <t>2/9/2024</t>
  </si>
  <si>
    <t>MPE10-1038</t>
  </si>
  <si>
    <t>MPE10-1039</t>
  </si>
  <si>
    <t>AMAZON,AMAZONDS,CSNSTORES,KOHLDSN,OVERSTOCK01</t>
  </si>
  <si>
    <t>MPE10-1040</t>
  </si>
  <si>
    <t>MPE10-1031</t>
  </si>
  <si>
    <t>Aqua/Grey</t>
  </si>
  <si>
    <t>PP001834;PF006113</t>
  </si>
  <si>
    <t>MPE10-1032</t>
  </si>
  <si>
    <t>MPE10-1033</t>
  </si>
  <si>
    <t>MPE10-1034</t>
  </si>
  <si>
    <t>MPE10-1035</t>
  </si>
  <si>
    <t>6/18/2024</t>
  </si>
  <si>
    <t>MPE10-985</t>
  </si>
  <si>
    <t>Blue/Grey</t>
  </si>
  <si>
    <t>PF005879;PP001834</t>
  </si>
  <si>
    <t>11/14/2022</t>
  </si>
  <si>
    <t>AMAZON,AMAZONDS,BIGLOTSDS,CSNSTORES,FINGERHUTDS,JCPENNEY01,KOHLDSN,OLLIIX,OVERSTOCK01,TGTDVS</t>
  </si>
  <si>
    <t>3/5/2023</t>
  </si>
  <si>
    <t>6/5/2023</t>
  </si>
  <si>
    <t>MPE10-986</t>
  </si>
  <si>
    <t>5/25/2023</t>
  </si>
  <si>
    <t>MPE10-987</t>
  </si>
  <si>
    <t>AMAZON,CSNSTORES,FINGERHUTDS,JCPENNEY01,KOHLDSN,OVERSTOCK01,TGTDVS</t>
  </si>
  <si>
    <t>MPE10-988</t>
  </si>
  <si>
    <t>MPE10-989</t>
  </si>
  <si>
    <t>FINGERHUTDS,JCPENNEY01,KOHLDSN,TGTDVS</t>
  </si>
  <si>
    <t>MPE10-1073</t>
  </si>
  <si>
    <t>Coral/Grey</t>
  </si>
  <si>
    <t>PP001834;PF006310</t>
  </si>
  <si>
    <t>8/4/2024</t>
  </si>
  <si>
    <t>MPE10-1074</t>
  </si>
  <si>
    <t>6/5/2024</t>
  </si>
  <si>
    <t>MPE10-1075</t>
  </si>
  <si>
    <t>MPE10-1076</t>
  </si>
  <si>
    <t>MPE10-1077</t>
  </si>
  <si>
    <t>MPE10-1068</t>
  </si>
  <si>
    <t>Green/Grey</t>
  </si>
  <si>
    <t>PP001834;PF006309</t>
  </si>
  <si>
    <t>MPE10-1069</t>
  </si>
  <si>
    <t>MPE10-1070</t>
  </si>
  <si>
    <t>MPE10-1071</t>
  </si>
  <si>
    <t>MPE10-1072</t>
  </si>
  <si>
    <t>MPE10-1053</t>
  </si>
  <si>
    <t>Jeanie</t>
  </si>
  <si>
    <t>Karissa</t>
  </si>
  <si>
    <t>Comforter Set with Bed Sheets</t>
  </si>
  <si>
    <t>PP001856;PF006281</t>
  </si>
  <si>
    <t>5/9/2024</t>
  </si>
  <si>
    <t>MPE10-1054</t>
  </si>
  <si>
    <t>MPE10-1055</t>
  </si>
  <si>
    <t>MPE10-1056</t>
  </si>
  <si>
    <t>MPE10-1057</t>
  </si>
  <si>
    <t>CS10-1378</t>
  </si>
  <si>
    <t>PF005938;PP001856</t>
  </si>
  <si>
    <t>AMAZON,CSNSTORES,DESINC,JCPENNEY01,KOHLDSN,MACY02</t>
  </si>
  <si>
    <t>11/9/2022</t>
  </si>
  <si>
    <t>11/30/2022</t>
  </si>
  <si>
    <t>CS10-1379</t>
  </si>
  <si>
    <t>AMAZONDS,DESINC,JCPENNEY01,OVERSTOCK01</t>
  </si>
  <si>
    <t>11/15/2022</t>
  </si>
  <si>
    <t>CS10-1380</t>
  </si>
  <si>
    <t>7/13/2021</t>
  </si>
  <si>
    <t>11/26/2022</t>
  </si>
  <si>
    <t>CS10-1381</t>
  </si>
  <si>
    <t>CS10-1382</t>
  </si>
  <si>
    <t>AMAZON,CSNSTORES,DESINC,JCPENNEY01,MACY02,TGTDVS</t>
  </si>
  <si>
    <t>11/22/2022</t>
  </si>
  <si>
    <t>MPE10-1018</t>
  </si>
  <si>
    <t>Alice</t>
  </si>
  <si>
    <t>Floral Comforter Set with Bed Sheets</t>
  </si>
  <si>
    <t>Mauve</t>
  </si>
  <si>
    <t>PP001866;PF005965</t>
  </si>
  <si>
    <t>5/5/2023</t>
  </si>
  <si>
    <t>MPE10-1019</t>
  </si>
  <si>
    <t>AMAZONDS,CSNSTORES,MACY02,OVERSTOCK01</t>
  </si>
  <si>
    <t>MPE10-1020</t>
  </si>
  <si>
    <t>MPE10-1021</t>
  </si>
  <si>
    <t>AMAZON,ASHFURNDS,CSNSTORES,KOHLDSN,MACY02,OVERSTOCK01,TGTDVS</t>
  </si>
  <si>
    <t>MPE10-1022</t>
  </si>
  <si>
    <t>5/8/2024</t>
  </si>
  <si>
    <t>MPE10-383</t>
  </si>
  <si>
    <t>Central Park</t>
  </si>
  <si>
    <t>Pelham Bay</t>
  </si>
  <si>
    <t>Prospect Park</t>
  </si>
  <si>
    <t>Coral/Green</t>
  </si>
  <si>
    <t>PF003697</t>
  </si>
  <si>
    <t>MPE10-386</t>
  </si>
  <si>
    <t>Yellow/Aqua</t>
  </si>
  <si>
    <t>PF003698</t>
  </si>
  <si>
    <t>MPE10-387</t>
  </si>
  <si>
    <t>MPE10-388</t>
  </si>
  <si>
    <t>CSNSTORES,DESINC,JCPENNEY01,KOHLDSN,MACY02</t>
  </si>
  <si>
    <t>MPE10-389</t>
  </si>
  <si>
    <t>AMAZON,CSNSTORES,HSNDS,JCPENNEY01,KOHLDSN,OLLIIX,OVERSTOCK01,TGTDVS</t>
  </si>
  <si>
    <t>MPE10-390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</si>
  <si>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</si>
  <si>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</si>
  <si>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</si>
  <si>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</si>
  <si>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</si>
  <si>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</si>
  <si>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</si>
  <si>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6/17/2020</t>
  </si>
  <si>
    <t>4/28/2023</t>
  </si>
  <si>
    <t>MPE10-895</t>
  </si>
  <si>
    <t>8 Piece Reversible Comforter Set with Bed Sheets</t>
  </si>
  <si>
    <t>5/31/2022</t>
  </si>
  <si>
    <t>12/5/2022</t>
  </si>
  <si>
    <t>MPE10-896</t>
  </si>
  <si>
    <t>MPE10-897</t>
  </si>
  <si>
    <t>HDDS</t>
  </si>
  <si>
    <t>9/4/2022</t>
  </si>
  <si>
    <t>MPE10-898</t>
  </si>
  <si>
    <t>CS10-1316</t>
  </si>
  <si>
    <t>Gracelyn</t>
  </si>
  <si>
    <t>Sylvie</t>
  </si>
  <si>
    <t>Sandra</t>
  </si>
  <si>
    <t>Paisley Print 9 Piece Comforter Set with Sheets</t>
  </si>
  <si>
    <t>Wheat</t>
  </si>
  <si>
    <t>PP001863;PF005962</t>
  </si>
  <si>
    <t>2/9/2021</t>
  </si>
  <si>
    <t>4/10/2023</t>
  </si>
  <si>
    <t>CS10-1317</t>
  </si>
  <si>
    <t>2/8/2021</t>
  </si>
  <si>
    <t>CSNSTORES,DESINC,JCPENNEY01,KOHLDSN,TGTDVS</t>
  </si>
  <si>
    <t>CS10-1318</t>
  </si>
  <si>
    <t>2/22/2021</t>
  </si>
  <si>
    <t>3/23/2023</t>
  </si>
  <si>
    <t>MPE10-376</t>
  </si>
  <si>
    <t>Lafael</t>
  </si>
  <si>
    <t>Eden</t>
  </si>
  <si>
    <t>Rowan</t>
  </si>
  <si>
    <t>PF003696</t>
  </si>
  <si>
    <t>AMAZON,CSNSTORES,MACY02,WALMARTDS</t>
  </si>
  <si>
    <t>4/24/2019</t>
  </si>
  <si>
    <t>MPE10-377</t>
  </si>
  <si>
    <t>MPE10-378</t>
  </si>
  <si>
    <t>MPE10-379</t>
  </si>
  <si>
    <t>MPE10-380</t>
  </si>
  <si>
    <t>HSNDS,KOHLDSN</t>
  </si>
  <si>
    <t>MPE10-800</t>
  </si>
  <si>
    <t>Lilia</t>
  </si>
  <si>
    <t>Lisetta</t>
  </si>
  <si>
    <t>Lorine</t>
  </si>
  <si>
    <t>9 Piece Reversible Comforter Set with Cotton Bed Sheets</t>
  </si>
  <si>
    <t>White/ Charcoal</t>
  </si>
  <si>
    <t>PP001183;PF004680</t>
  </si>
  <si>
    <t>Farmhouse</t>
  </si>
  <si>
    <t>MPE10-803</t>
  </si>
  <si>
    <t>10/14/2021</t>
  </si>
  <si>
    <t>MPE10-1058</t>
  </si>
  <si>
    <t>PF002742;PP001974</t>
  </si>
  <si>
    <t>MPE10-1059</t>
  </si>
  <si>
    <t>MPE10-1060</t>
  </si>
  <si>
    <t>6/4/2024</t>
  </si>
  <si>
    <t>MPE10-1061</t>
  </si>
  <si>
    <t>MPE10-1062</t>
  </si>
  <si>
    <t>MPE10-1063</t>
  </si>
  <si>
    <t>PF002743;PP001974</t>
  </si>
  <si>
    <t>MPE10-1064</t>
  </si>
  <si>
    <t>MPE10-1065</t>
  </si>
  <si>
    <t>MPE10-1066</t>
  </si>
  <si>
    <t>MPE10-1067</t>
  </si>
  <si>
    <t>MPE10-084</t>
  </si>
  <si>
    <t>Merritt</t>
  </si>
  <si>
    <t>Almaden</t>
  </si>
  <si>
    <t>Becker</t>
  </si>
  <si>
    <t>PF003668;PP000457</t>
  </si>
  <si>
    <t>MPE10-569</t>
  </si>
  <si>
    <t>PF003668</t>
  </si>
  <si>
    <t>6/28/2017</t>
  </si>
  <si>
    <t>MACY02,OVERSTOCK01</t>
  </si>
  <si>
    <t>MPE10-085</t>
  </si>
  <si>
    <t>MPE10-087</t>
  </si>
  <si>
    <t>MPE10-088</t>
  </si>
  <si>
    <t>MPE10-089</t>
  </si>
  <si>
    <t>PF003669;PP000457</t>
  </si>
  <si>
    <t>MPE10-091</t>
  </si>
  <si>
    <t>MPE10-092</t>
  </si>
  <si>
    <t>MPE10-093</t>
  </si>
  <si>
    <t>2/5/2019</t>
  </si>
  <si>
    <t>MPE10-129</t>
  </si>
  <si>
    <t>PF003671;PP000457</t>
  </si>
  <si>
    <t>10/16/2018</t>
  </si>
  <si>
    <t>MPE10-873</t>
  </si>
  <si>
    <t>Patrick</t>
  </si>
  <si>
    <t>Paton</t>
  </si>
  <si>
    <t>Leroy</t>
  </si>
  <si>
    <t>6 Piece Comforter Set with Bed Sheets</t>
  </si>
  <si>
    <t>PF004948;PP001404</t>
  </si>
  <si>
    <t>MPE10-874</t>
  </si>
  <si>
    <t>8 Piece Comforter Set with Bed Sheets</t>
  </si>
  <si>
    <t>HDDS,JCPENNEY01,KOHLDSN,TGTDVS,WALMARTDS</t>
  </si>
  <si>
    <t>MPE10-875</t>
  </si>
  <si>
    <t>MPE10-876</t>
  </si>
  <si>
    <t>12/7/2021</t>
  </si>
  <si>
    <t>MPE10-877</t>
  </si>
  <si>
    <t>MPE10-693</t>
  </si>
  <si>
    <t>Saben</t>
  </si>
  <si>
    <t>Barret</t>
  </si>
  <si>
    <t>Seth</t>
  </si>
  <si>
    <t>PP000497;PF004057</t>
  </si>
  <si>
    <t>1/2/2019</t>
  </si>
  <si>
    <t>MPE10-694</t>
  </si>
  <si>
    <t>MPE10-695</t>
  </si>
  <si>
    <t>MPE10-696</t>
  </si>
  <si>
    <t>AMAZON,FINGERHUTDS,JCPENNEY01,MACY02,OLLIIX,WALMARTDS</t>
  </si>
  <si>
    <t>7/27/2019</t>
  </si>
  <si>
    <t>MPE10-697</t>
  </si>
  <si>
    <t>AMAZON,CSNSTORES,FINGERHUTDS,MACY02,TGTDVS</t>
  </si>
  <si>
    <t>MPE10-163</t>
  </si>
  <si>
    <t>PF003676;PP000497</t>
  </si>
  <si>
    <t>MPE10-164</t>
  </si>
  <si>
    <t>MPE10-165</t>
  </si>
  <si>
    <t>4/18/2017</t>
  </si>
  <si>
    <t>AMAZON,AMAZONDS,CSNSTORES,OVERSTOCK01,TGTDVS</t>
  </si>
  <si>
    <t>MPE10-166</t>
  </si>
  <si>
    <t>MPE10-167</t>
  </si>
  <si>
    <t>AMAZON,DESINC,JCPENNEY01</t>
  </si>
  <si>
    <t>MPE10-015</t>
  </si>
  <si>
    <t>Vaughn</t>
  </si>
  <si>
    <t>Sonora</t>
  </si>
  <si>
    <t>PF003655;PP000527</t>
  </si>
  <si>
    <t>MPE10-016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</si>
  <si>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</si>
  <si>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</si>
  <si>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</si>
  <si>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</si>
  <si>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</si>
  <si>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</si>
  <si>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</si>
  <si>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</si>
  <si>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MPE10-796</t>
  </si>
  <si>
    <t>FINGERHUTDS,JCPENNEY01,KOHLDSN,MACY02,OVERSTOCK01</t>
  </si>
  <si>
    <t>MPE10-797</t>
  </si>
  <si>
    <t>KOHLDSN,MACY02,OVERSTOCK01,TGTDVS</t>
  </si>
  <si>
    <t>MPE13-508</t>
  </si>
  <si>
    <t>Sybil</t>
  </si>
  <si>
    <t>Nova</t>
  </si>
  <si>
    <t>Sasha</t>
  </si>
  <si>
    <t>6 Piece Quilt Set with Cotton Bed Sheets</t>
  </si>
  <si>
    <t>PF003699</t>
  </si>
  <si>
    <t>BLK01,CSNSTORES</t>
  </si>
  <si>
    <t>1/29/2019</t>
  </si>
  <si>
    <t>MPE13-509</t>
  </si>
  <si>
    <t>8 Piece Quilt Set with Cotton Bed Sheets</t>
  </si>
  <si>
    <t>MPE13-510</t>
  </si>
  <si>
    <t>2/24/2020</t>
  </si>
  <si>
    <t>MPE13-511</t>
  </si>
  <si>
    <t>MPE13-512</t>
  </si>
  <si>
    <t>MPE13-308</t>
  </si>
  <si>
    <t>PF003651</t>
  </si>
  <si>
    <t>MPE13-309</t>
  </si>
  <si>
    <t>MPE13-310</t>
  </si>
  <si>
    <t>MPE13-311</t>
  </si>
  <si>
    <t>BLK01,CSNSTORES,MACY02,OVERSTOCK01,TGTDVS</t>
  </si>
  <si>
    <t>MPE13-312</t>
  </si>
  <si>
    <t>MPE13-804</t>
  </si>
  <si>
    <t>7/5/2019</t>
  </si>
  <si>
    <t>6/8/2022</t>
  </si>
  <si>
    <t>MPE13-805</t>
  </si>
  <si>
    <t>MPE13-806</t>
  </si>
  <si>
    <t>12/4/2021</t>
  </si>
  <si>
    <t>MPE13-807</t>
  </si>
  <si>
    <t>MPE13-808</t>
  </si>
  <si>
    <t>11/13/2021</t>
  </si>
  <si>
    <t>MPE13-168</t>
  </si>
  <si>
    <t>AMAZONDS,ASHFURNDS</t>
  </si>
  <si>
    <t>MPE13-169</t>
  </si>
  <si>
    <t>MPE13-170</t>
  </si>
  <si>
    <t>MPE13-171</t>
  </si>
  <si>
    <t>MPE13-172</t>
  </si>
  <si>
    <t>MPE13-628</t>
  </si>
  <si>
    <t>6 Piece Reversible Daybed Set</t>
  </si>
  <si>
    <t>MPE13-627</t>
  </si>
  <si>
    <t>PF003669</t>
  </si>
  <si>
    <t>9/2/2017</t>
  </si>
  <si>
    <t>5DS13-0166</t>
  </si>
  <si>
    <t>510 Design</t>
  </si>
  <si>
    <t>Oakley</t>
  </si>
  <si>
    <t>Hayley</t>
  </si>
  <si>
    <t>Glen</t>
  </si>
  <si>
    <t>PF004414;PP000972</t>
  </si>
  <si>
    <t>8/11/2018</t>
  </si>
  <si>
    <t>7/1/2019</t>
  </si>
  <si>
    <t>1/20/2020</t>
  </si>
  <si>
    <t>5DS13-0167</t>
  </si>
  <si>
    <t>AMAZON,BLK01,CSNSTORES,JCPENNEY01,KOHLDSN,MACY02,NRTPORT,OLLIIX,ROOMECOM,TGTDVS</t>
  </si>
  <si>
    <t>1/21/2020</t>
  </si>
  <si>
    <t>5DS13-0170</t>
  </si>
  <si>
    <t>PF004416;PP000972</t>
  </si>
  <si>
    <t>BLK01,CSNSTORES,FINGERHUTDS,HSNDS,JCPENNEY01,MACY02,TGTDVS</t>
  </si>
  <si>
    <t>5DS13-0171</t>
  </si>
  <si>
    <t>AMAZON,ASHFURNDS,BLK01,CSNSTORES,FINGERHUTDS,HSNDS,JCPENNEY01,KOHLDSN,MACY02,NRTPORT,TGTDVS</t>
  </si>
  <si>
    <t>1/16/2020</t>
  </si>
  <si>
    <t>5DS13-0168</t>
  </si>
  <si>
    <t>PF004415;PP000972</t>
  </si>
  <si>
    <t>BLK01,JCPENNEY01,KOHLDSN,MACY02,OLLIIX,TGTDVS</t>
  </si>
  <si>
    <t>5DS13-0169</t>
  </si>
  <si>
    <t>AMAZON,ASHFURNDS,BLK01,CSNSTORES,HOUZZ,HSNDS,JCPENNEY01,KOHLDSN,MACY02,TGTDVS</t>
  </si>
  <si>
    <t>5DS13-0292</t>
  </si>
  <si>
    <t>PP000972;PF006116</t>
  </si>
  <si>
    <t>2/6/2024</t>
  </si>
  <si>
    <t>BLK01,JCPENNEY01,TGTDVS</t>
  </si>
  <si>
    <t>5/10/2024</t>
  </si>
  <si>
    <t>5DS13-0293</t>
  </si>
  <si>
    <t>BLK01,CSNSTORES,JCPENNEY01,KOHLDSN,NRTPORT</t>
  </si>
  <si>
    <t>5DS13-0290</t>
  </si>
  <si>
    <t>PP000972;PF006115</t>
  </si>
  <si>
    <t>AMAZONDS,JCPENNEY01,KOHLDSN,TGTDVS</t>
  </si>
  <si>
    <t>5DS13-0291</t>
  </si>
  <si>
    <t>HDDS,JCPENNEY01,KOHLDSN</t>
  </si>
  <si>
    <t>5DS13-0028</t>
  </si>
  <si>
    <t>Otto</t>
  </si>
  <si>
    <t>Nash</t>
  </si>
  <si>
    <t>Trace</t>
  </si>
  <si>
    <t>PF004286;PP000894</t>
  </si>
  <si>
    <t>2/8/2018</t>
  </si>
  <si>
    <t>ASHFURNDS,JCPENNEY01,KIRKLANDDS,MACY02,OLLIIX,TGTDVS</t>
  </si>
  <si>
    <t>4/8/2020</t>
  </si>
  <si>
    <t>5DS13-0029</t>
  </si>
  <si>
    <t>BLK01,JCPENNEY01,MACY02,OLLIIX,TGTDVS</t>
  </si>
  <si>
    <t>5DS13-0024</t>
  </si>
  <si>
    <t>PF004284;PP000894</t>
  </si>
  <si>
    <t>BLK01,HOUZZ,JCPENNEY01,MACY02,OLLIIX</t>
  </si>
  <si>
    <t>5DS13-0025</t>
  </si>
  <si>
    <t>JCPENNEY01,KIRKLANDDS,MACY02,TGTDVS</t>
  </si>
  <si>
    <t>5DS13-0032</t>
  </si>
  <si>
    <t>PF004288;PP000894</t>
  </si>
  <si>
    <t>BIGLOTSDS,BLK01,CSNSTORES,JCPENNEY01,KIRKLANDDS,MACY02,TGTDVS</t>
  </si>
  <si>
    <t>2/28/2020</t>
  </si>
  <si>
    <t>5DS13-0033</t>
  </si>
  <si>
    <t>5DS10-0218</t>
  </si>
  <si>
    <t>Lynda</t>
  </si>
  <si>
    <t>Casey</t>
  </si>
  <si>
    <t>Embroidered 8 Piece Comforter Set</t>
  </si>
  <si>
    <t>PF004870;PP001734</t>
  </si>
  <si>
    <t>8/22/2019</t>
  </si>
  <si>
    <t>AMAZON,BIGLOTSDS,CSNSTORES,JCPENNEY01,MACY02,NRTPORT,OLLIIX</t>
  </si>
  <si>
    <t>5DS10-0219</t>
  </si>
  <si>
    <t>AMAZON,BIGLOTSDS,CSNSTORES,JCPENNEY01,MACY02,NRTPORT,TGTDVS</t>
  </si>
  <si>
    <t>5DS10-0220</t>
  </si>
  <si>
    <t>BLK01,JCPENNEY01,KOHLDSN,MACY02,NRTPORT</t>
  </si>
  <si>
    <t>5DS10-0047</t>
  </si>
  <si>
    <t xml:space="preserve">Embroidered 8 Piece  Comforter Set</t>
  </si>
  <si>
    <t>PF004213;PP001734</t>
  </si>
  <si>
    <t>4/3/2018</t>
  </si>
  <si>
    <t>AMAZON,AMERSIGNDS,BIGLOTSDS,CSNSTORES,JCPENNEY01,MACY02,NRTPORT,OLLIIX,OVERSTOCK01,ROOMECOM</t>
  </si>
  <si>
    <t>5DS10-0048</t>
  </si>
  <si>
    <t>7/16/2024</t>
  </si>
  <si>
    <t>AMAZON,ASHFURNDS,BIGLOTSDS,BLK01,CSNSTORES,JCPENNEY01,MACY02,NRTPORT,OVERSTOCK01</t>
  </si>
  <si>
    <t>2/4/2020</t>
  </si>
  <si>
    <t>5DS10-0049</t>
  </si>
  <si>
    <t>3/30/2018</t>
  </si>
  <si>
    <t>ASHFURNDS,BLK01,CSNSTORES,JCPENNEY01,KOHLDSN,MACY02,NRTPORT,OLLIIX,OVERSTOCK01</t>
  </si>
  <si>
    <t>4/10/2020</t>
  </si>
  <si>
    <t>5DS10-0252</t>
  </si>
  <si>
    <t>PF005656;PP001734</t>
  </si>
  <si>
    <t>CSNSTORES,JCPENNEY01,MACY02,NRTPORT,OVERSTOCK01</t>
  </si>
  <si>
    <t>5DS10-0253</t>
  </si>
  <si>
    <t>BIGLOTSDS,CSNSTORES,JCPENNEY01</t>
  </si>
  <si>
    <t>5DS10-0254</t>
  </si>
  <si>
    <t>5DS10-0274</t>
  </si>
  <si>
    <t>Shawnee</t>
  </si>
  <si>
    <t>Josefina</t>
  </si>
  <si>
    <t>Stacie</t>
  </si>
  <si>
    <t>8 Piece Comforter Set</t>
  </si>
  <si>
    <t>PP001733;PF005710</t>
  </si>
  <si>
    <t>7/7/2022</t>
  </si>
  <si>
    <t>BLK01,CSNSTORES,KOHLDSN,NRTPORT,OVERSTOCK01,TGTDVS</t>
  </si>
  <si>
    <t>5DS10-0275</t>
  </si>
  <si>
    <t>CSNSTORES,KOHLDSN,MACY02,OLLIIX,OVERSTOCK01</t>
  </si>
  <si>
    <t>3/22/2023</t>
  </si>
  <si>
    <t>5DS10-0276</t>
  </si>
  <si>
    <t>BLK01,CSNSTORES,KOHLDSN,TGTDVS</t>
  </si>
  <si>
    <t>5DS10-0255</t>
  </si>
  <si>
    <t xml:space="preserve">8 Piece  Comforter Set</t>
  </si>
  <si>
    <t>PF005657;PP001733</t>
  </si>
  <si>
    <t>5/4/2022</t>
  </si>
  <si>
    <t>AMAZONDS,CSNSTORES,KOHLDSN,NRTPORT,OLLIIX,TGTDVS</t>
  </si>
  <si>
    <t>7/11/2023</t>
  </si>
  <si>
    <t>5DS10-0256</t>
  </si>
  <si>
    <t>3/29/2023</t>
  </si>
  <si>
    <t>5DS10-0257</t>
  </si>
  <si>
    <t>BLK01,CSNSTORES,KOHLDSN,OLLIIX,OVERSTOCK01</t>
  </si>
  <si>
    <t>5DS10-0222</t>
  </si>
  <si>
    <t>PF004917</t>
  </si>
  <si>
    <t>AMAZON,BIGLOTSDS,CSNSTORES,FINGERHUTDS,MACY02,OVERSTOCK01</t>
  </si>
  <si>
    <t>10/24/2021</t>
  </si>
  <si>
    <t>5DS10-0223</t>
  </si>
  <si>
    <t>BLK01,CSNSTORES,MACY02,NRTPORT,OVERSTOCK01,TGTDVS</t>
  </si>
  <si>
    <t>5DS10-0224</t>
  </si>
  <si>
    <t>5DS10-0050</t>
  </si>
  <si>
    <t>PF004214</t>
  </si>
  <si>
    <t>AMAZON,CSNSTORES,JCPENNEY01,KOHLDSN,MACY02,NRTPORT,OLLIIX,OVERSTOCK01</t>
  </si>
  <si>
    <t>1/27/2020</t>
  </si>
  <si>
    <t>5DS10-0051</t>
  </si>
  <si>
    <t>AMAZON,BIGLOTSDS,CSNSTORES,FINGERHUTDS,JCPENNEY01,KOHLDSN,OLLIIX,OVERSCONSIGN,OVERSTOCK01</t>
  </si>
  <si>
    <t>5DS10-0052</t>
  </si>
  <si>
    <t>PF004214;PP001563;PP001733</t>
  </si>
  <si>
    <t>AMAZONDS,CSNSTORES,JCPENNEY01,KOHLDSN,MACY02,NRTPORT,OVERSTOCK01,WALMARTDS</t>
  </si>
  <si>
    <t>2/19/2020</t>
  </si>
  <si>
    <t>5DS10-0277</t>
  </si>
  <si>
    <t>Kingwood</t>
  </si>
  <si>
    <t>Elmore</t>
  </si>
  <si>
    <t>PP001776;PF005725</t>
  </si>
  <si>
    <t>5/22/2023</t>
  </si>
  <si>
    <t>5DS10-0278</t>
  </si>
  <si>
    <t>AMAZON,CSNSTORES,FINGERHUTDS,JCPENNEY01,MACY02,NRTPORT,OLLIIX,OVERSTOCK01</t>
  </si>
  <si>
    <t>5DS10-0279</t>
  </si>
  <si>
    <t>AAFESDS,AMAZON,BIGLOTSDS,CSNSTORES,JCPENNEY01,KOHLDSN,MACY02,OVERSTOCK01</t>
  </si>
  <si>
    <t>5DS10-0294</t>
  </si>
  <si>
    <t>PP001776;PF006374</t>
  </si>
  <si>
    <t>5DS10-0295</t>
  </si>
  <si>
    <t>5DS10-0296</t>
  </si>
  <si>
    <t>5DS10-0280</t>
  </si>
  <si>
    <t>PP001776;PF005724</t>
  </si>
  <si>
    <t>CSNSTORES,JCPENNEY01,KOHLDSN,MACY02,OLLIIX,OVERSTOCK01</t>
  </si>
  <si>
    <t>5DS10-0281</t>
  </si>
  <si>
    <t>5DS10-0282</t>
  </si>
  <si>
    <t>BIGLOTSDS,CSNSTORES,JCPENNEY01,NRTPORT</t>
  </si>
  <si>
    <t>5DS10-0215</t>
  </si>
  <si>
    <t>Jenda</t>
  </si>
  <si>
    <t>Janeta</t>
  </si>
  <si>
    <t>Jaine</t>
  </si>
  <si>
    <t>PP001000;PF004731</t>
  </si>
  <si>
    <t>6/12/2019</t>
  </si>
  <si>
    <t>5DS10-0216</t>
  </si>
  <si>
    <t>HDDS,JCPENNEY01</t>
  </si>
  <si>
    <t>5DS10-0265</t>
  </si>
  <si>
    <t>Tinsley</t>
  </si>
  <si>
    <t>Irvine</t>
  </si>
  <si>
    <t>Arlie</t>
  </si>
  <si>
    <t>PF004215;PP001759</t>
  </si>
  <si>
    <t>5DS10-0266</t>
  </si>
  <si>
    <t>5DS10-0267</t>
  </si>
  <si>
    <t>11/13/2023</t>
  </si>
  <si>
    <t>5DS10-0053</t>
  </si>
  <si>
    <t>Seafoam/Grey</t>
  </si>
  <si>
    <t>PF004215</t>
  </si>
  <si>
    <t>2/9/2018</t>
  </si>
  <si>
    <t>7/5/2024</t>
  </si>
  <si>
    <t>5DS10-0054</t>
  </si>
  <si>
    <t>AMAZON,CSNSTORES,HDDS,KOHLDSN,MACY02,NRTPORT</t>
  </si>
  <si>
    <t>4/15/2020</t>
  </si>
  <si>
    <t>5DS10-0055</t>
  </si>
  <si>
    <t>3/23/2020</t>
  </si>
  <si>
    <t>II10-1069</t>
  </si>
  <si>
    <t>INK+IVY</t>
  </si>
  <si>
    <t>Ellipse</t>
  </si>
  <si>
    <t>Cotton Jacquard Comforter Set</t>
  </si>
  <si>
    <t>PP001094;PF004766</t>
  </si>
  <si>
    <t>BLK01,KOHLDSN</t>
  </si>
  <si>
    <t>II10-1070</t>
  </si>
  <si>
    <t>II10-1052</t>
  </si>
  <si>
    <t>PP001094;PF004582</t>
  </si>
  <si>
    <t>3/1/2019</t>
  </si>
  <si>
    <t>CSNSTORES,JCPENNEY01,MACY02,OLLIIX,OVERSTOCK01</t>
  </si>
  <si>
    <t>6/27/2019</t>
  </si>
  <si>
    <t>II10-1053</t>
  </si>
  <si>
    <t>CSNSTORES,JCPENNEY01,OLLIIX,OVERSTOCK01,TGTDVS</t>
  </si>
  <si>
    <t>II10-1100</t>
  </si>
  <si>
    <t>Rhea</t>
  </si>
  <si>
    <t>Cotton Jacquard Comforter Mini Set</t>
  </si>
  <si>
    <t>Grey/Black</t>
  </si>
  <si>
    <t>PF005086;PP001731</t>
  </si>
  <si>
    <t>3/9/2020</t>
  </si>
  <si>
    <t>7/15/2024</t>
  </si>
  <si>
    <t>AMAZON,JCPENNEY01,KOHLDSN,MACY02,OLLIIX,TGTDVS</t>
  </si>
  <si>
    <t>12/3/2021</t>
  </si>
  <si>
    <t>II10-1101</t>
  </si>
  <si>
    <t>II10-1038</t>
  </si>
  <si>
    <t>Ivory/Charcoal</t>
  </si>
  <si>
    <t>PF004418;PP001731</t>
  </si>
  <si>
    <t>AMAZON,JCPENNEY01,KOHLDSN,ZOLA</t>
  </si>
  <si>
    <t>II10-1039</t>
  </si>
  <si>
    <t>AMAZON,CSNSTORES,JCPENNEY01,KOHLDSN,OLLIIX</t>
  </si>
  <si>
    <t>II10-1222</t>
  </si>
  <si>
    <t>Off-White/Navy</t>
  </si>
  <si>
    <t>PF005628</t>
  </si>
  <si>
    <t>6/30/2021</t>
  </si>
  <si>
    <t>II10-1223</t>
  </si>
  <si>
    <t>II10-1061</t>
  </si>
  <si>
    <t>Mila</t>
  </si>
  <si>
    <t>3 Piece Cotton Comforter Set with Chenille Tufting</t>
  </si>
  <si>
    <t>PP001321;PF004763</t>
  </si>
  <si>
    <t>Global</t>
  </si>
  <si>
    <t>AMAZON,AMERSIGNDS,BLK01,JCPENNEY01,LAMPDS,MACY02,OLLIIX,OVERSTOCK01</t>
  </si>
  <si>
    <t>II10-1062</t>
  </si>
  <si>
    <t>AMAZON,CSNSTORES,JCPENNEY01,KOHLDSN,MACY02,OLLIIX,OVERSTOCK01,TGTDVS,ZOLA</t>
  </si>
  <si>
    <t>4/7/2020</t>
  </si>
  <si>
    <t>II10-1315</t>
  </si>
  <si>
    <t>Auburn</t>
  </si>
  <si>
    <t>PP001321;PF006111</t>
  </si>
  <si>
    <t>11/21/2023</t>
  </si>
  <si>
    <t>II10-1316</t>
  </si>
  <si>
    <t>II10-1248</t>
  </si>
  <si>
    <t>PP001321;PF005708</t>
  </si>
  <si>
    <t>5/5/2022</t>
  </si>
  <si>
    <t>II10-1249</t>
  </si>
  <si>
    <t>II10-1124</t>
  </si>
  <si>
    <t>PP001321;PF005135</t>
  </si>
  <si>
    <t>9/23/2020</t>
  </si>
  <si>
    <t>HDDS,HSNDS,JCPENNEY01,MACY02,OVERSTOCK01,TGTDVS</t>
  </si>
  <si>
    <t>II10-1125</t>
  </si>
  <si>
    <t>HDDS,MACY02,OLLIIX,TGTDVS</t>
  </si>
  <si>
    <t>II10-552</t>
  </si>
  <si>
    <t>Alpine</t>
  </si>
  <si>
    <t>3 Piece Comforter Mini Set</t>
  </si>
  <si>
    <t>PF001636;PP000371</t>
  </si>
  <si>
    <t>Ikat</t>
  </si>
  <si>
    <t>AMAZON,BLK01,KOHLDSN,MACY02,TGTDVS</t>
  </si>
  <si>
    <t>5/2/2017</t>
  </si>
  <si>
    <t>3/21/2019</t>
  </si>
  <si>
    <t>II10-553</t>
  </si>
  <si>
    <t>AMAZON,CSNSTORES,KOHLDSN,OLLIIX</t>
  </si>
  <si>
    <t>3/6/2019</t>
  </si>
  <si>
    <t>3/20/2019</t>
  </si>
  <si>
    <t>II10-781</t>
  </si>
  <si>
    <t>PF001637;PP000371</t>
  </si>
  <si>
    <t>AMAZON,JCPENNEY01,KOHLDSN,MACY02,OLLIIX</t>
  </si>
  <si>
    <t>II10-782</t>
  </si>
  <si>
    <t>6/30/2017</t>
  </si>
  <si>
    <t>II10-785</t>
  </si>
  <si>
    <t>PF001638;PP000371</t>
  </si>
  <si>
    <t>FINGERHUTDS,MACY02,TGTDVS</t>
  </si>
  <si>
    <t>II10-786</t>
  </si>
  <si>
    <t>AMAZON,MACY02,TGTDVS</t>
  </si>
  <si>
    <t>II10-1112</t>
  </si>
  <si>
    <t>Arizona</t>
  </si>
  <si>
    <t>PP001500;PF005109</t>
  </si>
  <si>
    <t>Boho</t>
  </si>
  <si>
    <t>10/3/2020</t>
  </si>
  <si>
    <t>II10-1113</t>
  </si>
  <si>
    <t>II10-1330</t>
  </si>
  <si>
    <t>Cairo</t>
  </si>
  <si>
    <t>3 Piece Cotton Jacquard Comforter Set</t>
  </si>
  <si>
    <t>PF006275;PP001968</t>
  </si>
  <si>
    <t>II10-1331</t>
  </si>
  <si>
    <t>II10-1260</t>
  </si>
  <si>
    <t>Cody</t>
  </si>
  <si>
    <t>Gray/Navy</t>
  </si>
  <si>
    <t>PP001505;PF005755</t>
  </si>
  <si>
    <t>BOHO</t>
  </si>
  <si>
    <t>II10-1261</t>
  </si>
  <si>
    <t>II10-1116</t>
  </si>
  <si>
    <t>Gray/Yellow</t>
  </si>
  <si>
    <t>PP001505;PF005117</t>
  </si>
  <si>
    <t>10/21/2020</t>
  </si>
  <si>
    <t>AMAZON,ASHFURNDS,CSNSTORES,OLLIIX</t>
  </si>
  <si>
    <t>10/19/2021</t>
  </si>
  <si>
    <t>II10-1117</t>
  </si>
  <si>
    <t>AMAZON,CSNSTORES,OLLIIX,TGTDVS</t>
  </si>
  <si>
    <t>II10-1093</t>
  </si>
  <si>
    <t>Imani</t>
  </si>
  <si>
    <t>Cotton Printed Comforter Set with Chenille</t>
  </si>
  <si>
    <t>PF005068</t>
  </si>
  <si>
    <t>3/30/2020</t>
  </si>
  <si>
    <t>II10-1094</t>
  </si>
  <si>
    <t>11/20/2020</t>
  </si>
  <si>
    <t>II10-1089</t>
  </si>
  <si>
    <t>PF005067</t>
  </si>
  <si>
    <t>3/31/2020</t>
  </si>
  <si>
    <t>AMAZON,AMERSIGNDS,ASHFURNDS,MACY02,OVERSTOCK01,TGTDVS</t>
  </si>
  <si>
    <t>11/6/2020</t>
  </si>
  <si>
    <t>II10-1090</t>
  </si>
  <si>
    <t>AMAZON,AMERSIGNDS,CSNSTORES,MACY02,TGTDVS,ZOLA</t>
  </si>
  <si>
    <t>11/4/2020</t>
  </si>
  <si>
    <t>II10-994</t>
  </si>
  <si>
    <t>PF004112</t>
  </si>
  <si>
    <t>12/26/2017</t>
  </si>
  <si>
    <t>II10-995</t>
  </si>
  <si>
    <t>II10-1274</t>
  </si>
  <si>
    <t>White/Navy</t>
  </si>
  <si>
    <t>PP000428;PF005760</t>
  </si>
  <si>
    <t>9/27/2022</t>
  </si>
  <si>
    <t>AMAZONDS,ASHFURNDS,CSNSTORES,HOUZZ,MACY02,TGTDVS</t>
  </si>
  <si>
    <t>II10-1275</t>
  </si>
  <si>
    <t>AMAZONDS,ASHFURNDS,CSNSTORES,MACY02,OLLIIX,OVERSTOCK01,TGTDVS,ZOLA</t>
  </si>
  <si>
    <t>II10-1104</t>
  </si>
  <si>
    <t>Kara</t>
  </si>
  <si>
    <t>PP001486;PF005087</t>
  </si>
  <si>
    <t>AMAZON,HDDS,JCPENNEY01,MACY02,TGTDVS</t>
  </si>
  <si>
    <t>II10-1105</t>
  </si>
  <si>
    <t>II10-1149</t>
  </si>
  <si>
    <t>PP001486;PF005293</t>
  </si>
  <si>
    <t>1/19/2021</t>
  </si>
  <si>
    <t>CSNSTORES,KOHLDSN,OLLIIX</t>
  </si>
  <si>
    <t>II10-1150</t>
  </si>
  <si>
    <t>II10-1270</t>
  </si>
  <si>
    <t>PP001486;PF005762</t>
  </si>
  <si>
    <t>8/23/2022</t>
  </si>
  <si>
    <t>II10-1271</t>
  </si>
  <si>
    <t>II10-1266</t>
  </si>
  <si>
    <t>PP001486;PF005761</t>
  </si>
  <si>
    <t>II10-1267</t>
  </si>
  <si>
    <t>II10-1169</t>
  </si>
  <si>
    <t>Lennon</t>
  </si>
  <si>
    <t>3 Piece Organic Cotton Jacquard Comforter Set</t>
  </si>
  <si>
    <t>PP001461;PF005331</t>
  </si>
  <si>
    <t>4/13/2021</t>
  </si>
  <si>
    <t>II10-1108</t>
  </si>
  <si>
    <t>Marta</t>
  </si>
  <si>
    <t>3 Piece Cotton and Flax Linen Blend Comforter Set</t>
  </si>
  <si>
    <t>PP001488;PF005094</t>
  </si>
  <si>
    <t>7/30/2020</t>
  </si>
  <si>
    <t>AMAZONDS,CSNSTORES,JCPENNEY01,OLLIIX</t>
  </si>
  <si>
    <t>II10-1109</t>
  </si>
  <si>
    <t>ASHFURNDS,CSNSTORES,JCPENNEY01</t>
  </si>
  <si>
    <t>II10-1065</t>
  </si>
  <si>
    <t>Mill Valley</t>
  </si>
  <si>
    <t>Reversible Cotton Comforter Set</t>
  </si>
  <si>
    <t>PP001318;PF004764</t>
  </si>
  <si>
    <t>9/2/2019</t>
  </si>
  <si>
    <t>2/14/2020</t>
  </si>
  <si>
    <t>II10-1130</t>
  </si>
  <si>
    <t>Nea</t>
  </si>
  <si>
    <t>Cotton Printed Comforter Set with Trims</t>
  </si>
  <si>
    <t>Black/White</t>
  </si>
  <si>
    <t>PP001095;PF005261</t>
  </si>
  <si>
    <t>12/17/2020</t>
  </si>
  <si>
    <t>11/22/2021</t>
  </si>
  <si>
    <t>II10-1131</t>
  </si>
  <si>
    <t>II10-1056</t>
  </si>
  <si>
    <t>Off White/Gray</t>
  </si>
  <si>
    <t>PP001095;PF004583</t>
  </si>
  <si>
    <t>2/27/2019</t>
  </si>
  <si>
    <t>II10-1057</t>
  </si>
  <si>
    <t>AMAZON,BEALLSDS,KOHLDSN</t>
  </si>
  <si>
    <t>II10-1214</t>
  </si>
  <si>
    <t>3 Piece Cotton Printed Comforter Set w/ trims</t>
  </si>
  <si>
    <t>PP001725;PF005641</t>
  </si>
  <si>
    <t>11/17/2021</t>
  </si>
  <si>
    <t>II10-1215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</si>
  <si>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</si>
  <si>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</si>
  <si>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</si>
  <si>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</si>
  <si>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</si>
  <si>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</si>
  <si>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</si>
  <si>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</si>
  <si>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</si>
  <si>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II10-1311</t>
  </si>
  <si>
    <t>Tahli</t>
  </si>
  <si>
    <t>3 Piece Cotton Blend Chenille Comforter Set</t>
  </si>
  <si>
    <t>Green/Ivory</t>
  </si>
  <si>
    <t>PF006075</t>
  </si>
  <si>
    <t>MACY02,TGTDVS</t>
  </si>
  <si>
    <t>4/30/2024</t>
  </si>
  <si>
    <t>II10-1312</t>
  </si>
  <si>
    <t>AMAZONDS,JCPENNEY01,KOHLDSN,MACY02,OLLIIX,OVERSTOCK01</t>
  </si>
  <si>
    <t>II10-046</t>
  </si>
  <si>
    <t>Sutton</t>
  </si>
  <si>
    <t>Cotton Seersucker Comfoter Set</t>
  </si>
  <si>
    <t>PF001590</t>
  </si>
  <si>
    <t>Casual|Mid-Century</t>
  </si>
  <si>
    <t>2/27/2020</t>
  </si>
  <si>
    <t>II10-047</t>
  </si>
  <si>
    <t>CSNSTORES,KOHLDSN,MACY02,OLLIIX,TGTDVS</t>
  </si>
  <si>
    <t>II10-048</t>
  </si>
  <si>
    <t>BLK01,KOHLDSN,OLLIIX</t>
  </si>
  <si>
    <t>II10-596</t>
  </si>
  <si>
    <t>Masie</t>
  </si>
  <si>
    <t>3 Piece Elastic Embroidered Cotton Comforter Set</t>
  </si>
  <si>
    <t>PF001679;PP000451</t>
  </si>
  <si>
    <t>7/16/2018</t>
  </si>
  <si>
    <t>II10-597</t>
  </si>
  <si>
    <t>6/29/2018</t>
  </si>
  <si>
    <t>II10-1012</t>
  </si>
  <si>
    <t>PP000451;PF004164</t>
  </si>
  <si>
    <t>II10-1045</t>
  </si>
  <si>
    <t>PP000451;PF004499</t>
  </si>
  <si>
    <t>OLLIIX,ZOLA</t>
  </si>
  <si>
    <t>II10-800</t>
  </si>
  <si>
    <t>PF001680;PP000451</t>
  </si>
  <si>
    <t>II10-931</t>
  </si>
  <si>
    <t>Cotton Comforter Mini Set</t>
  </si>
  <si>
    <t>C+</t>
  </si>
  <si>
    <t>PP000342</t>
  </si>
  <si>
    <t>3/12/2019</t>
  </si>
  <si>
    <t>II10-932</t>
  </si>
  <si>
    <t>II13-1200</t>
  </si>
  <si>
    <t>Pomona</t>
  </si>
  <si>
    <t>3 Piece Embroidered Cotton Quilt Set</t>
  </si>
  <si>
    <t>PP000486;PF005523</t>
  </si>
  <si>
    <t>Chevron</t>
  </si>
  <si>
    <t>9/1/2021</t>
  </si>
  <si>
    <t>BLK01,CSNSTORES,MACY02,TGTDVS</t>
  </si>
  <si>
    <t>2/22/2023</t>
  </si>
  <si>
    <t>II13-564</t>
  </si>
  <si>
    <t>PF001639;PP000486</t>
  </si>
  <si>
    <t>AMAZON,BLK01,CSNSTORES,MACY02</t>
  </si>
  <si>
    <t>II13-565</t>
  </si>
  <si>
    <t>AMAZON,BLK01,JCPENNEY01,KOHLDSN,MACY02</t>
  </si>
  <si>
    <t>II13-1201</t>
  </si>
  <si>
    <t>PP000486;PF005524</t>
  </si>
  <si>
    <t>2/25/2024</t>
  </si>
  <si>
    <t>II13-1202</t>
  </si>
  <si>
    <t>II13-1042</t>
  </si>
  <si>
    <t>3 Piece Printed Cotton Quilt Set</t>
  </si>
  <si>
    <t>11/18/2018</t>
  </si>
  <si>
    <t>II13-1043</t>
  </si>
  <si>
    <t>II13-1195</t>
  </si>
  <si>
    <t>Cotton 3 Piece Coverlet Set</t>
  </si>
  <si>
    <t>PP000428;PF004112</t>
  </si>
  <si>
    <t>II13-1196</t>
  </si>
  <si>
    <t>CSNSTORES,HOUZZ,OVERSTOCK01</t>
  </si>
  <si>
    <t>II13-610</t>
  </si>
  <si>
    <t>Kandula</t>
  </si>
  <si>
    <t>3 Piece Reversible Cotton Quilt Set</t>
  </si>
  <si>
    <t>PF001681</t>
  </si>
  <si>
    <t>II13-611</t>
  </si>
  <si>
    <t>II13-614</t>
  </si>
  <si>
    <t>PF001682</t>
  </si>
  <si>
    <t>AMAZON,CSNSTORES,HSNDS,MACY02,TGTDVS</t>
  </si>
  <si>
    <t>II13-615</t>
  </si>
  <si>
    <t>II13-1246</t>
  </si>
  <si>
    <t>Salar</t>
  </si>
  <si>
    <t>3 Piece Printed Cotton Quilt Set with Trims</t>
  </si>
  <si>
    <t>PP001746;PF005675</t>
  </si>
  <si>
    <t>II13-1247</t>
  </si>
  <si>
    <t>6/20/2023</t>
  </si>
  <si>
    <t>II12-598</t>
  </si>
  <si>
    <t>3 Piece Elastic Embroidered Cotton Duvet Cover Set</t>
  </si>
  <si>
    <t>II12-599</t>
  </si>
  <si>
    <t>II12-1014</t>
  </si>
  <si>
    <t>II12-1015</t>
  </si>
  <si>
    <t>3/26/2019</t>
  </si>
  <si>
    <t>II12-801</t>
  </si>
  <si>
    <t>II12-049</t>
  </si>
  <si>
    <t>Duvet Cover Set</t>
  </si>
  <si>
    <t>7/20/2020</t>
  </si>
  <si>
    <t>II12-050</t>
  </si>
  <si>
    <t>BLK01,CSNSTORES,TGTDVS</t>
  </si>
  <si>
    <t>II12-051</t>
  </si>
  <si>
    <t>II12-933</t>
  </si>
  <si>
    <t>Cotton Duvet Cover Mini Set</t>
  </si>
  <si>
    <t>II12-934</t>
  </si>
  <si>
    <t>12/7/2019</t>
  </si>
  <si>
    <t>II12-055</t>
  </si>
  <si>
    <t>Nathan</t>
  </si>
  <si>
    <t>Duvet Cover Mini Set</t>
  </si>
  <si>
    <t>PF001591</t>
  </si>
  <si>
    <t>Mid-Century|Modern/Contemporary</t>
  </si>
  <si>
    <t>II12-057</t>
  </si>
  <si>
    <t>II12-554</t>
  </si>
  <si>
    <t>3 Piece Duvet Cover Mini Set</t>
  </si>
  <si>
    <t>II12-555</t>
  </si>
  <si>
    <t>4/12/2019</t>
  </si>
  <si>
    <t>II12-783</t>
  </si>
  <si>
    <t>II12-784</t>
  </si>
  <si>
    <t>II12-787</t>
  </si>
  <si>
    <t>II12-788</t>
  </si>
  <si>
    <t>II12-1114</t>
  </si>
  <si>
    <t>II12-1115</t>
  </si>
  <si>
    <t>4/8/2024</t>
  </si>
  <si>
    <t>II12-1332</t>
  </si>
  <si>
    <t>3 Piece Cotton Jacquard Duvet Set</t>
  </si>
  <si>
    <t>II12-1333</t>
  </si>
  <si>
    <t>II12-1262</t>
  </si>
  <si>
    <t>II12-1263</t>
  </si>
  <si>
    <t>II12-1118</t>
  </si>
  <si>
    <t>8/11/2022</t>
  </si>
  <si>
    <t>II12-1119</t>
  </si>
  <si>
    <t>11/27/2022</t>
  </si>
  <si>
    <t>II12-1282</t>
  </si>
  <si>
    <t>Dora</t>
  </si>
  <si>
    <t>Organic Cotton Chambray 3 Piece Duvet Cover Set</t>
  </si>
  <si>
    <t>PP001806;PF005799</t>
  </si>
  <si>
    <t>9/20/2022</t>
  </si>
  <si>
    <t>II12-1054</t>
  </si>
  <si>
    <t>Cotton Jacquard Duvet Cover Set</t>
  </si>
  <si>
    <t>II12-1055</t>
  </si>
  <si>
    <t>II12-1071</t>
  </si>
  <si>
    <t>II12-1072</t>
  </si>
  <si>
    <t>II12-1163</t>
  </si>
  <si>
    <t>Hayes</t>
  </si>
  <si>
    <t>Chenille 3 Piece Cotton Duvet Cover Set</t>
  </si>
  <si>
    <t>PP001587;PF005332</t>
  </si>
  <si>
    <t>4/1/2021</t>
  </si>
  <si>
    <t>KOHLDSN,MACY02,TGTDVS,ZOLA</t>
  </si>
  <si>
    <t>II12-1164</t>
  </si>
  <si>
    <t>II12-1095</t>
  </si>
  <si>
    <t>Cotton Printed Duvet Cover Set with Chenille</t>
  </si>
  <si>
    <t>11/23/2020</t>
  </si>
  <si>
    <t>II12-1096</t>
  </si>
  <si>
    <t>10/25/2020</t>
  </si>
  <si>
    <t>II12-1091</t>
  </si>
  <si>
    <t>4/23/2020</t>
  </si>
  <si>
    <t>11/26/2020</t>
  </si>
  <si>
    <t>II12-1092</t>
  </si>
  <si>
    <t>11/19/2024</t>
  </si>
  <si>
    <t>AMAZON,CSNSTORES,HSNDS,KOHLDSN</t>
  </si>
  <si>
    <t>10/24/2020</t>
  </si>
  <si>
    <t>II12-996</t>
  </si>
  <si>
    <t>AMAZON,KOHLDSN,MACY02,TGTDVS</t>
  </si>
  <si>
    <t>7/21/2019</t>
  </si>
  <si>
    <t>II12-997</t>
  </si>
  <si>
    <t>II12-1276</t>
  </si>
  <si>
    <t>CSNSTORES,MACY02,OVERSTOCK01,TGTDVS</t>
  </si>
  <si>
    <t>II12-1277</t>
  </si>
  <si>
    <t>CSNSTORES,JCPENNEY01,KOHLDSN,TGTDVS</t>
  </si>
  <si>
    <t>II12-1106</t>
  </si>
  <si>
    <t>3 Piece Cotton Jacquard Duvet Cover Set</t>
  </si>
  <si>
    <t>II12-1107</t>
  </si>
  <si>
    <t>2/16/2023</t>
  </si>
  <si>
    <t>II12-1151</t>
  </si>
  <si>
    <t>1/21/2021</t>
  </si>
  <si>
    <t>II12-1152</t>
  </si>
  <si>
    <t>1/26/2021</t>
  </si>
  <si>
    <t>II12-1272</t>
  </si>
  <si>
    <t>AMAZONDS,KOHLDSN,MACY02</t>
  </si>
  <si>
    <t>II12-1273</t>
  </si>
  <si>
    <t>TGTDVS,ZOLA</t>
  </si>
  <si>
    <t>II12-1268</t>
  </si>
  <si>
    <t>II12-1269</t>
  </si>
  <si>
    <t>AMAZONDS,CSNSTORES,MACY02,TGTDVS,ZOLA</t>
  </si>
  <si>
    <t>II12-1171</t>
  </si>
  <si>
    <t>3 Piece Organic Cotton Jacquard Duvet Cover Set</t>
  </si>
  <si>
    <t>II12-1110</t>
  </si>
  <si>
    <t>3 Piece Flax and Cotton Blended Duvet Cover Set</t>
  </si>
  <si>
    <t>7/31/2020</t>
  </si>
  <si>
    <t>11/17/2022</t>
  </si>
  <si>
    <t>II12-1111</t>
  </si>
  <si>
    <t>7/29/2022</t>
  </si>
  <si>
    <t>II12-1317</t>
  </si>
  <si>
    <t>3 Piece Cotton Duvet Cover Set with Chenille Tufting</t>
  </si>
  <si>
    <t>II12-1318</t>
  </si>
  <si>
    <t>II12-1250</t>
  </si>
  <si>
    <t>II12-1251</t>
  </si>
  <si>
    <t>II12-1063</t>
  </si>
  <si>
    <t>II12-1064</t>
  </si>
  <si>
    <t>II12-1126</t>
  </si>
  <si>
    <t>9/30/2020</t>
  </si>
  <si>
    <t>II12-1127</t>
  </si>
  <si>
    <t>II12-1067</t>
  </si>
  <si>
    <t>Reversible Cotton Duvet Cover Set</t>
  </si>
  <si>
    <t>7/10/2020</t>
  </si>
  <si>
    <t>II12-1068</t>
  </si>
  <si>
    <t>4/6/2020</t>
  </si>
  <si>
    <t>II12-1132</t>
  </si>
  <si>
    <t>Cotton Printed Duvet Cover Set with Trims</t>
  </si>
  <si>
    <t>II12-1133</t>
  </si>
  <si>
    <t>6/8/2023</t>
  </si>
  <si>
    <t>II12-1058</t>
  </si>
  <si>
    <t>II12-1059</t>
  </si>
  <si>
    <t>II12-1102</t>
  </si>
  <si>
    <t>Cotton Jacquard Duvet Cover Mini Set</t>
  </si>
  <si>
    <t>7/17/2023</t>
  </si>
  <si>
    <t>II12-1103</t>
  </si>
  <si>
    <t>II12-1040</t>
  </si>
  <si>
    <t>AMAZON,CSNSTORES,KOHLDSN,OLLIIX,OVERSTOCK01,ROOMECOM,TGTDVS</t>
  </si>
  <si>
    <t>II12-1041</t>
  </si>
  <si>
    <t>II12-1216</t>
  </si>
  <si>
    <t>3 Piece Cotton Printed Duvet Cover Set w/ trims</t>
  </si>
  <si>
    <t>II12-1217</t>
  </si>
  <si>
    <t>II12-1322</t>
  </si>
  <si>
    <t>3 Piece Striped Cotton Duvet Cover Set</t>
  </si>
  <si>
    <t>II12-1323</t>
  </si>
  <si>
    <t>II12-1326</t>
  </si>
  <si>
    <t>II12-1327</t>
  </si>
  <si>
    <t>AMAZONDS,KOHLDSN</t>
  </si>
  <si>
    <t>II12-1313</t>
  </si>
  <si>
    <t>3 Piece Cotton Blend Chenille Duvet Cover Set</t>
  </si>
  <si>
    <t>MACY02,OLLIIX,TGTDVS,ZOLA</t>
  </si>
  <si>
    <t>II12-1314</t>
  </si>
  <si>
    <t>II11-1077</t>
  </si>
  <si>
    <t>Sham</t>
  </si>
  <si>
    <t>Cotton Quilted Euro Sham</t>
  </si>
  <si>
    <t>Euro Sham</t>
  </si>
  <si>
    <t>PP000362;PP001094;PP001321;PF004815</t>
  </si>
  <si>
    <t>AMAZON,BLK01,KOHLDSN,MACY02,OLLIIX,TGTDVS</t>
  </si>
  <si>
    <t>II11-593</t>
  </si>
  <si>
    <t>PF003361;PP000437;PF005628</t>
  </si>
  <si>
    <t>II11-930</t>
  </si>
  <si>
    <t>PP000362</t>
  </si>
  <si>
    <t>9/15/2017</t>
  </si>
  <si>
    <t>II11-229</t>
  </si>
  <si>
    <t>PF003342;PP000439;PP000478</t>
  </si>
  <si>
    <t>KOHLDSN,MACY02,OLLIIX</t>
  </si>
  <si>
    <t>1/22/2019</t>
  </si>
  <si>
    <t>II11-227</t>
  </si>
  <si>
    <t>PF003343;PP000454;PP000508</t>
  </si>
  <si>
    <t>AMAZON,KOHLDSN,MACY02,OLLIIX</t>
  </si>
  <si>
    <t>12/27/2018</t>
  </si>
  <si>
    <t>II11-551</t>
  </si>
  <si>
    <t>Cotton Embroidered Euro Sham</t>
  </si>
  <si>
    <t>PF003356;PP000371</t>
  </si>
  <si>
    <t>3/8/2019</t>
  </si>
  <si>
    <t>II11-550</t>
  </si>
  <si>
    <t>PF003356;PP000371;PP000486</t>
  </si>
  <si>
    <t>AMAZON,CSNSTORES,HOUZZ,MACY02,TGTDVS</t>
  </si>
  <si>
    <t>II11-600</t>
  </si>
  <si>
    <t>Jane</t>
  </si>
  <si>
    <t>Embroidered Euro Sham</t>
  </si>
  <si>
    <t>AMAZON,MACY02,OVERSTOCK01</t>
  </si>
  <si>
    <t>II30-1078</t>
  </si>
  <si>
    <t>NORMAL PILLOW</t>
  </si>
  <si>
    <t>Other Pillows</t>
  </si>
  <si>
    <t>Riko</t>
  </si>
  <si>
    <t>Cotton Embroidered Square Pillow</t>
  </si>
  <si>
    <t>20x20"</t>
  </si>
  <si>
    <t>PP001094;PP001321;PP001341;PF004816</t>
  </si>
  <si>
    <t>AMAZONDS,BLK01,MACY02</t>
  </si>
  <si>
    <t>II30-545</t>
  </si>
  <si>
    <t>Nadia Dot</t>
  </si>
  <si>
    <t>Embroidered Oblong Pillow</t>
  </si>
  <si>
    <t>12x18"</t>
  </si>
  <si>
    <t>PF003356;PP000371;PP000451</t>
  </si>
  <si>
    <t>AMAZON,BLK01,KOHLDSN,MACY02</t>
  </si>
  <si>
    <t>1/11/2019</t>
  </si>
  <si>
    <t>II30-998</t>
  </si>
  <si>
    <t>Bea</t>
  </si>
  <si>
    <t>Embroidered Cotton Oblong Pillow with Tassels</t>
  </si>
  <si>
    <t>Oblong</t>
  </si>
  <si>
    <t>1/6/2018</t>
  </si>
  <si>
    <t>HOUZZ,JCPENNEY01,MACY02,OVERSTOCK01</t>
  </si>
  <si>
    <t>2/12/2019</t>
  </si>
  <si>
    <t>II30-221</t>
  </si>
  <si>
    <t>Cario</t>
  </si>
  <si>
    <t>Embroidered Square Pillow</t>
  </si>
  <si>
    <t>18x18"</t>
  </si>
  <si>
    <t>PF003342;PP000371;PP000454;PP000478</t>
  </si>
  <si>
    <t>II30-1086</t>
  </si>
  <si>
    <t>Daria</t>
  </si>
  <si>
    <t>Cotton Oblong Pillow</t>
  </si>
  <si>
    <t>PP001463</t>
  </si>
  <si>
    <t>2/18/2020</t>
  </si>
  <si>
    <t>II30-549</t>
  </si>
  <si>
    <t>Fleur</t>
  </si>
  <si>
    <t>PF003356;PP000486</t>
  </si>
  <si>
    <t>Global Inspired|Mid-Century</t>
  </si>
  <si>
    <t>II30-1085</t>
  </si>
  <si>
    <t>Kerala</t>
  </si>
  <si>
    <t>Cotton Square Pillow</t>
  </si>
  <si>
    <t>PP001462</t>
  </si>
  <si>
    <t>II30-208</t>
  </si>
  <si>
    <t>Kiran</t>
  </si>
  <si>
    <t>Cotton Oblong Pillow with Chain Stitch</t>
  </si>
  <si>
    <t>PF003341;PP000460;PP000478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</si>
  <si>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</si>
  <si>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</si>
  <si>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</si>
  <si>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</si>
  <si>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</si>
  <si>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</si>
  <si>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II30-609</t>
  </si>
  <si>
    <t>Cotton Embroidered Decorative Square Pillow</t>
  </si>
  <si>
    <t>PF003362;PP000451;PP000464;PF005628</t>
  </si>
  <si>
    <t>II30-904</t>
  </si>
  <si>
    <t>Stella Dot</t>
  </si>
  <si>
    <t>12x20"</t>
  </si>
  <si>
    <t>Copper</t>
  </si>
  <si>
    <t>PF001709</t>
  </si>
  <si>
    <t>8/25/2017</t>
  </si>
  <si>
    <t>AM10-0197</t>
  </si>
  <si>
    <t>Super Listing</t>
  </si>
  <si>
    <t>Phoebe</t>
  </si>
  <si>
    <t>Himari</t>
  </si>
  <si>
    <t>Hannah</t>
  </si>
  <si>
    <t>Diamond Quilted Ruffle Edge Comforter Set</t>
  </si>
  <si>
    <t>PP001981;PF006327</t>
  </si>
  <si>
    <t>5/7/2024</t>
  </si>
  <si>
    <t>BLK01,HDDS,KIRKLANDDS,KOHLDSN,MACY02,OVERSTOCK01</t>
  </si>
  <si>
    <t>AM10-0198</t>
  </si>
  <si>
    <t>BLK01,CSNSTORES,HDDS,KIRKLANDDS,KOHLDSN,OVERSTOCK01</t>
  </si>
  <si>
    <t>AM10-0199</t>
  </si>
  <si>
    <t>6/17/2024</t>
  </si>
  <si>
    <t>AM10-0191</t>
  </si>
  <si>
    <t>PP001981;PF006325</t>
  </si>
  <si>
    <t>HDDS,KOHLDSN</t>
  </si>
  <si>
    <t>AM10-0192</t>
  </si>
  <si>
    <t>AM10-0193</t>
  </si>
  <si>
    <t>BLK01,KIRKLANDDS,KOHLDSN,OVERSTOCK01</t>
  </si>
  <si>
    <t>AM10-0194</t>
  </si>
  <si>
    <t>PP001981;PF006326</t>
  </si>
  <si>
    <t>AM10-0195</t>
  </si>
  <si>
    <t>BLK01,CSNSTORES,HDDS,KIRKLANDDS,KOHLDSN,MACY02,OVERSTOCK01</t>
  </si>
  <si>
    <t>AM10-0196</t>
  </si>
  <si>
    <t>HDDS,KOHLDSN,OVERSTOCK01</t>
  </si>
  <si>
    <t>AM10-0185</t>
  </si>
  <si>
    <t>PP001981;PF006323</t>
  </si>
  <si>
    <t>BLK01,HDDS,KIRKLANDDS,KOHLDSN,MACY02</t>
  </si>
  <si>
    <t>AM10-0186</t>
  </si>
  <si>
    <t>AM10-0187</t>
  </si>
  <si>
    <t>AM10-0188</t>
  </si>
  <si>
    <t>PP001981;PF006324</t>
  </si>
  <si>
    <t>6/19/2024</t>
  </si>
  <si>
    <t>AM10-0189</t>
  </si>
  <si>
    <t>AM10-0190</t>
  </si>
  <si>
    <t>AM10-0013</t>
  </si>
  <si>
    <t>Mina</t>
  </si>
  <si>
    <t>Hanna</t>
  </si>
  <si>
    <t>Aera</t>
  </si>
  <si>
    <t>Waffle Weave Textured Comforter Set</t>
  </si>
  <si>
    <t>Sage Green</t>
  </si>
  <si>
    <t>PP001928;PF006154</t>
  </si>
  <si>
    <t>BLK01,CSNSTORES,JCPENNEY01,KOHLDSN,MACY02,TGTDVS</t>
  </si>
  <si>
    <t>AM10-0014</t>
  </si>
  <si>
    <t>11/2/2023</t>
  </si>
  <si>
    <t>AMAZON,CSNSTORES,JCPENNEY01,KOHLDSN,MACY02,NRTPORT,OVERSTOCK01,TGTDVS</t>
  </si>
  <si>
    <t>3/21/2024</t>
  </si>
  <si>
    <t>AM10-0015</t>
  </si>
  <si>
    <t>AMAZON,BLK01,CSNSTORES,JCPENNEY01,KIRKLANDDS,KOHLDSN,MACY02,OVERSTOCK01,TGTDVS</t>
  </si>
  <si>
    <t>3/3/2024</t>
  </si>
  <si>
    <t>4/22/2024</t>
  </si>
  <si>
    <t>AM10-0016</t>
  </si>
  <si>
    <t>PP001928;PF006155</t>
  </si>
  <si>
    <t>AM10-0017</t>
  </si>
  <si>
    <t>CSNSTORES,JCPENNEY01,KOHLDSN,NRTPORT,OVERSTOCK01,TGTDVS</t>
  </si>
  <si>
    <t>4/19/2024</t>
  </si>
  <si>
    <t>AM10-0018</t>
  </si>
  <si>
    <t>AM10-0010</t>
  </si>
  <si>
    <t>Light Grey</t>
  </si>
  <si>
    <t>PP001928;PF006153</t>
  </si>
  <si>
    <t>9/29/2023</t>
  </si>
  <si>
    <t>AMAZON,JCPENNEY01,KOHLDSN,OVERSTOCK01,TGTDVS</t>
  </si>
  <si>
    <t>AM10-0011</t>
  </si>
  <si>
    <t>AM10-0012</t>
  </si>
  <si>
    <t>11/11/2023</t>
  </si>
  <si>
    <t>AMAZON,HDDS,JCPENNEY01,KOHLDSN,MACY02,NRTPORT,OVERSTOCK01,TGTDVS</t>
  </si>
  <si>
    <t>AM10-0022</t>
  </si>
  <si>
    <t>PP001928;PF006156</t>
  </si>
  <si>
    <t>AMAZON,AMAZONDS,CSNSTORES,HDDS,JCPENNEY01,KIRKLANDDS,KOHLDSN,NRTPORT,OVERSTOCK01,TGTDVS</t>
  </si>
  <si>
    <t>AM10-0023</t>
  </si>
  <si>
    <t>AMAZON,CSNSTORES,HDDS,JCPENNEY01,KIRKLANDDS,KOHLDSN,MACY02,NRTPORT,OVERSTOCK01,TGTDVS</t>
  </si>
  <si>
    <t>AM10-0024</t>
  </si>
  <si>
    <t>AM10-0061</t>
  </si>
  <si>
    <t>Camden</t>
  </si>
  <si>
    <t>Reese</t>
  </si>
  <si>
    <t>Leighton</t>
  </si>
  <si>
    <t>Chambray Print Solid Comforter Set</t>
  </si>
  <si>
    <t>PP001923;PF006140</t>
  </si>
  <si>
    <t>Print</t>
  </si>
  <si>
    <t>AMAZON,CSNSTORES,HDDS,KOHLDSN,MACY02,NRTPORT,TGTDVS</t>
  </si>
  <si>
    <t>AM10-0062</t>
  </si>
  <si>
    <t>11/3/2023</t>
  </si>
  <si>
    <t>BLK01,CSNSTORES,DESINC,HDDS,JCPENNEY01,KOHLDSN,MACY02,NRTPORT,OVERSTOCK01,TGTDVS</t>
  </si>
  <si>
    <t>AM10-0063</t>
  </si>
  <si>
    <t>BLK01,CSNSTORES,JCPENNEY01,KOHLDSN,MACY02,NRTPORT,OVERSTOCK01,TGTDVS</t>
  </si>
  <si>
    <t>3/13/2024</t>
  </si>
  <si>
    <t>AM10-0058</t>
  </si>
  <si>
    <t>PP001923;PF006139</t>
  </si>
  <si>
    <t>HDDS,KOHLDSN,MACY02,NRTPORT,TGTDVS</t>
  </si>
  <si>
    <t>4/4/2024</t>
  </si>
  <si>
    <t>AM10-0059</t>
  </si>
  <si>
    <t>3/29/2024</t>
  </si>
  <si>
    <t>AM10-0060</t>
  </si>
  <si>
    <t>BLK01,HDDS,KOHLDSN,MACY02,NRTPORT,OVERSTOCK01,TGTDVS</t>
  </si>
  <si>
    <t>AM10-0067</t>
  </si>
  <si>
    <t>PP001923;PF006142</t>
  </si>
  <si>
    <t>7/23/2024</t>
  </si>
  <si>
    <t>AMAZON,KOHLDSN,MACY02,OVERSTOCK01,TGTDVS</t>
  </si>
  <si>
    <t>AM10-0068</t>
  </si>
  <si>
    <t>AMAZON,HDDS,JCPENNEY01,KOHLDSN,MACY02</t>
  </si>
  <si>
    <t>AM10-0069</t>
  </si>
  <si>
    <t>BLK01,JCPENNEY01,KOHLDSN,MACY02,NRTPORT,OVERSTOCK01</t>
  </si>
  <si>
    <t>3/20/2024</t>
  </si>
  <si>
    <t>AM10-0064</t>
  </si>
  <si>
    <t>PP001923;PF006141</t>
  </si>
  <si>
    <t>CSNSTORES,KOHLDSN,MACY02,NRTPORT,TGTDVS</t>
  </si>
  <si>
    <t>AM10-0065</t>
  </si>
  <si>
    <t>3/25/2024</t>
  </si>
  <si>
    <t>AM10-0066</t>
  </si>
  <si>
    <t>JCPENNEY01,KOHLDSN,MACY02,NRTPORT,OVERSTOCK01,TGTDVS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</si>
  <si>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</si>
  <si>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</si>
  <si>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</si>
  <si>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</si>
  <si>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</si>
  <si>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</si>
  <si>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BLK01,CSNSTORES,HDDS,JCPENNEY01,KOHLDSN,MACY02,TGTDVS</t>
  </si>
  <si>
    <t>AM10-0029</t>
  </si>
  <si>
    <t>CSNSTORES,HDDS,JCPENNEY01,KOHLDSN,MACY02,NRTPORT,OVERSTOCK01</t>
  </si>
  <si>
    <t>AM10-0030</t>
  </si>
  <si>
    <t>11/4/2023</t>
  </si>
  <si>
    <t>CSNSTORES,HDDS,JCPENNEY01,KOHLDSN,MACY02</t>
  </si>
  <si>
    <t>3/7/2024</t>
  </si>
  <si>
    <t>AM10-0025</t>
  </si>
  <si>
    <t>PP001926;PF006147</t>
  </si>
  <si>
    <t>AMAZON,BLK01,HDDS,JCPENNEY01,KOHLDSN,MACY02,TGTDVS</t>
  </si>
  <si>
    <t>3/1/2024</t>
  </si>
  <si>
    <t>AM10-0026</t>
  </si>
  <si>
    <t>5/20/2024</t>
  </si>
  <si>
    <t>AM10-0027</t>
  </si>
  <si>
    <t>AMAZON,JCPENNEY01,KOHLDSN,MACY02,NRTPORT,OVERSTOCK01</t>
  </si>
  <si>
    <t>AM10-0290</t>
  </si>
  <si>
    <t>Brick</t>
  </si>
  <si>
    <t>PP001926;PF006375</t>
  </si>
  <si>
    <t>AM10-0291</t>
  </si>
  <si>
    <t>AM10-0292</t>
  </si>
  <si>
    <t>AM10-0031</t>
  </si>
  <si>
    <t>PP001926;PF006149</t>
  </si>
  <si>
    <t>3/8/2024</t>
  </si>
  <si>
    <t>5/27/2024</t>
  </si>
  <si>
    <t>AM10-0032</t>
  </si>
  <si>
    <t>AMAZON,CSNSTORES,DESINC,HDDS,JCPENNEY01,KOHLDSN,OVERSTOCK01</t>
  </si>
  <si>
    <t>3/27/2024</t>
  </si>
  <si>
    <t>AM10-0033</t>
  </si>
  <si>
    <t>AMAZON,DESINC,HDDS,JCPENNEY01,KOHLDSN,MACY02</t>
  </si>
  <si>
    <t>AM10-0296</t>
  </si>
  <si>
    <t>PP001926;PF006377</t>
  </si>
  <si>
    <t>7/29/2024</t>
  </si>
  <si>
    <t>AM10-0297</t>
  </si>
  <si>
    <t>AM10-0298</t>
  </si>
  <si>
    <t>AM10-0293</t>
  </si>
  <si>
    <t>PP001926;PF006376</t>
  </si>
  <si>
    <t>AM10-0294</t>
  </si>
  <si>
    <t>AM10-0295</t>
  </si>
  <si>
    <t>AM10-0004</t>
  </si>
  <si>
    <t>Porter</t>
  </si>
  <si>
    <t>Evans</t>
  </si>
  <si>
    <t>Walker</t>
  </si>
  <si>
    <t>Soft Washed Pleated Comforter Set</t>
  </si>
  <si>
    <t>PP001927;PF006151</t>
  </si>
  <si>
    <t>AMAZON,AMAZONDS,CSNSTORES,JCPENNEY01,KOHLDSN,MACY02,NRTPORT,OVERSTOCK01,TGTDVS</t>
  </si>
  <si>
    <t>5/21/2024</t>
  </si>
  <si>
    <t>AM10-0470</t>
  </si>
  <si>
    <t>AM10-0005</t>
  </si>
  <si>
    <t>CSNSTORES,HDDS,KOHLDSN,MACY02,NRTPORT,OVERSTOCK01,TGTDVS</t>
  </si>
  <si>
    <t>AM10-0006</t>
  </si>
  <si>
    <t>BLK01,CSNSTORES,KIRKLANDDS,KOHLDSN,MACY02,NRTPORT,OVERSTOCK01</t>
  </si>
  <si>
    <t>AM10-0471</t>
  </si>
  <si>
    <t>AM10-0007</t>
  </si>
  <si>
    <t>PP001927;PF006152</t>
  </si>
  <si>
    <t>AMAZON,CSNSTORES,DESINC,KOHLDSN,MACY02,NRTPORT,TGTDVS</t>
  </si>
  <si>
    <t>AM10-0472</t>
  </si>
  <si>
    <t>AM10-0008</t>
  </si>
  <si>
    <t>AMAZON,BLK01,CSNSTORES,KOHLDSN,NRTPORT,OVERSTOCK01,TGTDVS</t>
  </si>
  <si>
    <t>AM10-0009</t>
  </si>
  <si>
    <t>CSNSTORES,KOHLDSN,NRTPORT,OVERSTOCK01,TGTDVS</t>
  </si>
  <si>
    <t>AM10-0473</t>
  </si>
  <si>
    <t>AM10-0143</t>
  </si>
  <si>
    <t>PP001927;PF006241</t>
  </si>
  <si>
    <t>4/2/2024</t>
  </si>
  <si>
    <t>4/3/2024</t>
  </si>
  <si>
    <t>AM10-0466</t>
  </si>
  <si>
    <t>AM10-0144</t>
  </si>
  <si>
    <t>CSNSTORES,JCPENNEY01,KOHLDSN,MACY02,NRTPORT,OVERSTOCK01,TGTDVS</t>
  </si>
  <si>
    <t>AM10-0145</t>
  </si>
  <si>
    <t>3/30/2024</t>
  </si>
  <si>
    <t>AM10-0467</t>
  </si>
  <si>
    <t>AM10-0140</t>
  </si>
  <si>
    <t>PP001927;PF006243</t>
  </si>
  <si>
    <t>AMAZON,CSNSTORES,JCPENNEY01,KOHLDSN,MACY02,NRTPORT,OVERSTOCK01</t>
  </si>
  <si>
    <t>5/22/2024</t>
  </si>
  <si>
    <t>AM10-0464</t>
  </si>
  <si>
    <t>AM10-0141</t>
  </si>
  <si>
    <t>AMAZONDS,KOHLDSN,NRTPORT</t>
  </si>
  <si>
    <t>AM10-0142</t>
  </si>
  <si>
    <t>AM10-0465</t>
  </si>
  <si>
    <t>AM10-0137</t>
  </si>
  <si>
    <t>PP001927;PF006240</t>
  </si>
  <si>
    <t>KOHLDSN,NRTPORT,TGTDVS</t>
  </si>
  <si>
    <t>AM10-0462</t>
  </si>
  <si>
    <t>AM10-0138</t>
  </si>
  <si>
    <t>AMAZON,CSNSTORES,HDDS,KOHLDSN,NRTPORT,TGTDVS</t>
  </si>
  <si>
    <t>AM10-0139</t>
  </si>
  <si>
    <t>AM10-0463</t>
  </si>
  <si>
    <t>AM10-0392</t>
  </si>
  <si>
    <t>Clay</t>
  </si>
  <si>
    <t>PP001927;PF006422</t>
  </si>
  <si>
    <t>AM10-0452</t>
  </si>
  <si>
    <t>AM10-0393</t>
  </si>
  <si>
    <t>AM10-0394</t>
  </si>
  <si>
    <t>AM10-0453</t>
  </si>
  <si>
    <t>AM10-0001</t>
  </si>
  <si>
    <t>PP001927;PF006150</t>
  </si>
  <si>
    <t>AMAZON,CSNSTORES,HDDS,JCPENNEY01,KOHLDSN,NRTPORT</t>
  </si>
  <si>
    <t>AM10-0468</t>
  </si>
  <si>
    <t>AM10-0002</t>
  </si>
  <si>
    <t>AMAZON,CSNSTORES,KOHLDSN,MACY02,NRTPORT,OVERSTOCK01,TGTDVS</t>
  </si>
  <si>
    <t>AM10-0003</t>
  </si>
  <si>
    <t>AM10-0469</t>
  </si>
  <si>
    <t>AM10-0389</t>
  </si>
  <si>
    <t>PP001927;PF006420</t>
  </si>
  <si>
    <t>AM10-0450</t>
  </si>
  <si>
    <t>AM10-0390</t>
  </si>
  <si>
    <t>AM10-0391</t>
  </si>
  <si>
    <t>AM10-0451</t>
  </si>
  <si>
    <t>AM10-0398</t>
  </si>
  <si>
    <t>PP001927;PF006423</t>
  </si>
  <si>
    <t>AM10-0456</t>
  </si>
  <si>
    <t>AM10-0399</t>
  </si>
  <si>
    <t>AM10-0400</t>
  </si>
  <si>
    <t>AM10-0457</t>
  </si>
  <si>
    <t>AM10-0401</t>
  </si>
  <si>
    <t>PP001927;PF006424</t>
  </si>
  <si>
    <t>AM10-0458</t>
  </si>
  <si>
    <t>AM10-0402</t>
  </si>
  <si>
    <t>AM10-0403</t>
  </si>
  <si>
    <t>AM10-0459</t>
  </si>
  <si>
    <t>AM10-0395</t>
  </si>
  <si>
    <t>PP001927;PF006421</t>
  </si>
  <si>
    <t>AM10-0454</t>
  </si>
  <si>
    <t>AM10-0396</t>
  </si>
  <si>
    <t>AM10-0397</t>
  </si>
  <si>
    <t>AM10-0455</t>
  </si>
  <si>
    <t>AM10-0134</t>
  </si>
  <si>
    <t>PP001927;PF006242</t>
  </si>
  <si>
    <t>AMAZON,CSNSTORES,JCPENNEY01,KOHLDSN,MACY02,NRTPORT</t>
  </si>
  <si>
    <t>5/16/2024</t>
  </si>
  <si>
    <t>AM10-0460</t>
  </si>
  <si>
    <t>AM10-0135</t>
  </si>
  <si>
    <t>AM10-0136</t>
  </si>
  <si>
    <t>CSNSTORES,JCPENNEY01,KOHLDSN,MACY02,NRTPORT,OVERSTOCK01</t>
  </si>
  <si>
    <t>6/21/2024</t>
  </si>
  <si>
    <t>AM10-0461</t>
  </si>
  <si>
    <t>AM10-0386</t>
  </si>
  <si>
    <t>PP001927;PF006419</t>
  </si>
  <si>
    <t>AM10-0448</t>
  </si>
  <si>
    <t>AM10-0387</t>
  </si>
  <si>
    <t>AM10-0388</t>
  </si>
  <si>
    <t>AM10-0449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</si>
  <si>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</si>
  <si>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</si>
  <si>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</si>
  <si>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</si>
  <si>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</si>
  <si>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</si>
  <si>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</si>
  <si>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AM10-0126</t>
  </si>
  <si>
    <t>BLK01,HDDS,JCPENNEY01,KOHLDSN,MACY02,OVERSTOCK01</t>
  </si>
  <si>
    <t>AM10-0127</t>
  </si>
  <si>
    <t>6/28/2024</t>
  </si>
  <si>
    <t>AM10-0122</t>
  </si>
  <si>
    <t>Navy/Blue</t>
  </si>
  <si>
    <t>PP001958;PF006234</t>
  </si>
  <si>
    <t>BLK01,KOHLDSN,MACY02,OVERSTOCK01</t>
  </si>
  <si>
    <t>AM10-0123</t>
  </si>
  <si>
    <t>AM10-0124</t>
  </si>
  <si>
    <t>KOHLDSN,MACY02,NRTPORT,OVERSTOCK01,TGTDVS</t>
  </si>
  <si>
    <t>AM10-0079</t>
  </si>
  <si>
    <t>Aria</t>
  </si>
  <si>
    <t>Milan</t>
  </si>
  <si>
    <t>Senia</t>
  </si>
  <si>
    <t>Floral Print Reversible Comforter Set</t>
  </si>
  <si>
    <t>PP001924;PF006144</t>
  </si>
  <si>
    <t>AM10-0080</t>
  </si>
  <si>
    <t>AM10-0081</t>
  </si>
  <si>
    <t>DESINC,KOHLDSN</t>
  </si>
  <si>
    <t>4/17/2024</t>
  </si>
  <si>
    <t>AM10-0070</t>
  </si>
  <si>
    <t>PP001924;PF006143</t>
  </si>
  <si>
    <t>AM10-0071</t>
  </si>
  <si>
    <t>5/2/2024</t>
  </si>
  <si>
    <t>AM10-0072</t>
  </si>
  <si>
    <t>AMAZON,CSNSTORES,DESINC,JCPENNEY01,KOHLDSN,MACY02,OVERSTOCK01</t>
  </si>
  <si>
    <t>AM10-0161</t>
  </si>
  <si>
    <t>Bailey</t>
  </si>
  <si>
    <t>Darby</t>
  </si>
  <si>
    <t>Niro/Malani</t>
  </si>
  <si>
    <t>Pinch Pleat Woven Textured Comforter Set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</si>
  <si>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</si>
  <si>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</si>
  <si>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</si>
  <si>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</si>
  <si>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</si>
  <si>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</si>
  <si>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</si>
  <si>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AM10-0158</t>
  </si>
  <si>
    <t>PP001966;PF006262</t>
  </si>
  <si>
    <t>AM10-0159</t>
  </si>
  <si>
    <t>AM10-0160</t>
  </si>
  <si>
    <t>AM10-0131</t>
  </si>
  <si>
    <t>Calvin</t>
  </si>
  <si>
    <t>Owain/Erik</t>
  </si>
  <si>
    <t>Stripe Textured Print Comforter Set</t>
  </si>
  <si>
    <t>Black/Grey</t>
  </si>
  <si>
    <t>PP001959;PF006237</t>
  </si>
  <si>
    <t>AM10-0132</t>
  </si>
  <si>
    <t>JCPENNEY01,KOHLDSN,MACY02,OVERSTOCK01</t>
  </si>
  <si>
    <t>AM10-0133</t>
  </si>
  <si>
    <t>3/9/2024</t>
  </si>
  <si>
    <t>AM10-0128</t>
  </si>
  <si>
    <t>PP001959;PF006236</t>
  </si>
  <si>
    <t>CSNSTORES,HDDS,JCPENNEY01,KOHLDSN,OVERSTOCK01,TGTDVS</t>
  </si>
  <si>
    <t>AM10-0129</t>
  </si>
  <si>
    <t>CSNSTORES,JCPENNEY01,KOHLDSN,NRTPORT,OVERSTOCK01</t>
  </si>
  <si>
    <t>AM10-0130</t>
  </si>
  <si>
    <t>CSNSTORES,JCPENNEY01,KOHLDSN,NRTPORT</t>
  </si>
  <si>
    <t>AM10-0082</t>
  </si>
  <si>
    <t>Jonah</t>
  </si>
  <si>
    <t>Micah</t>
  </si>
  <si>
    <t>Asher</t>
  </si>
  <si>
    <t>Plaid Check Printed Comforter Set</t>
  </si>
  <si>
    <t>PP001925;PF006145</t>
  </si>
  <si>
    <t>11/22/2024</t>
  </si>
  <si>
    <t>AM10-0083</t>
  </si>
  <si>
    <t>AM10-0084</t>
  </si>
  <si>
    <t>AM10-0085</t>
  </si>
  <si>
    <t>Charcoal Grey</t>
  </si>
  <si>
    <t>PP001925;PF006146</t>
  </si>
  <si>
    <t>AM10-0086</t>
  </si>
  <si>
    <t>CSNSTORES,DESINC,KOHLDSN,TGTDVS</t>
  </si>
  <si>
    <t>AM10-0087</t>
  </si>
  <si>
    <t>CSNSTORES,DESINC</t>
  </si>
  <si>
    <t>AM10-0176</t>
  </si>
  <si>
    <t>Miro</t>
  </si>
  <si>
    <t>Ayko</t>
  </si>
  <si>
    <t>Marty</t>
  </si>
  <si>
    <t>Soft Washed Color Block Comforter Set</t>
  </si>
  <si>
    <t>PP001980;PF006320</t>
  </si>
  <si>
    <t>AM10-0177</t>
  </si>
  <si>
    <t>HDDS,KOHLDSN,MACY02</t>
  </si>
  <si>
    <t>AM10-0178</t>
  </si>
  <si>
    <t>AM10-0179</t>
  </si>
  <si>
    <t>PP001980;PF006321</t>
  </si>
  <si>
    <t>AM10-0180</t>
  </si>
  <si>
    <t>AM10-0181</t>
  </si>
  <si>
    <t>AM10-0182</t>
  </si>
  <si>
    <t>Pink</t>
  </si>
  <si>
    <t>PP001980;PF006322</t>
  </si>
  <si>
    <t>AM10-0183</t>
  </si>
  <si>
    <t>AM10-0184</t>
  </si>
  <si>
    <t>AM10-0094</t>
  </si>
  <si>
    <t>Maca</t>
  </si>
  <si>
    <t>Textured Print Reversible Comforter Set</t>
  </si>
  <si>
    <t>Light Blue</t>
  </si>
  <si>
    <t>PP001995;PF006407</t>
  </si>
  <si>
    <t>AM10-0095</t>
  </si>
  <si>
    <t>DESINC,KOHLDSN,MACY02,TGTDVS</t>
  </si>
  <si>
    <t>AM10-0096</t>
  </si>
  <si>
    <t>AM10-0091</t>
  </si>
  <si>
    <t>PP001995;PF006406</t>
  </si>
  <si>
    <t>AM10-0092</t>
  </si>
  <si>
    <t>CSNSTORES,DESINC,MACY02</t>
  </si>
  <si>
    <t>AM10-0093</t>
  </si>
  <si>
    <t>AM10-0088</t>
  </si>
  <si>
    <t>PP001995;PF006405</t>
  </si>
  <si>
    <t>AM10-0089</t>
  </si>
  <si>
    <t>AM10-0090</t>
  </si>
  <si>
    <t>AM10-0073</t>
  </si>
  <si>
    <t>Floral Print Revesible Comforter Set</t>
  </si>
  <si>
    <t>PP001924;PF006378</t>
  </si>
  <si>
    <t>AM10-0074</t>
  </si>
  <si>
    <t>6/25/2024</t>
  </si>
  <si>
    <t>AM10-0075</t>
  </si>
  <si>
    <t>AM10-0076</t>
  </si>
  <si>
    <t>PP001924;PF006379</t>
  </si>
  <si>
    <t>AM10-0077</t>
  </si>
  <si>
    <t>AM10-0078</t>
  </si>
  <si>
    <t>AM10-0097</t>
  </si>
  <si>
    <t>Chambray Print Microfiber Comforter Set with Bed Sheets</t>
  </si>
  <si>
    <t>AM10-0098</t>
  </si>
  <si>
    <t>AM10-0099</t>
  </si>
  <si>
    <t>AM10-0100</t>
  </si>
  <si>
    <t>AM10-0109</t>
  </si>
  <si>
    <t>AM10-0110</t>
  </si>
  <si>
    <t>AM10-0111</t>
  </si>
  <si>
    <t>AM10-0112</t>
  </si>
  <si>
    <t>AM10-0105</t>
  </si>
  <si>
    <t>AM10-0106</t>
  </si>
  <si>
    <t>AM10-0107</t>
  </si>
  <si>
    <t>AM10-0108</t>
  </si>
  <si>
    <t>AM10-0101</t>
  </si>
  <si>
    <t>AM10-0102</t>
  </si>
  <si>
    <t>AM10-0103</t>
  </si>
  <si>
    <t>AM10-0104</t>
  </si>
  <si>
    <t>AM12-0049</t>
  </si>
  <si>
    <t>Waffle Weave Textured Duvet Cover Set</t>
  </si>
  <si>
    <t>AM12-0050</t>
  </si>
  <si>
    <t>6/27/2024</t>
  </si>
  <si>
    <t>AM12-0051</t>
  </si>
  <si>
    <t>AMAZON,BLK01,CSNSTORES,HDDS,JCPENNEY01,KOHLDSN,MACY02,NRTPORT,OVERSTOCK01,TGTDVS</t>
  </si>
  <si>
    <t>AM12-0046</t>
  </si>
  <si>
    <t>4/25/2024</t>
  </si>
  <si>
    <t>AM12-0047</t>
  </si>
  <si>
    <t>BLK01,CSNSTORES,HDDS,JCPENNEY01,KOHLDSN</t>
  </si>
  <si>
    <t>AM12-0048</t>
  </si>
  <si>
    <t>AM12-0043</t>
  </si>
  <si>
    <t>DESINC,JCPENNEY01,MACY02</t>
  </si>
  <si>
    <t>AM12-0044</t>
  </si>
  <si>
    <t>AM12-0045</t>
  </si>
  <si>
    <t>11/10/2023</t>
  </si>
  <si>
    <t>AM12-0055</t>
  </si>
  <si>
    <t>AMAZON,CSNSTORES,HDDS,JCPENNEY01,MACY02,OVERSTOCK01,TGTDVS</t>
  </si>
  <si>
    <t>6/14/2024</t>
  </si>
  <si>
    <t>AM12-0056</t>
  </si>
  <si>
    <t>AM12-0057</t>
  </si>
  <si>
    <t>AM12-0037</t>
  </si>
  <si>
    <t>Soft Washed Pleated Duvet Cover Set</t>
  </si>
  <si>
    <t>AM12-0424</t>
  </si>
  <si>
    <t>AM12-0038</t>
  </si>
  <si>
    <t>AMAZON,CSNSTORES,HDDS,JCPENNEY01,KOHLDSN,MACY02,NRTPORT,OVERSTOCK01</t>
  </si>
  <si>
    <t>3/14/2024</t>
  </si>
  <si>
    <t>5/15/2024</t>
  </si>
  <si>
    <t>AM12-0039</t>
  </si>
  <si>
    <t>AMAZON,BLK01,CSNSTORES,HDDS,JCPENNEY01,KOHLDSN,NRTPORT,OVERSTOCK01,TGTDVS</t>
  </si>
  <si>
    <t>AM12-0425</t>
  </si>
  <si>
    <t>AM12-0040</t>
  </si>
  <si>
    <t>AMAZON,AMAZONDS,CSNSTORES,KOHLDSN,MACY02,OVERSTOCK01</t>
  </si>
  <si>
    <t>AM12-0426</t>
  </si>
  <si>
    <t>AM12-0041</t>
  </si>
  <si>
    <t>AM12-0042</t>
  </si>
  <si>
    <t>AMAZON,BLK01,CSNSTORES,HDDS,JCPENNEY01,KOHLDSN,MACY02,OVERSTOCK01,TGTDVS</t>
  </si>
  <si>
    <t>AM12-0427</t>
  </si>
  <si>
    <t>AM12-0146</t>
  </si>
  <si>
    <t>BLK01,CSNSTORES,JCPENNEY01</t>
  </si>
  <si>
    <t>AM12-0440</t>
  </si>
  <si>
    <t>AM12-0147</t>
  </si>
  <si>
    <t>AM12-0148</t>
  </si>
  <si>
    <t>AMAZONDS,CSNSTORES,JCPENNEY01,KOHLDSN,MACY02,OVERSTOCK01</t>
  </si>
  <si>
    <t>AM12-0441</t>
  </si>
  <si>
    <t>AM12-0155</t>
  </si>
  <si>
    <t>AM12-0446</t>
  </si>
  <si>
    <t>AM12-0156</t>
  </si>
  <si>
    <t>AM12-0157</t>
  </si>
  <si>
    <t>AM12-0447</t>
  </si>
  <si>
    <t>AM12-0152</t>
  </si>
  <si>
    <t>AM12-0444</t>
  </si>
  <si>
    <t>AM12-0153</t>
  </si>
  <si>
    <t>AMAZON,AMAZONDS,CSNSTORES,HDDS,JCPENNEY01,KOHLDSN,MACY02,NRTPORT,TGTDVS</t>
  </si>
  <si>
    <t>AM12-0154</t>
  </si>
  <si>
    <t>AMAZON,CSNSTORES,HDDS,JCPENNEY01,KOHLDSN,MACY02</t>
  </si>
  <si>
    <t>AM12-0445</t>
  </si>
  <si>
    <t>AM12-0149</t>
  </si>
  <si>
    <t>AM12-0442</t>
  </si>
  <si>
    <t>AM12-0150</t>
  </si>
  <si>
    <t>6/6/2024</t>
  </si>
  <si>
    <t>AM12-0151</t>
  </si>
  <si>
    <t>AM12-0443</t>
  </si>
  <si>
    <t>AM12-0410</t>
  </si>
  <si>
    <t>AM12-0432</t>
  </si>
  <si>
    <t>AM12-0411</t>
  </si>
  <si>
    <t>AM12-0412</t>
  </si>
  <si>
    <t>AM12-0433</t>
  </si>
  <si>
    <t>AM12-0034</t>
  </si>
  <si>
    <t>AM12-0422</t>
  </si>
  <si>
    <t>AM12-0035</t>
  </si>
  <si>
    <t>6/26/2024</t>
  </si>
  <si>
    <t>AM12-0036</t>
  </si>
  <si>
    <t>AMAZON,JCPENNEY01,KOHLDSN,MACY02,NRTPORT</t>
  </si>
  <si>
    <t>AM12-0423</t>
  </si>
  <si>
    <t>AM12-0407</t>
  </si>
  <si>
    <t>AM12-0430</t>
  </si>
  <si>
    <t>AM12-0408</t>
  </si>
  <si>
    <t>AM12-0409</t>
  </si>
  <si>
    <t>AM12-0431</t>
  </si>
  <si>
    <t>AM12-0416</t>
  </si>
  <si>
    <t>AM12-0436</t>
  </si>
  <si>
    <t>AM12-0417</t>
  </si>
  <si>
    <t>AM12-0418</t>
  </si>
  <si>
    <t>AM12-0437</t>
  </si>
  <si>
    <t>AM12-0419</t>
  </si>
  <si>
    <t>AM12-0438</t>
  </si>
  <si>
    <t>AM12-0420</t>
  </si>
  <si>
    <t>AM12-0421</t>
  </si>
  <si>
    <t>AM12-0439</t>
  </si>
  <si>
    <t>AM12-0413</t>
  </si>
  <si>
    <t>AM12-0434</t>
  </si>
  <si>
    <t>AM12-0414</t>
  </si>
  <si>
    <t>AM12-0415</t>
  </si>
  <si>
    <t>AM12-0435</t>
  </si>
  <si>
    <t>AM12-0404</t>
  </si>
  <si>
    <t>AM12-0428</t>
  </si>
  <si>
    <t>AM12-0405</t>
  </si>
  <si>
    <t>AM12-0406</t>
  </si>
  <si>
    <t>AM12-0429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</si>
  <si>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</si>
  <si>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</si>
  <si>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</si>
  <si>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</si>
  <si>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</si>
  <si>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</si>
  <si>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</si>
  <si>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</si>
  <si>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</si>
  <si>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</si>
  <si>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AM12-0116</t>
  </si>
  <si>
    <t>Textured Print Reversible Duvet Set</t>
  </si>
  <si>
    <t>AM12-0117</t>
  </si>
  <si>
    <t>AM12-0118</t>
  </si>
  <si>
    <t>AM12-0119</t>
  </si>
  <si>
    <t>AM12-0120</t>
  </si>
  <si>
    <t>AM12-0121</t>
  </si>
  <si>
    <t>AM12-0113</t>
  </si>
  <si>
    <t>AM12-0114</t>
  </si>
  <si>
    <t>AM12-0115</t>
  </si>
  <si>
    <t>AM14-0365</t>
  </si>
  <si>
    <t>QUILT</t>
  </si>
  <si>
    <t>Waffle Weave Textured Quilt Set</t>
  </si>
  <si>
    <t>PP001928;PF006425</t>
  </si>
  <si>
    <t>AM14-0366</t>
  </si>
  <si>
    <t>AM14-0367</t>
  </si>
  <si>
    <t>AM14-0368</t>
  </si>
  <si>
    <t>PP001928;PF006426</t>
  </si>
  <si>
    <t>AM14-0369</t>
  </si>
  <si>
    <t>AM14-0370</t>
  </si>
  <si>
    <t>AM14-0371</t>
  </si>
  <si>
    <t>PP001928;PF006427</t>
  </si>
  <si>
    <t>AM14-0372</t>
  </si>
  <si>
    <t>AM14-0373</t>
  </si>
  <si>
    <t>AM14-0374</t>
  </si>
  <si>
    <t>PP001928;PF006428</t>
  </si>
  <si>
    <t>AM14-0375</t>
  </si>
  <si>
    <t>AM14-0376</t>
  </si>
  <si>
    <t>HH10-1618</t>
  </si>
  <si>
    <t>Harbor House</t>
  </si>
  <si>
    <t>Lorelai</t>
  </si>
  <si>
    <t>Cotton Printed 6 Piece Comforter Set</t>
  </si>
  <si>
    <t>PF003337</t>
  </si>
  <si>
    <t>2/10/2020</t>
  </si>
  <si>
    <t>HH10-1619</t>
  </si>
  <si>
    <t>HH10-1620</t>
  </si>
  <si>
    <t>HH10-1621</t>
  </si>
  <si>
    <t>HH10-1683</t>
  </si>
  <si>
    <t>Hallie</t>
  </si>
  <si>
    <t>6 Piece Cotton Comforter Set</t>
  </si>
  <si>
    <t>PF004246</t>
  </si>
  <si>
    <t>12/14/2017</t>
  </si>
  <si>
    <t>HH10-1684</t>
  </si>
  <si>
    <t>10/10/2019</t>
  </si>
  <si>
    <t>HH10-1685</t>
  </si>
  <si>
    <t>10/3/2019</t>
  </si>
  <si>
    <t>HH10-1686</t>
  </si>
  <si>
    <t>HH10-093</t>
  </si>
  <si>
    <t>Beach House</t>
  </si>
  <si>
    <t>PF003326</t>
  </si>
  <si>
    <t>1/24/2020</t>
  </si>
  <si>
    <t>HH10-094</t>
  </si>
  <si>
    <t>HH10-095</t>
  </si>
  <si>
    <t>8/13/2019</t>
  </si>
  <si>
    <t>HH10-096</t>
  </si>
  <si>
    <t>HH10-097</t>
  </si>
  <si>
    <t>HH10-1689</t>
  </si>
  <si>
    <t>Anslee</t>
  </si>
  <si>
    <t>3 Piece Cotton Yarn Dyed Comforter Set</t>
  </si>
  <si>
    <t>PF004247;PP000875</t>
  </si>
  <si>
    <t>BEALLSDS,CSNSTORES,KOHLDSN,OLLIIX,OVERSTOCK01</t>
  </si>
  <si>
    <t>HH10-1690</t>
  </si>
  <si>
    <t>7/2/2019</t>
  </si>
  <si>
    <t>HH10-1831</t>
  </si>
  <si>
    <t>Brooks</t>
  </si>
  <si>
    <t>5 Piece Oversized Cotton Stripe Comforter Set</t>
  </si>
  <si>
    <t>White/Blue</t>
  </si>
  <si>
    <t>PP001815;PF005827</t>
  </si>
  <si>
    <t>12/6/2022</t>
  </si>
  <si>
    <t>HH10-1832</t>
  </si>
  <si>
    <t>HH10-494</t>
  </si>
  <si>
    <t>Chelsea</t>
  </si>
  <si>
    <t>Cotton Comforter Set</t>
  </si>
  <si>
    <t>PF003320</t>
  </si>
  <si>
    <t>5/17/2023</t>
  </si>
  <si>
    <t>HH10-495</t>
  </si>
  <si>
    <t>8/1/2021</t>
  </si>
  <si>
    <t>HH10-480</t>
  </si>
  <si>
    <t>Coastline</t>
  </si>
  <si>
    <t>Oversized Cotton Jacquard Comforter Set</t>
  </si>
  <si>
    <t>PF003317</t>
  </si>
  <si>
    <t>3/15/2021</t>
  </si>
  <si>
    <t>HH10-396</t>
  </si>
  <si>
    <t>11/30/2020</t>
  </si>
  <si>
    <t>HH10-397</t>
  </si>
  <si>
    <t>11/20/2024</t>
  </si>
  <si>
    <t>1/11/2021</t>
  </si>
  <si>
    <t>HH10-398</t>
  </si>
  <si>
    <t>AMAZONDS,OVERSTOCK01</t>
  </si>
  <si>
    <t>12/18/2020</t>
  </si>
  <si>
    <t>HH10-415</t>
  </si>
  <si>
    <t>11/13/2020</t>
  </si>
  <si>
    <t>HH10-1544</t>
  </si>
  <si>
    <t>6 Piece Oversized Cotton Jacquard Comforter Set</t>
  </si>
  <si>
    <t>PF003318</t>
  </si>
  <si>
    <t>4/27/2020</t>
  </si>
  <si>
    <t>HH10-1545</t>
  </si>
  <si>
    <t>HH10-1546</t>
  </si>
  <si>
    <t>HH10-1547</t>
  </si>
  <si>
    <t>3/16/2020</t>
  </si>
  <si>
    <t>HH10-702</t>
  </si>
  <si>
    <t>Crystal Beach</t>
  </si>
  <si>
    <t>PF003321</t>
  </si>
  <si>
    <t>AMAZON,CSNSTORES,HOUZZ</t>
  </si>
  <si>
    <t>HH10-703</t>
  </si>
  <si>
    <t>HH10-704</t>
  </si>
  <si>
    <t>6/28/2021</t>
  </si>
  <si>
    <t>HH10-1850</t>
  </si>
  <si>
    <t>Kiawah Island</t>
  </si>
  <si>
    <t>6 Piece Oversized Cotton Comforter Set with Throw Pillow</t>
  </si>
  <si>
    <t>PP001898;PF006055</t>
  </si>
  <si>
    <t>10/3/2023</t>
  </si>
  <si>
    <t>HH10-1851</t>
  </si>
  <si>
    <t>HH10-1852</t>
  </si>
  <si>
    <t>HH10-1853</t>
  </si>
  <si>
    <t>HH10-1799</t>
  </si>
  <si>
    <t>Livia</t>
  </si>
  <si>
    <t>PP001574;PF005294</t>
  </si>
  <si>
    <t>1/8/2021</t>
  </si>
  <si>
    <t>HH10-1800</t>
  </si>
  <si>
    <t>AMAZON,CSNSTORES,JCPENNEY01,OLLIIX</t>
  </si>
  <si>
    <t>HH10-1801</t>
  </si>
  <si>
    <t>HH10-1802</t>
  </si>
  <si>
    <t>HH10-1222</t>
  </si>
  <si>
    <t>Maya Bay</t>
  </si>
  <si>
    <t>PF003324</t>
  </si>
  <si>
    <t>7/28/2020</t>
  </si>
  <si>
    <t>HH10-1223</t>
  </si>
  <si>
    <t>HH10-1224</t>
  </si>
  <si>
    <t>AMAZON,OLLIIX</t>
  </si>
  <si>
    <t>HH10-1225</t>
  </si>
  <si>
    <t>HH10-1789</t>
  </si>
  <si>
    <t>Meadow</t>
  </si>
  <si>
    <t>5 Piece Cotton Comforter Set</t>
  </si>
  <si>
    <t>PP001457;PF005030</t>
  </si>
  <si>
    <t>1/4/2022</t>
  </si>
  <si>
    <t>HH10-1790</t>
  </si>
  <si>
    <t>HH10-1864</t>
  </si>
  <si>
    <t>Morgan</t>
  </si>
  <si>
    <t>6 Piece Cotton Jacquard Oversized Comforter Set</t>
  </si>
  <si>
    <t>PP001753;PF006226</t>
  </si>
  <si>
    <t>Farm House|Lodge/Cabin</t>
  </si>
  <si>
    <t>4/13/2024</t>
  </si>
  <si>
    <t>HH10-1865</t>
  </si>
  <si>
    <t>HH10-1866</t>
  </si>
  <si>
    <t>HH10-1867</t>
  </si>
  <si>
    <t>HH10-1824</t>
  </si>
  <si>
    <t>White/Grey</t>
  </si>
  <si>
    <t>PF005694;PP001753</t>
  </si>
  <si>
    <t>HH10-1825</t>
  </si>
  <si>
    <t>OLLIIX,OVERSTOCK01</t>
  </si>
  <si>
    <t>HH10-1826</t>
  </si>
  <si>
    <t>KOHLDSN,MACY02,OLLIIX,OVERSTOCK01</t>
  </si>
  <si>
    <t>HH10-1827</t>
  </si>
  <si>
    <t>HH10-1837</t>
  </si>
  <si>
    <t>Pismo Beach</t>
  </si>
  <si>
    <t>6 Piece Oversized Cotton Comforter Set with Throw Pillows</t>
  </si>
  <si>
    <t>Blue/White</t>
  </si>
  <si>
    <t>PP001857;PF005939</t>
  </si>
  <si>
    <t>HH10-1838</t>
  </si>
  <si>
    <t>AMAZON,HDDS,JCPENNEY01,KOHLDSN,OVERSTOCK01</t>
  </si>
  <si>
    <t>HH10-1839</t>
  </si>
  <si>
    <t>HH10-1840</t>
  </si>
  <si>
    <t>HH10-1345</t>
  </si>
  <si>
    <t>Suzanna</t>
  </si>
  <si>
    <t>Comforter Mini set</t>
  </si>
  <si>
    <t>PF003327</t>
  </si>
  <si>
    <t>KOHLDSN,OLLIIX,OVERSTOCK01</t>
  </si>
  <si>
    <t>HH10-1346</t>
  </si>
  <si>
    <t>HOUZZ,OLLIIX,OVERSTOCK01</t>
  </si>
  <si>
    <t>HH10-1646</t>
  </si>
  <si>
    <t>PP000337</t>
  </si>
  <si>
    <t>10/6/2017</t>
  </si>
  <si>
    <t>HH10-1647</t>
  </si>
  <si>
    <t>AMAZON,JCPENNEY01,OLLIIX,OVERSTOCK01</t>
  </si>
  <si>
    <t>7/6/2019</t>
  </si>
  <si>
    <t>9/15/2019</t>
  </si>
  <si>
    <t>HH12-1545</t>
  </si>
  <si>
    <t>5 Piece Duvet Set</t>
  </si>
  <si>
    <t>5/26/2020</t>
  </si>
  <si>
    <t>HH12-1546</t>
  </si>
  <si>
    <t>HH12-1542</t>
  </si>
  <si>
    <t>9/30/2019</t>
  </si>
  <si>
    <t>HH12-1543</t>
  </si>
  <si>
    <t>HH12-1691</t>
  </si>
  <si>
    <t>3 Piece Cotton Yarn Dyed Duvet Cover Set</t>
  </si>
  <si>
    <t>12/10/2019</t>
  </si>
  <si>
    <t>HH12-1692</t>
  </si>
  <si>
    <t>CSNSTORES,JCPENNEY01,OLLIIX</t>
  </si>
  <si>
    <t>HH12-275</t>
  </si>
  <si>
    <t>2 Piece Duvet Cover Set</t>
  </si>
  <si>
    <t>HH12-099</t>
  </si>
  <si>
    <t>3 Piece Duvet Cover Set</t>
  </si>
  <si>
    <t>HH12-100</t>
  </si>
  <si>
    <t>6/23/2020</t>
  </si>
  <si>
    <t>HH12-248</t>
  </si>
  <si>
    <t>12/21/2021</t>
  </si>
  <si>
    <t>HH12-249</t>
  </si>
  <si>
    <t>12/11/2021</t>
  </si>
  <si>
    <t>HH12-1687</t>
  </si>
  <si>
    <t>5 Piece Cotton Duvet Cover Set</t>
  </si>
  <si>
    <t>HH12-1688</t>
  </si>
  <si>
    <t>HH12-1854</t>
  </si>
  <si>
    <t>5 Piece Cotton Duvet Cover Set with Throw Pillow</t>
  </si>
  <si>
    <t>PP001898;PF006056</t>
  </si>
  <si>
    <t>10/18/2023</t>
  </si>
  <si>
    <t>HH12-1855</t>
  </si>
  <si>
    <t>HH12-1803</t>
  </si>
  <si>
    <t>1/13/2021</t>
  </si>
  <si>
    <t>12/12/2022</t>
  </si>
  <si>
    <t>HH12-1804</t>
  </si>
  <si>
    <t>11/10/2022</t>
  </si>
  <si>
    <t>HH12-1622</t>
  </si>
  <si>
    <t>Cotton Printed 5 Piece Duvet Cover Set</t>
  </si>
  <si>
    <t>HH12-1623</t>
  </si>
  <si>
    <t>HH12-1226</t>
  </si>
  <si>
    <t>5/18/2020</t>
  </si>
  <si>
    <t>HH12-1227</t>
  </si>
  <si>
    <t>HH12-1868</t>
  </si>
  <si>
    <t>5 Piece Cotton Jaquard Duvet Set</t>
  </si>
  <si>
    <t>HH12-1869</t>
  </si>
  <si>
    <t>HH12-1828</t>
  </si>
  <si>
    <t>HH12-1829</t>
  </si>
  <si>
    <t>HH12-1841</t>
  </si>
  <si>
    <t>5 Piece Cotton Duvet Cover Set with Throw Pillows</t>
  </si>
  <si>
    <t>HH12-1842</t>
  </si>
  <si>
    <t>HH12-1347</t>
  </si>
  <si>
    <t>HH12-1348</t>
  </si>
  <si>
    <t>HH12-1648</t>
  </si>
  <si>
    <t>Cotton Duvet Mini Set</t>
  </si>
  <si>
    <t>HH12-1649</t>
  </si>
  <si>
    <t xml:space="preserve">Cotton Duvet  Mini Set</t>
  </si>
  <si>
    <t>HH13-1547</t>
  </si>
  <si>
    <t>Seaside</t>
  </si>
  <si>
    <t>4 Piece Cotton Reversible Embroidered Quilt Set with Throw Pillow</t>
  </si>
  <si>
    <t>PF003330</t>
  </si>
  <si>
    <t>AMAZON,BLK01,CSNSTORES,JCPENNEY01,MACY02,OLLIIX,OVERSTOCK01</t>
  </si>
  <si>
    <t>HH13-1548</t>
  </si>
  <si>
    <t>HH13-1835</t>
  </si>
  <si>
    <t>PP001816;PF005828</t>
  </si>
  <si>
    <t>11/2/2022</t>
  </si>
  <si>
    <t>AMAZONDS,JCPENNEY01,MACY02,OVERSTOCK01</t>
  </si>
  <si>
    <t>HH13-1836</t>
  </si>
  <si>
    <t>AMAZONDS,CSNSTORES,OLLIIX</t>
  </si>
  <si>
    <t>HH30-106</t>
  </si>
  <si>
    <t>Oblong Pillow</t>
  </si>
  <si>
    <t>10/4/2019</t>
  </si>
  <si>
    <t>HH30-272</t>
  </si>
  <si>
    <t>Decorative Pillow</t>
  </si>
  <si>
    <t>12/12/2019</t>
  </si>
  <si>
    <t>HH30-1694</t>
  </si>
  <si>
    <t>Embroidered Cotton Oblong Decorative Pillow</t>
  </si>
  <si>
    <t>PP000875</t>
  </si>
  <si>
    <t>AMAZON,BEALLSDS,CSNSTORES,MACY02,OLLIIX,OVERSTOCK01</t>
  </si>
  <si>
    <t>7/3/2019</t>
  </si>
  <si>
    <t>2/3/2020</t>
  </si>
  <si>
    <t>HH30-1693</t>
  </si>
  <si>
    <t>Embroidered Cotton Square Decorative Pillow</t>
  </si>
  <si>
    <t>AMAZON,BEALLSDS,CSNSTORES,OLLIIX,OVERSTOCK01</t>
  </si>
  <si>
    <t>HH30-255</t>
  </si>
  <si>
    <t>HH30-497</t>
  </si>
  <si>
    <t>16x16"</t>
  </si>
  <si>
    <t>3/22/2021</t>
  </si>
  <si>
    <t>HH30-402A</t>
  </si>
  <si>
    <t>12x16"</t>
  </si>
  <si>
    <t>HH30-401A</t>
  </si>
  <si>
    <t>Square Pillow</t>
  </si>
  <si>
    <t>1/10/2022</t>
  </si>
  <si>
    <t>HH30-706</t>
  </si>
  <si>
    <t>Abyss</t>
  </si>
  <si>
    <t>HH30-708</t>
  </si>
  <si>
    <t>Aged Driftwood</t>
  </si>
  <si>
    <t>Animal</t>
  </si>
  <si>
    <t>HH30-709A</t>
  </si>
  <si>
    <t>Quilted Bolster Pillow</t>
  </si>
  <si>
    <t>D7x18"</t>
  </si>
  <si>
    <t>HH30-708A</t>
  </si>
  <si>
    <t>HH30-706A</t>
  </si>
  <si>
    <t>Pieced Square Pillow</t>
  </si>
  <si>
    <t>HH30-1230A</t>
  </si>
  <si>
    <t>HH30-1229A</t>
  </si>
  <si>
    <t>HH30-1650</t>
  </si>
  <si>
    <t>10/5/2017</t>
  </si>
  <si>
    <t>3/4/2020</t>
  </si>
  <si>
    <t>HH30-1651</t>
  </si>
  <si>
    <t>10/12/2017</t>
  </si>
  <si>
    <t>HH11-496</t>
  </si>
  <si>
    <t>Cotton European Sham</t>
  </si>
  <si>
    <t>HH11-399</t>
  </si>
  <si>
    <t>HH11-705</t>
  </si>
  <si>
    <t>AMAZON,AMAZONDS,CSNSTORES,JCPENNEY01,NRTPORT,OLLIIX,OVERSTOCK01</t>
  </si>
  <si>
    <t>8/2/2019</t>
  </si>
  <si>
    <t>HH11-1228A</t>
  </si>
  <si>
    <t>WR13-3919</t>
  </si>
  <si>
    <t>Woolrich</t>
  </si>
  <si>
    <t>Quilt</t>
  </si>
  <si>
    <t>Mill Creek</t>
  </si>
  <si>
    <t>Oversized Cotton Quilt Set</t>
  </si>
  <si>
    <t>PP000534;PF004793</t>
  </si>
  <si>
    <t>7/18/2023</t>
  </si>
  <si>
    <t>11/13/2024</t>
  </si>
  <si>
    <t>WR13-2815</t>
  </si>
  <si>
    <t>9/26/2019</t>
  </si>
  <si>
    <t>10/25/2019</t>
  </si>
  <si>
    <t>WR13-2816</t>
  </si>
  <si>
    <t>WR13-3904</t>
  </si>
  <si>
    <t>Olsen</t>
  </si>
  <si>
    <t>Olsen 3 Piece Oversized Cotton Quilt Set</t>
  </si>
  <si>
    <t>PP001704;PF005929</t>
  </si>
  <si>
    <t>2/10/2023</t>
  </si>
  <si>
    <t>WR13-3905</t>
  </si>
  <si>
    <t>AMAZON,BLK01,KOHLDSN,TGTDVS</t>
  </si>
  <si>
    <t>3/3/2023</t>
  </si>
  <si>
    <t>WR13-3471</t>
  </si>
  <si>
    <t>PP001704;PF005621</t>
  </si>
  <si>
    <t>9/20/2021</t>
  </si>
  <si>
    <t>AMAZON,ASHFURNDS,CSNSTORES,KOHLDSN,TGTDVS</t>
  </si>
  <si>
    <t>WR13-3472</t>
  </si>
  <si>
    <t>WR13-2947</t>
  </si>
  <si>
    <t>Montana</t>
  </si>
  <si>
    <t>Printed Cotton Oversized Quilt Mini Set</t>
  </si>
  <si>
    <t>PP001497;PF005105</t>
  </si>
  <si>
    <t>6/26/2020</t>
  </si>
  <si>
    <t>12/11/2020</t>
  </si>
  <si>
    <t>WR13-2948</t>
  </si>
  <si>
    <t>11/27/2020</t>
  </si>
  <si>
    <t>WR14-1787</t>
  </si>
  <si>
    <t>100% Cotton Oversized Quilt Mini Set</t>
  </si>
  <si>
    <t>PF003308</t>
  </si>
  <si>
    <t>WR14-1788</t>
  </si>
  <si>
    <t>WR14-1785</t>
  </si>
  <si>
    <t>Quilt Mini Set</t>
  </si>
  <si>
    <t>WR14-1786</t>
  </si>
  <si>
    <t>WR14-2021</t>
  </si>
  <si>
    <t>Buffalo Check</t>
  </si>
  <si>
    <t>Oversized Quilt Mini Set</t>
  </si>
  <si>
    <t>PF003309</t>
  </si>
  <si>
    <t>8/12/2017</t>
  </si>
  <si>
    <t>WR14-2022</t>
  </si>
  <si>
    <t>WR13-3473</t>
  </si>
  <si>
    <t>Oversized Cotton Quilt Mini Set</t>
  </si>
  <si>
    <t>PP001705;PF005622</t>
  </si>
  <si>
    <t>WR13-3474</t>
  </si>
  <si>
    <t>AMAZONDS,JCPENNEY01</t>
  </si>
  <si>
    <t>WR14-1724</t>
  </si>
  <si>
    <t>Huntington</t>
  </si>
  <si>
    <t>10/28/2018</t>
  </si>
  <si>
    <t>WR14-1725</t>
  </si>
  <si>
    <t>WR13-3042</t>
  </si>
  <si>
    <t>Spruce Hill</t>
  </si>
  <si>
    <t>PP001508;PF005120</t>
  </si>
  <si>
    <t>8/18/2020</t>
  </si>
  <si>
    <t>11/18/2020</t>
  </si>
  <si>
    <t>WR13-3043</t>
  </si>
  <si>
    <t>12/1/2020</t>
  </si>
  <si>
    <t>WR14-1730</t>
  </si>
  <si>
    <t>Sunset</t>
  </si>
  <si>
    <t>PF003308;PP000534</t>
  </si>
  <si>
    <t>AMAZON,CSNSTORES,FINGERHUTDS,HSNDS</t>
  </si>
  <si>
    <t>WR14-1731</t>
  </si>
  <si>
    <t>WR13-2523</t>
  </si>
  <si>
    <t>Tulsa</t>
  </si>
  <si>
    <t>Oversized Plaid Print Cotton Quilt Set</t>
  </si>
  <si>
    <t>Red/Grey</t>
  </si>
  <si>
    <t>PF004511;PP001031</t>
  </si>
  <si>
    <t>2/13/2019</t>
  </si>
  <si>
    <t>WR13-2524</t>
  </si>
  <si>
    <t>WR14-2233</t>
  </si>
  <si>
    <t>Twin Falls</t>
  </si>
  <si>
    <t>Oversized 4 Piece Quilt Set</t>
  </si>
  <si>
    <t>Brown/Blue</t>
  </si>
  <si>
    <t>WR14-2234</t>
  </si>
  <si>
    <t>WR13-3918</t>
  </si>
  <si>
    <t>Winter Hills</t>
  </si>
  <si>
    <t>WR14-1728</t>
  </si>
  <si>
    <t>AMAZON,CSNSTORES,FINGERHUTDS,JCPENNEY01,MACY02,OLLIIX,OVERSTOCK01,TGTDVS</t>
  </si>
  <si>
    <t>WR14-1729</t>
  </si>
  <si>
    <t>AMAZON,CSNSTORES,FINGERHUTDS,JCPENNEY01,OLLIIX,OVERSTOCK01,TGTDVS</t>
  </si>
  <si>
    <t>WR14-1726</t>
  </si>
  <si>
    <t>Winter Plains</t>
  </si>
  <si>
    <t>AMAZON,CSNSTORES,HDDS,JCPENNEY01,MACY02</t>
  </si>
  <si>
    <t>WR14-1727</t>
  </si>
  <si>
    <t>WR14-1783</t>
  </si>
  <si>
    <t>Woolrich Check</t>
  </si>
  <si>
    <t>Gingham</t>
  </si>
  <si>
    <t>WR14-1784</t>
  </si>
  <si>
    <t>HDDS,OVERSTOCK01</t>
  </si>
  <si>
    <t>WR13-3588</t>
  </si>
  <si>
    <t>Compass</t>
  </si>
  <si>
    <t>Cotton Quilt Mini Set</t>
  </si>
  <si>
    <t>PP001740;PF005659</t>
  </si>
  <si>
    <t>4/14/2022</t>
  </si>
  <si>
    <t>WR13-3589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</si>
  <si>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</si>
  <si>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</si>
  <si>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</si>
  <si>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</si>
  <si>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</si>
  <si>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</si>
  <si>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WR13-3884</t>
  </si>
  <si>
    <t>5/29/2023</t>
  </si>
  <si>
    <t>WR13-2121</t>
  </si>
  <si>
    <t>5 Piece Day Bed Cover Set</t>
  </si>
  <si>
    <t>9/7/2017</t>
  </si>
  <si>
    <t>WR13-2122</t>
  </si>
  <si>
    <t>WR10-2191</t>
  </si>
  <si>
    <t>Oversized Denim Comforter Set</t>
  </si>
  <si>
    <t>PF003316</t>
  </si>
  <si>
    <t>Lodge/Cabin|Modern/Contemporary</t>
  </si>
  <si>
    <t>10/3/2017</t>
  </si>
  <si>
    <t>WR10-2192</t>
  </si>
  <si>
    <t>AMAZON,CSNSTORES,HDDS,OVERSTOCK01</t>
  </si>
  <si>
    <t>WR10-2193</t>
  </si>
  <si>
    <t>WR10-2194</t>
  </si>
  <si>
    <t>AMAZON,CSNSTORES,FINGERHUTDS,JCPENNEY01,KOHLDSN,MACY02,OVERSTOCK01,TGTDVS</t>
  </si>
  <si>
    <t>WR10-2177</t>
  </si>
  <si>
    <t>Bitter Creek</t>
  </si>
  <si>
    <t>Oversized Comforter Set</t>
  </si>
  <si>
    <t>Grey/Brown</t>
  </si>
  <si>
    <t>PF003315</t>
  </si>
  <si>
    <t>WR10-2178</t>
  </si>
  <si>
    <t>WR10-2179</t>
  </si>
  <si>
    <t>9/30/2017</t>
  </si>
  <si>
    <t>AMAZON,CSNSTORES,HDDS,KOHLDSN,LOWESDS,OVERSTOCK01</t>
  </si>
  <si>
    <t>WR10-2180</t>
  </si>
  <si>
    <t>WR10-2181</t>
  </si>
  <si>
    <t>WR10-079</t>
  </si>
  <si>
    <t>Hadley Plaid</t>
  </si>
  <si>
    <t>Oversized Cozy Spun Comforter Set</t>
  </si>
  <si>
    <t>PF003305</t>
  </si>
  <si>
    <t>WR10-080</t>
  </si>
  <si>
    <t>AMAZON,AMAZONDS,CSNSTORES,JCPENNEY01,OVERSTOCK01</t>
  </si>
  <si>
    <t>10/7/2018</t>
  </si>
  <si>
    <t>WR10-081</t>
  </si>
  <si>
    <t>WR10-2163</t>
  </si>
  <si>
    <t>Sheridan</t>
  </si>
  <si>
    <t>Oversized Cotton Comforter Set</t>
  </si>
  <si>
    <t>Tan/Red</t>
  </si>
  <si>
    <t>PF003314</t>
  </si>
  <si>
    <t>11/15/2018</t>
  </si>
  <si>
    <t>WR10-3974</t>
  </si>
  <si>
    <t>Breckenridge</t>
  </si>
  <si>
    <t>Chenille Oversized Comforter Set</t>
  </si>
  <si>
    <t>PF006169</t>
  </si>
  <si>
    <t>2/28/2024</t>
  </si>
  <si>
    <t>WR10-3975</t>
  </si>
  <si>
    <t>2/27/2024</t>
  </si>
  <si>
    <t>WR10-3976</t>
  </si>
  <si>
    <t>WR50-1781</t>
  </si>
  <si>
    <t>Quilted Throw</t>
  </si>
  <si>
    <t>WR50-1782</t>
  </si>
  <si>
    <t>WR50-1783</t>
  </si>
  <si>
    <t>AMAZON,BLK01,JCPENNEY01,KOHLDSN,TGTDVS</t>
  </si>
  <si>
    <t>WR50-1785</t>
  </si>
  <si>
    <t>WR50-1786</t>
  </si>
  <si>
    <t>WR50-1784</t>
  </si>
  <si>
    <t>WR50-1780</t>
  </si>
  <si>
    <t>WR11-082</t>
  </si>
  <si>
    <t>Euro sham</t>
  </si>
  <si>
    <t>AMAZON,CSNSTORES,HDDS</t>
  </si>
  <si>
    <t>WR30-2189</t>
  </si>
  <si>
    <t>Bear</t>
  </si>
  <si>
    <t>Square Berber Pillow</t>
  </si>
  <si>
    <t>10/4/2017</t>
  </si>
  <si>
    <t>CSNSTORES,HDDS,KOHLDSN,MACY02,OVERSTOCK01</t>
  </si>
  <si>
    <t>7/20/2019</t>
  </si>
  <si>
    <t>WR30-425</t>
  </si>
  <si>
    <t>Pieced Oblong Pillow</t>
  </si>
  <si>
    <t>WR30-721</t>
  </si>
  <si>
    <t>Lumberjack Plaid</t>
  </si>
  <si>
    <t>See below</t>
  </si>
  <si>
    <t>6/16/2017</t>
  </si>
  <si>
    <t>MPS10-484</t>
  </si>
  <si>
    <t>Madison Park Signature</t>
  </si>
  <si>
    <t xml:space="preserve">Grace </t>
  </si>
  <si>
    <t>8 Piece Geometric Oversized Jacquard Comforter Set</t>
  </si>
  <si>
    <t>PP001678;PF005574</t>
  </si>
  <si>
    <t>Glam/Luxury|Lodge/Cabin</t>
  </si>
  <si>
    <t>10/5/2021</t>
  </si>
  <si>
    <t>AMAZON,BLK01,CSNSTORES,OVERSTOCK01</t>
  </si>
  <si>
    <t>MPS10-485</t>
  </si>
  <si>
    <t>9 Piece Geometric Oversized Jacquard Comforter Set</t>
  </si>
  <si>
    <t>AMAZON,AMAZONDS,CSNSTORES,JCPENNEY01,KOHLDSN,MACY02,OLLIIX,OVERSTOCK01</t>
  </si>
  <si>
    <t>MPS10-341</t>
  </si>
  <si>
    <t>Barely There</t>
  </si>
  <si>
    <t>PF004048;PP000586</t>
  </si>
  <si>
    <t>10/25/2017</t>
  </si>
  <si>
    <t>3/19/2020</t>
  </si>
  <si>
    <t>MPS10-342</t>
  </si>
  <si>
    <t>AMERSIGNDS,JCPENNEY01,OLLIIX,OVERSTOCK01,TGTDVS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</si>
  <si>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</si>
  <si>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</si>
  <si>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</si>
  <si>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</si>
  <si>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</si>
  <si>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Linen</t>
  </si>
  <si>
    <t>MPS10-499</t>
  </si>
  <si>
    <t>9 Piece Oversized Jacquard Comforter Set with Euro Shams and Throw Pillows</t>
  </si>
  <si>
    <t>CSNSTORES,JCPENNEY01,OLLIIX,OVERSTOCK01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</si>
  <si>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</si>
  <si>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</si>
  <si>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</si>
  <si>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</si>
  <si>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</si>
  <si>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</si>
  <si>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MPS10-493</t>
  </si>
  <si>
    <t>9 Piece Floral Jacquard Comforter Set</t>
  </si>
  <si>
    <t>MPS10-548</t>
  </si>
  <si>
    <t>Chapman</t>
  </si>
  <si>
    <t>Nuetual Ivory</t>
  </si>
  <si>
    <t>Other</t>
  </si>
  <si>
    <t>Pending</t>
  </si>
  <si>
    <t>MPS10-549</t>
  </si>
  <si>
    <t>MPS10-207</t>
  </si>
  <si>
    <t>Chateau</t>
  </si>
  <si>
    <t>PF003291</t>
  </si>
  <si>
    <t>Cottage/Country|Traditional</t>
  </si>
  <si>
    <t>12/30/2019</t>
  </si>
  <si>
    <t>MPS10-208</t>
  </si>
  <si>
    <t>CSNSTORES,JCPENNEY01,KOHLDSN,MACY02,OLLIIX,ROOMECOM</t>
  </si>
  <si>
    <t>MPS10-537</t>
  </si>
  <si>
    <t>Essence</t>
  </si>
  <si>
    <t>Oversized Cotton Clipped Jacquard Comforter Set with Euro Shams and Throw Pillows</t>
  </si>
  <si>
    <t>PF006266</t>
  </si>
  <si>
    <t>7/4/2024</t>
  </si>
  <si>
    <t>MPS10-538</t>
  </si>
  <si>
    <t>MPS10-463</t>
  </si>
  <si>
    <t>PP001967;PF005183</t>
  </si>
  <si>
    <t>AMAZON,CASTLEGATE,CSNSTORES,JCPENNEY01,KOHLDSN,MACY02,OVERSTOCK01,TGTDVS</t>
  </si>
  <si>
    <t>MPS10-464</t>
  </si>
  <si>
    <t>CASTLEGATE,JCPENNEY01,KOHLDSN,MACY02,OLLIIX,OVERSTOCK01</t>
  </si>
  <si>
    <t>MPS10-496</t>
  </si>
  <si>
    <t>PP001967;PF005935</t>
  </si>
  <si>
    <t>5/4/2023</t>
  </si>
  <si>
    <t>CSNSTORES,KOHLDSN,MACY02,OVERSTOCK01,TGTDVS</t>
  </si>
  <si>
    <t>MPS10-497</t>
  </si>
  <si>
    <t>AMAZON,CSNSTORES,KOHLDSN,MACY02,OLLIIX,OVERSTOCK01,TGTDVS</t>
  </si>
  <si>
    <t>MPS10-312</t>
  </si>
  <si>
    <t>PF003303</t>
  </si>
  <si>
    <t>9/3/2017</t>
  </si>
  <si>
    <t>AMAZON,CSNSTORES,MACY02,OLLIIX</t>
  </si>
  <si>
    <t>MPS10-313</t>
  </si>
  <si>
    <t>AMAZON,DESINC,KOHLDSN,OLLIIX</t>
  </si>
  <si>
    <t>1/29/2020</t>
  </si>
  <si>
    <t>MPS10-466</t>
  </si>
  <si>
    <t>Haven</t>
  </si>
  <si>
    <t>9 Piece Chenille Jacquard Comforter Set</t>
  </si>
  <si>
    <t>PF005182;PP001529</t>
  </si>
  <si>
    <t>10/2/2020</t>
  </si>
  <si>
    <t>MPS10-310</t>
  </si>
  <si>
    <t>Hollywood Glam</t>
  </si>
  <si>
    <t>PF003302</t>
  </si>
  <si>
    <t>Global Inspired|Modern/Contemporary</t>
  </si>
  <si>
    <t>MPS10-311</t>
  </si>
  <si>
    <t>MPS10-456</t>
  </si>
  <si>
    <t>Manor</t>
  </si>
  <si>
    <t>Comforter Queen 8 Piece Set</t>
  </si>
  <si>
    <t>PP001475;PF005072</t>
  </si>
  <si>
    <t>MPS10-457</t>
  </si>
  <si>
    <t>Comforter King 9 Piece Set</t>
  </si>
  <si>
    <t>MPS10-523</t>
  </si>
  <si>
    <t>Murphy</t>
  </si>
  <si>
    <t>Oversized Cotton Jacquard Comforter Set with Euro Shams and Throw Pillows</t>
  </si>
  <si>
    <t>PP001957;PF006233</t>
  </si>
  <si>
    <t>MPS10-524</t>
  </si>
  <si>
    <t>6/11/2024</t>
  </si>
  <si>
    <t>MPS10-482</t>
  </si>
  <si>
    <t>Noble</t>
  </si>
  <si>
    <t>8 Piece Cotton Oversized Comforter Set</t>
  </si>
  <si>
    <t>PF005543;PP001668</t>
  </si>
  <si>
    <t>9/23/2021</t>
  </si>
  <si>
    <t>MPS10-483</t>
  </si>
  <si>
    <t>9 Piece Cotton Oversized Comforter Set</t>
  </si>
  <si>
    <t>7/5/2022</t>
  </si>
  <si>
    <t>MPS10-515</t>
  </si>
  <si>
    <t>Oasis</t>
  </si>
  <si>
    <t>Oversized Chenille Jacquard Striped Comforter Set with Euro Shams and Throw Pillows</t>
  </si>
  <si>
    <t>PF006076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</si>
  <si>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</si>
  <si>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</si>
  <si>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</si>
  <si>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</si>
  <si>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</si>
  <si>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</si>
  <si>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MPS10-522</t>
  </si>
  <si>
    <t>MPS10-546</t>
  </si>
  <si>
    <t>Reed</t>
  </si>
  <si>
    <t>MPS10-547</t>
  </si>
  <si>
    <t>MPS10-458</t>
  </si>
  <si>
    <t>Sanctuary</t>
  </si>
  <si>
    <t>Taupe/Gold</t>
  </si>
  <si>
    <t>PP001476;PF005073</t>
  </si>
  <si>
    <t>AMAZON,CSNSTORES,KOHLDSN,MACY02,OLLIIX,OVERSTOCK01</t>
  </si>
  <si>
    <t>MPS10-459</t>
  </si>
  <si>
    <t>AMAZON,KOHLDSN,MACY02,OLLIIX,OVERSTOCK01</t>
  </si>
  <si>
    <t>MPS10-257</t>
  </si>
  <si>
    <t>Shades of Grey</t>
  </si>
  <si>
    <t>PF003293</t>
  </si>
  <si>
    <t>MPS10-258</t>
  </si>
  <si>
    <t>MPS10-119</t>
  </si>
  <si>
    <t>Sophia</t>
  </si>
  <si>
    <t>PF003286</t>
  </si>
  <si>
    <t>4/19/2017</t>
  </si>
  <si>
    <t>4/20/2020</t>
  </si>
  <si>
    <t>MPS10-345</t>
  </si>
  <si>
    <t>Urban Cabin</t>
  </si>
  <si>
    <t>PF004061;PP001989</t>
  </si>
  <si>
    <t>11/30/2017</t>
  </si>
  <si>
    <t>CSNSTORES,JCPENNEY01,KOHLDSN,MACY02,OLLIIX,OVERSTOCK01,TGTDVS</t>
  </si>
  <si>
    <t>MPS10-346</t>
  </si>
  <si>
    <t>AMAZON,AMAZONDS,CSNSTORES,OLLIIX,OVERSTOCK01,TGTDVS</t>
  </si>
  <si>
    <t>6/28/2019</t>
  </si>
  <si>
    <t>MPS10-544</t>
  </si>
  <si>
    <t>PP001989;PF006386</t>
  </si>
  <si>
    <t>MPS10-545</t>
  </si>
  <si>
    <t>MPS13-500</t>
  </si>
  <si>
    <t>4 Piece Oversized Reversible Matelasse Quilt Set with Throw Pillow</t>
  </si>
  <si>
    <t>PP001854;PF005936</t>
  </si>
  <si>
    <t>MPS13-501</t>
  </si>
  <si>
    <t>MPS13-274</t>
  </si>
  <si>
    <t>3 Piece Hand Quilted Cotton Quilt Set</t>
  </si>
  <si>
    <t>PF003298;PP000712</t>
  </si>
  <si>
    <t>4/15/2017</t>
  </si>
  <si>
    <t>MPS13-275</t>
  </si>
  <si>
    <t>MPS13-272</t>
  </si>
  <si>
    <t>PF003297;PP000712</t>
  </si>
  <si>
    <t>KIRKLANDDS,KOHLDSN,MACY02,OVERSTOCK01</t>
  </si>
  <si>
    <t>MPS13-273</t>
  </si>
  <si>
    <t>MPS13-270</t>
  </si>
  <si>
    <t>PF003296;PP000712</t>
  </si>
  <si>
    <t>JCPENNEY01,KIRKLANDDS,MACY02,OVERSTOCK01</t>
  </si>
  <si>
    <t>MPS13-271</t>
  </si>
  <si>
    <t>BR9144409622-13</t>
  </si>
  <si>
    <t>Beautyrest</t>
  </si>
  <si>
    <t>Conway</t>
  </si>
  <si>
    <t>10 Piece Comforter Set with Bed Sheets</t>
  </si>
  <si>
    <t>PP001823;PF005858</t>
  </si>
  <si>
    <t>10</t>
  </si>
  <si>
    <t>10/3/2022</t>
  </si>
  <si>
    <t>BR9144409622-14</t>
  </si>
  <si>
    <t>9/12/2022</t>
  </si>
  <si>
    <t>BR9144409622-15</t>
  </si>
  <si>
    <t>PP001823;PF005859</t>
  </si>
  <si>
    <t>BR9144409622-16</t>
  </si>
  <si>
    <t>BR9144409622-17</t>
  </si>
  <si>
    <t>Nora</t>
  </si>
  <si>
    <t>10 Piece Geometric Comforter Set with Bed Sheets</t>
  </si>
  <si>
    <t>PP001824;PF005860</t>
  </si>
  <si>
    <t>10/31/2022</t>
  </si>
  <si>
    <t>BR9144409622-18</t>
  </si>
  <si>
    <t>11/13/2022</t>
  </si>
  <si>
    <t>BR9144409622-19</t>
  </si>
  <si>
    <t>PP001824;PF005861</t>
  </si>
  <si>
    <t>BR9144409622-20</t>
  </si>
  <si>
    <t>BR9144409622-11</t>
  </si>
  <si>
    <t>Vail</t>
  </si>
  <si>
    <t>10 Piece Watercolor Ombre Comforter Set with Bed Sheets</t>
  </si>
  <si>
    <t>PP001822;PF005857</t>
  </si>
  <si>
    <t>10/18/2022</t>
  </si>
  <si>
    <t>BR9144409622-12</t>
  </si>
  <si>
    <t>1/16/2023</t>
  </si>
  <si>
    <t>BR9144409622-09</t>
  </si>
  <si>
    <t>PP001822;PF005856</t>
  </si>
  <si>
    <t>12/7/2022</t>
  </si>
  <si>
    <t>BR9144409622-10</t>
  </si>
  <si>
    <t>11/1/2022</t>
  </si>
  <si>
    <t>BR9144409622-05</t>
  </si>
  <si>
    <t>Jasper</t>
  </si>
  <si>
    <t>PP001819;PF005850</t>
  </si>
  <si>
    <t>BR9144409622-06</t>
  </si>
  <si>
    <t>BR9144409622-07</t>
  </si>
  <si>
    <t>PP001819;PF005851</t>
  </si>
  <si>
    <t>BR9144409622-08</t>
  </si>
  <si>
    <t>BR9144409622-03</t>
  </si>
  <si>
    <t>Kiona</t>
  </si>
  <si>
    <t>5 Piece Crushed Velvet Comforter Set</t>
  </si>
  <si>
    <t>Champagne</t>
  </si>
  <si>
    <t>PP001820;PF005853</t>
  </si>
  <si>
    <t>BR9144409622-04</t>
  </si>
  <si>
    <t>BR9144409622-01</t>
  </si>
  <si>
    <t>PP001820;PF005852</t>
  </si>
  <si>
    <t>BR9144409622-02</t>
  </si>
  <si>
    <t>BR10-3844</t>
  </si>
  <si>
    <t>Apollo</t>
  </si>
  <si>
    <t>3 Piece Striped Seersucker Oversized Comforter Set</t>
  </si>
  <si>
    <t>PP001825;PF005863</t>
  </si>
  <si>
    <t>BR10-3840</t>
  </si>
  <si>
    <t>PP001825;PF005862</t>
  </si>
  <si>
    <t>BR10-3841</t>
  </si>
  <si>
    <t>CSNSTORES,MACY02,ZOLA</t>
  </si>
  <si>
    <t>BR10-3860</t>
  </si>
  <si>
    <t>Kent</t>
  </si>
  <si>
    <t>3 Piece Striped Herringbone Oversized Comforter Set</t>
  </si>
  <si>
    <t>PP001827;PF005867</t>
  </si>
  <si>
    <t>BR10-3864</t>
  </si>
  <si>
    <t>3 Piece Striated Cationic Dyed Oversized Comforter Set with Pleats</t>
  </si>
  <si>
    <t>PP001828;PF005869</t>
  </si>
  <si>
    <t>BR10-3865</t>
  </si>
  <si>
    <t>BR10-3868</t>
  </si>
  <si>
    <t>3 Piece Striated Cationic Dyed Oversized Comforter Set With Pleats</t>
  </si>
  <si>
    <t>PP001828;PF005870</t>
  </si>
  <si>
    <t>BR10-3869</t>
  </si>
  <si>
    <t>BR10-3848</t>
  </si>
  <si>
    <t>3 Piece Gauze Oversized Comforter Set</t>
  </si>
  <si>
    <t>PP001826;PF005864</t>
  </si>
  <si>
    <t>12/14/2022</t>
  </si>
  <si>
    <t>BR10-3849</t>
  </si>
  <si>
    <t>BR10-3852</t>
  </si>
  <si>
    <t>PP001826;PF005865</t>
  </si>
  <si>
    <t>BR10-3853</t>
  </si>
  <si>
    <t>BR9144409622-23</t>
  </si>
  <si>
    <t>Ames</t>
  </si>
  <si>
    <t>3 Piece Charmeuse Coverlet set</t>
  </si>
  <si>
    <t>PP001821;PF005855</t>
  </si>
  <si>
    <t>12/10/2021</t>
  </si>
  <si>
    <t>BR9144409622-21</t>
  </si>
  <si>
    <t>PP001821;PF005854</t>
  </si>
  <si>
    <t>1/14/2022</t>
  </si>
  <si>
    <t>BR9144409622-22</t>
  </si>
  <si>
    <t>BR13-3872</t>
  </si>
  <si>
    <t>Guthrie</t>
  </si>
  <si>
    <t>3 Piece Striated Cationic Dyed Oversized Quilt Set</t>
  </si>
  <si>
    <t>PP001829;PF005871</t>
  </si>
  <si>
    <t>BR13-3873</t>
  </si>
  <si>
    <t>BR13-3874</t>
  </si>
  <si>
    <t>PP001829;PF005872</t>
  </si>
  <si>
    <t>BR13-3875</t>
  </si>
  <si>
    <t>BR12-3846</t>
  </si>
  <si>
    <t>3 Piece Striped Seersucker Oversized Duvet Cover Set</t>
  </si>
  <si>
    <t>BR12-3842</t>
  </si>
  <si>
    <t>BR12-3843</t>
  </si>
  <si>
    <t>BR12-3858</t>
  </si>
  <si>
    <t>3 Piece Striped Herringbone Oversized Duvet Cover Set</t>
  </si>
  <si>
    <t>PP001827;PF005866</t>
  </si>
  <si>
    <t>BR12-3859</t>
  </si>
  <si>
    <t>BR12-3866</t>
  </si>
  <si>
    <t>3 Piece Striated Cationic Dyed Oversized Duvet Cover Set with Pleats</t>
  </si>
  <si>
    <t>BR12-3867</t>
  </si>
  <si>
    <t>BR12-3870</t>
  </si>
  <si>
    <t>BR12-3871</t>
  </si>
  <si>
    <t>BR12-3850</t>
  </si>
  <si>
    <t>3 Piece Gauze Oversized Duvet Cover Set</t>
  </si>
  <si>
    <t>BR12-3851</t>
  </si>
  <si>
    <t>BR12-3854</t>
  </si>
  <si>
    <t>BR12-3855</t>
  </si>
  <si>
    <t>ZOLA</t>
  </si>
  <si>
    <t>CH10-011</t>
  </si>
  <si>
    <t xml:space="preserve">Chapel Hill </t>
  </si>
  <si>
    <t>Arlo</t>
  </si>
  <si>
    <t>PF006290</t>
  </si>
  <si>
    <t>CH10-012</t>
  </si>
  <si>
    <t>CH10-013</t>
  </si>
  <si>
    <t>Oversized Cotton Matelasse Comforter Set</t>
  </si>
  <si>
    <t>PF006289</t>
  </si>
  <si>
    <t>9/2/2024</t>
  </si>
  <si>
    <t>CH10-014</t>
  </si>
  <si>
    <t>LCN10-0105</t>
  </si>
  <si>
    <t>Clean Spaces</t>
  </si>
  <si>
    <t>Dover</t>
  </si>
  <si>
    <t>Blakely</t>
  </si>
  <si>
    <t>5 Piece Organic Cotton Oversized Comforter Cover Set w/removable insert</t>
  </si>
  <si>
    <t>PP001595;PF005522</t>
  </si>
  <si>
    <t>CSNSTORES,KIRKLANDDS,TGTDVS</t>
  </si>
  <si>
    <t>7/10/2022</t>
  </si>
  <si>
    <t>LCN10-0106</t>
  </si>
  <si>
    <t>AMERSIGNDS,CSNSTORES,JCPENNEY01,KIRKLANDDS,KOHLDSN,MACY02,OLLIIX,TGTDVS</t>
  </si>
  <si>
    <t>CSP10-1476</t>
  </si>
  <si>
    <t>Mara</t>
  </si>
  <si>
    <t>Adalyn</t>
  </si>
  <si>
    <t>4 Piece Cotton and Rayon from Bamboo Blend Waffle Weave Comforter Cover Set w/removable insert</t>
  </si>
  <si>
    <t>PP001677;PF005573</t>
  </si>
  <si>
    <t>11/24/2021</t>
  </si>
  <si>
    <t>1/2/2023</t>
  </si>
  <si>
    <t>CSP10-1477</t>
  </si>
  <si>
    <t>CSNSTORES,KIRKLANDDS,OLLIIX,TGTDVS,ZOLA</t>
  </si>
  <si>
    <t>LCN12-0107</t>
  </si>
  <si>
    <t>3 Piece Organic Cotton Oversized Duvet Cover Set</t>
  </si>
  <si>
    <t>Farmhouse|Modern/Contemporary</t>
  </si>
  <si>
    <t>LCN12-0108</t>
  </si>
  <si>
    <t>CSNSTORES,JCPENNEY01,KOHLDSN,OLLIIX,ZOLA</t>
  </si>
  <si>
    <t>CSP12-1478</t>
  </si>
  <si>
    <t>3 Piece Cotton and Rayon from Bamboo Blend Waffle Weave Duvet Cover Set</t>
  </si>
  <si>
    <t>12/4/2022</t>
  </si>
  <si>
    <t>CSP12-1479</t>
  </si>
  <si>
    <t>KIRKLANDDS,KOHLDSN,TGTDVS</t>
  </si>
  <si>
    <t>12/30/2022</t>
  </si>
  <si>
    <t>CCA11-0012</t>
  </si>
  <si>
    <t>Croscill Casual</t>
  </si>
  <si>
    <t>Bed Skirt&amp;Sham</t>
  </si>
  <si>
    <t>Gema</t>
  </si>
  <si>
    <t>European Pillow Sham</t>
  </si>
  <si>
    <t>26x26"</t>
  </si>
  <si>
    <t>10/14/2022</t>
  </si>
  <si>
    <t>CCA11-0011</t>
  </si>
  <si>
    <t>Soft White</t>
  </si>
  <si>
    <t>CCA13-0009</t>
  </si>
  <si>
    <t>3 Piece Grey Coverlet Set</t>
  </si>
  <si>
    <t>CCA13-0010</t>
  </si>
  <si>
    <t>CCA13-0007</t>
  </si>
  <si>
    <t>3 Piece White Coverlet Set</t>
  </si>
  <si>
    <t>CCA13-0008</t>
  </si>
  <si>
    <t>CCA12-0001</t>
  </si>
  <si>
    <t>Anders</t>
  </si>
  <si>
    <t>3 Piece Duvet Set</t>
  </si>
  <si>
    <t>CCA12-0002</t>
  </si>
  <si>
    <t>CCA12-0005</t>
  </si>
  <si>
    <t>Callista</t>
  </si>
  <si>
    <t>10/20/2022</t>
  </si>
  <si>
    <t>CCA12-0006</t>
  </si>
  <si>
    <t>CCA12-0003</t>
  </si>
  <si>
    <t>Ellis</t>
  </si>
  <si>
    <t>Heathered Gray</t>
  </si>
  <si>
    <t>CCA12-0004</t>
  </si>
  <si>
    <t>CCA30-0013</t>
  </si>
  <si>
    <t>Normal Pillow</t>
  </si>
  <si>
    <t>Sedona Boucle</t>
  </si>
  <si>
    <t>Boucle Oblong Decor Pillow</t>
  </si>
  <si>
    <t>12x24"</t>
  </si>
  <si>
    <t>CCL11-0024</t>
  </si>
  <si>
    <t>Croscill Classics</t>
  </si>
  <si>
    <t>Clermont</t>
  </si>
  <si>
    <t>CCL11-0025</t>
  </si>
  <si>
    <t>CCL11-0023</t>
  </si>
  <si>
    <t>CCL11-0022</t>
  </si>
  <si>
    <t>CCL11-0020</t>
  </si>
  <si>
    <t>Montague</t>
  </si>
  <si>
    <t>Vintage</t>
  </si>
  <si>
    <t>CCL11-0021</t>
  </si>
  <si>
    <t>CCL10-0013</t>
  </si>
  <si>
    <t>Galleria</t>
  </si>
  <si>
    <t>4 Piece Brown Comforter Set</t>
  </si>
  <si>
    <t>10/25/2022</t>
  </si>
  <si>
    <t>AMAZON,CSNSTORES,HOUZZ,KOHLDSN</t>
  </si>
  <si>
    <t>CCL10-0014</t>
  </si>
  <si>
    <t>AMAZON,DLCROSCILL,JCPENNEY01,OVERSTOCK01</t>
  </si>
  <si>
    <t>CCL10-0015</t>
  </si>
  <si>
    <t>CCL10-0010</t>
  </si>
  <si>
    <t>4 Piece Red Comforter Set</t>
  </si>
  <si>
    <t>10/21/2022</t>
  </si>
  <si>
    <t>CCL10-0011</t>
  </si>
  <si>
    <t>10/5/2023</t>
  </si>
  <si>
    <t>CCL10-0012</t>
  </si>
  <si>
    <t>CCL10-0062</t>
  </si>
  <si>
    <t>Julius</t>
  </si>
  <si>
    <t>4 Piece Comforter Set</t>
  </si>
  <si>
    <t>7/24/2023</t>
  </si>
  <si>
    <t>10/11/2023</t>
  </si>
  <si>
    <t>CCL10-0063</t>
  </si>
  <si>
    <t>9/5/2023</t>
  </si>
  <si>
    <t>CCL10-0064</t>
  </si>
  <si>
    <t>CCL10-0001</t>
  </si>
  <si>
    <t>CCL10-0002</t>
  </si>
  <si>
    <t>CCL10-0003</t>
  </si>
  <si>
    <t>CCL10-0007</t>
  </si>
  <si>
    <t>CCL10-0008</t>
  </si>
  <si>
    <t>10/12/2023</t>
  </si>
  <si>
    <t>CCL10-0009</t>
  </si>
  <si>
    <t>CCL10-0004</t>
  </si>
  <si>
    <t>Valentina</t>
  </si>
  <si>
    <t>11/7/2022</t>
  </si>
  <si>
    <t>CCL10-0005</t>
  </si>
  <si>
    <t>CCL10-0006</t>
  </si>
  <si>
    <t>CCL13-0016</t>
  </si>
  <si>
    <t>Versailles</t>
  </si>
  <si>
    <t>3 Piece Champagne Quilt Set</t>
  </si>
  <si>
    <t>CCL13-0017</t>
  </si>
  <si>
    <t>6/7/2023</t>
  </si>
  <si>
    <t>CCL13-0018</t>
  </si>
  <si>
    <t>3 Piece Grey Quilt Set</t>
  </si>
  <si>
    <t>CCL13-0019</t>
  </si>
  <si>
    <t>AMAZON,DLCROSCILL,JCPENNEY01,KOHLDSN</t>
  </si>
  <si>
    <t>CCL30-0029</t>
  </si>
  <si>
    <t>Aumont</t>
  </si>
  <si>
    <t>Oblong Decor Pillow</t>
  </si>
  <si>
    <t>22x15"</t>
  </si>
  <si>
    <t>DLCROSCILL</t>
  </si>
  <si>
    <t>CCL30-0028</t>
  </si>
  <si>
    <t>CCL30-0027</t>
  </si>
  <si>
    <t>CCL30-0061</t>
  </si>
  <si>
    <t>CCL30-0026</t>
  </si>
  <si>
    <t>CCL30-0033</t>
  </si>
  <si>
    <t>Biron</t>
  </si>
  <si>
    <t>Square Decor Pillow</t>
  </si>
  <si>
    <t>CCL30-0032</t>
  </si>
  <si>
    <t>CCL30-0031</t>
  </si>
  <si>
    <t>CCL30-0030</t>
  </si>
  <si>
    <t>CCL30-0038</t>
  </si>
  <si>
    <t>Winchester</t>
  </si>
  <si>
    <t>CCL30-0037</t>
  </si>
  <si>
    <t>CCL30-0036</t>
  </si>
  <si>
    <t>CCL30-0035</t>
  </si>
  <si>
    <t>CCL30-0034</t>
  </si>
  <si>
    <t>CHM11-0011</t>
  </si>
  <si>
    <t>Croscill Home</t>
  </si>
  <si>
    <t>Perla</t>
  </si>
  <si>
    <t>CHM11-0012</t>
  </si>
  <si>
    <t>CHM13-0009</t>
  </si>
  <si>
    <t>Fiore</t>
  </si>
  <si>
    <t>3 Piece Coverlet Set</t>
  </si>
  <si>
    <t>Marshmallow</t>
  </si>
  <si>
    <t>CHM13-0010</t>
  </si>
  <si>
    <t>CHM12-0007</t>
  </si>
  <si>
    <t>Bernini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</si>
  <si>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</si>
  <si>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</si>
  <si>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</si>
  <si>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</si>
  <si>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</si>
  <si>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</si>
  <si>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</si>
  <si>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CHM12-0006</t>
  </si>
  <si>
    <t>3 Piece Tan Duvet Set</t>
  </si>
  <si>
    <t>CHM30-0013</t>
  </si>
  <si>
    <t>Canova</t>
  </si>
  <si>
    <t>CSNSTORES,JCPENNEY01,NRTPORT</t>
  </si>
  <si>
    <t>CHM30-0014</t>
  </si>
  <si>
    <t>Florio</t>
  </si>
  <si>
    <t>Figurative</t>
  </si>
  <si>
    <t>CHM30-0015</t>
  </si>
  <si>
    <t>Melodia</t>
  </si>
  <si>
    <t>CHM30-0019</t>
  </si>
  <si>
    <t>JLA10-054</t>
  </si>
  <si>
    <t>Hampton Hill</t>
  </si>
  <si>
    <t>Canovia Springs</t>
  </si>
  <si>
    <t>9 Piece Jacquard Comforter Set</t>
  </si>
  <si>
    <t>PF003270</t>
  </si>
  <si>
    <t>JLA10-055</t>
  </si>
  <si>
    <t>10 Piece Jacquard Comforter Set</t>
  </si>
  <si>
    <t>FB13-1027</t>
  </si>
  <si>
    <t>Velvet Touch</t>
  </si>
  <si>
    <t>3 Piece Luxurious Oversized Quilt Set</t>
  </si>
  <si>
    <t>PF003280</t>
  </si>
  <si>
    <t>7/31/2019</t>
  </si>
  <si>
    <t>10/23/2019</t>
  </si>
  <si>
    <t>FB13-1028</t>
  </si>
  <si>
    <t>AMERSIGNDS,OLLIIX</t>
  </si>
  <si>
    <t>JLA13-499</t>
  </si>
  <si>
    <t>Peacock</t>
  </si>
  <si>
    <t>PF003273</t>
  </si>
  <si>
    <t>JLA13-500</t>
  </si>
  <si>
    <t>3/5/2020</t>
  </si>
  <si>
    <t>FB13-1148</t>
  </si>
  <si>
    <t>PF003287</t>
  </si>
  <si>
    <t>11/7/2019</t>
  </si>
  <si>
    <t>FB13-1149</t>
  </si>
  <si>
    <t>FB41-1131</t>
  </si>
  <si>
    <t>VALANCE</t>
  </si>
  <si>
    <t>Valance</t>
  </si>
  <si>
    <t>Window Valance</t>
  </si>
  <si>
    <t>54x18"</t>
  </si>
  <si>
    <t>4/11/2017</t>
  </si>
  <si>
    <t>FB40-1129</t>
  </si>
  <si>
    <t>WINDOW PANEL</t>
  </si>
  <si>
    <t>Window Panel</t>
  </si>
  <si>
    <t>Curtain Panel</t>
  </si>
  <si>
    <t>54x84"</t>
  </si>
  <si>
    <t>4/17/2020</t>
  </si>
  <si>
    <t>FB40-1130</t>
  </si>
  <si>
    <t>54x95"</t>
  </si>
  <si>
    <t>MPP10-001</t>
  </si>
  <si>
    <t>Madison Park Pure</t>
  </si>
  <si>
    <t>Ronan</t>
  </si>
  <si>
    <t>Dermot</t>
  </si>
  <si>
    <t>Dierdre</t>
  </si>
  <si>
    <t>PF001381;PP000494</t>
  </si>
  <si>
    <t>Casual|Global Inspired</t>
  </si>
  <si>
    <t>MPP10-002</t>
  </si>
  <si>
    <t>MPP13-049</t>
  </si>
  <si>
    <t>4 Piece Cotton Quilt Set with Throw Pillow</t>
  </si>
  <si>
    <t>AMAZONDS,CSNSTORES,JCPENNEY01,KOHLDSN,OVERSTOCK01</t>
  </si>
  <si>
    <t>MPP13-050</t>
  </si>
  <si>
    <t>4 Piece Cotton Quilt Set with Trhow Pillow</t>
  </si>
  <si>
    <t>NS11-3662</t>
  </si>
  <si>
    <t>N Natori</t>
  </si>
  <si>
    <t>Cocoon</t>
  </si>
  <si>
    <t>Quilt Top Euro Sham</t>
  </si>
  <si>
    <t>PP001696;PF005608</t>
  </si>
  <si>
    <t>11/2/2021</t>
  </si>
  <si>
    <t>NS11-3657</t>
  </si>
  <si>
    <t>PP001696;PF005609</t>
  </si>
  <si>
    <t>NS11-1824A</t>
  </si>
  <si>
    <t>Cherry Blossom</t>
  </si>
  <si>
    <t>PF002589</t>
  </si>
  <si>
    <t>NS11-3253</t>
  </si>
  <si>
    <t>Hanae</t>
  </si>
  <si>
    <t>Cotton Blend Yarn Dyed Euro Sham</t>
  </si>
  <si>
    <t>PP000991;PF004456</t>
  </si>
  <si>
    <t>9/30/2018</t>
  </si>
  <si>
    <t>NS11-3247</t>
  </si>
  <si>
    <t>PP000991;PF004455;PP000992</t>
  </si>
  <si>
    <t>ASHFURNDS,JCPENNEY01,OVERSTOCK01</t>
  </si>
  <si>
    <t>NS10-3705</t>
  </si>
  <si>
    <t>Brush Stroke</t>
  </si>
  <si>
    <t>4 Piece Oversized Reversible Seersucker Comforter Set</t>
  </si>
  <si>
    <t>PF005695;PP001754</t>
  </si>
  <si>
    <t>5/11/2022</t>
  </si>
  <si>
    <t>NS10-3706</t>
  </si>
  <si>
    <t>NS10-1848</t>
  </si>
  <si>
    <t>PF002588</t>
  </si>
  <si>
    <t>6/11/2020</t>
  </si>
  <si>
    <t>NS10-3249</t>
  </si>
  <si>
    <t>Cotton Blend Yarn Dyed 3 Piece Comforter Set</t>
  </si>
  <si>
    <t>5/27/2020</t>
  </si>
  <si>
    <t>NS10-3250</t>
  </si>
  <si>
    <t>NS10-3243</t>
  </si>
  <si>
    <t>PP000991;PF004455</t>
  </si>
  <si>
    <t>3/26/2020</t>
  </si>
  <si>
    <t>NS10-3244</t>
  </si>
  <si>
    <t>AMERSIGNDS,ASHFURNDS,CSNSTORES,JCPENNEY01,KOHLDSN,OVERSTOCK01</t>
  </si>
  <si>
    <t>7/26/2019</t>
  </si>
  <si>
    <t>NS10-3255</t>
  </si>
  <si>
    <t>Sakura Blossom</t>
  </si>
  <si>
    <t>3 Piece Cotton Sateen Printed Comforter Set</t>
  </si>
  <si>
    <t>PP000992;PF004457</t>
  </si>
  <si>
    <t>NS10-3256</t>
  </si>
  <si>
    <t>6/1/2020</t>
  </si>
  <si>
    <t>NS10-3653</t>
  </si>
  <si>
    <t>3 Piece Quilt Top Comforter Mini Set</t>
  </si>
  <si>
    <t>NS10-3654</t>
  </si>
  <si>
    <t>NS10-3725</t>
  </si>
  <si>
    <t>Origami</t>
  </si>
  <si>
    <t>3 Piece Oversized Knit Quilted Top Comforter Mini Set</t>
  </si>
  <si>
    <t>PP001768;PF005709</t>
  </si>
  <si>
    <t>NS12-3707</t>
  </si>
  <si>
    <t>3 Piece Oversized Reversible Seersucker Duvet Cover Mini Set</t>
  </si>
  <si>
    <t>NS12-3708</t>
  </si>
  <si>
    <t>CSNSTORES,JCPENNEY01,MACY02,OLLIIX</t>
  </si>
  <si>
    <t>NS12-3660</t>
  </si>
  <si>
    <t>3 Piece Quilt Top Duvet Cover Mini Set</t>
  </si>
  <si>
    <t>NS12-3655</t>
  </si>
  <si>
    <t>NS12-3656</t>
  </si>
  <si>
    <t>NS12-2005</t>
  </si>
  <si>
    <t>NS12-2006</t>
  </si>
  <si>
    <t>NS12-3251</t>
  </si>
  <si>
    <t>Cotton Blend Yarn Dyed 3 Piece Duvet Cover Set</t>
  </si>
  <si>
    <t>7/27/2020</t>
  </si>
  <si>
    <t>NS12-3252</t>
  </si>
  <si>
    <t>7/12/2020</t>
  </si>
  <si>
    <t>NS12-3245</t>
  </si>
  <si>
    <t>8/5/2020</t>
  </si>
  <si>
    <t>NS12-3246</t>
  </si>
  <si>
    <t>ASHFURNDS,MACY02,OVERSTOCK01</t>
  </si>
  <si>
    <t>4/3/2020</t>
  </si>
  <si>
    <t>NS12-3257</t>
  </si>
  <si>
    <t>3 Piece Cotton Sateen Printed Duvet Cover Set</t>
  </si>
  <si>
    <t>NS12-3258</t>
  </si>
  <si>
    <t>6/30/2020</t>
  </si>
  <si>
    <t>NS30-3729</t>
  </si>
  <si>
    <t>Knit Quilted Top Decorative Square Pillow 18x18"</t>
  </si>
  <si>
    <t>NS30-1827A</t>
  </si>
  <si>
    <t>12x22"</t>
  </si>
  <si>
    <t>PF002592</t>
  </si>
  <si>
    <t>NS30-1825A</t>
  </si>
  <si>
    <t>PF002590</t>
  </si>
  <si>
    <t>NS30-1826A</t>
  </si>
  <si>
    <t>PF002591</t>
  </si>
  <si>
    <t>NS30-3254</t>
  </si>
  <si>
    <t>PP000991</t>
  </si>
  <si>
    <t>NS30-3248</t>
  </si>
  <si>
    <t>1/30/2020</t>
  </si>
  <si>
    <t>NS30-3259</t>
  </si>
  <si>
    <t>PP000992;PF004458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</si>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</sst>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217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49.9</v>
      </c>
      <c r="M6" s="3">
        <v>52.4</v>
      </c>
      <c r="N6" s="3">
        <v>89.99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203</v>
      </c>
      <c r="AA6" s="4">
        <f>=ROUNDDOWN(20.3,0)</f>
      </c>
      <c r="AB6" s="5">
        <v>10</v>
      </c>
      <c r="AC6" s="2" t="s">
        <v>107</v>
      </c>
      <c r="AD6" s="4">
        <v>50</v>
      </c>
      <c r="AE6" s="4">
        <v>230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>
        <v>5</v>
      </c>
      <c r="AW6" s="8">
        <v>340.06</v>
      </c>
      <c r="AX6" s="4" t="s">
        <v>100</v>
      </c>
      <c r="AY6" s="8" t="s">
        <v>100</v>
      </c>
      <c r="AZ6" s="7" t="s">
        <v>100</v>
      </c>
      <c r="BA6" s="7" t="s">
        <v>100</v>
      </c>
      <c r="BB6" s="7"/>
      <c r="BC6" s="4">
        <v>14</v>
      </c>
      <c r="BD6" s="8">
        <v>995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0.3418</v>
      </c>
      <c r="BJ6" s="4">
        <v>3</v>
      </c>
      <c r="BK6" s="8">
        <v>139.99</v>
      </c>
      <c r="BL6" s="2" t="s">
        <v>108</v>
      </c>
      <c r="BM6" s="7"/>
      <c r="BN6" s="7"/>
      <c r="BO6" s="4"/>
      <c r="BP6" s="8"/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53.35</v>
      </c>
      <c r="M7" s="3">
        <v>56.02</v>
      </c>
      <c r="N7" s="3">
        <v>99.99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115</v>
      </c>
      <c r="Z7" s="4">
        <v>341</v>
      </c>
      <c r="AA7" s="4">
        <f>=ROUNDDOWN(20.0588235294118,0)</f>
      </c>
      <c r="AB7" s="5">
        <v>17</v>
      </c>
      <c r="AC7" s="2" t="s">
        <v>107</v>
      </c>
      <c r="AD7" s="4">
        <v>100</v>
      </c>
      <c r="AE7" s="4">
        <v>440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>
        <v>0</v>
      </c>
      <c r="AP7" s="4">
        <v>3</v>
      </c>
      <c r="AQ7" s="8">
        <v>190.2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0.5593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16</v>
      </c>
      <c r="BK7" s="8">
        <v>887.6</v>
      </c>
      <c r="BL7" s="2" t="s">
        <v>116</v>
      </c>
      <c r="BM7" s="7">
        <v>0.1875</v>
      </c>
      <c r="BN7" s="7">
        <v>0.2143</v>
      </c>
      <c r="BO7" s="4">
        <v>3</v>
      </c>
      <c r="BP7" s="8">
        <v>190.2</v>
      </c>
      <c r="BQ7" s="4"/>
      <c r="BR7" s="8"/>
      <c r="BS7" s="7"/>
      <c r="BT7" s="7"/>
      <c r="BU7" s="2" t="s">
        <v>109</v>
      </c>
      <c r="BV7" s="2" t="s">
        <v>97</v>
      </c>
      <c r="BW7" s="2" t="s">
        <v>117</v>
      </c>
      <c r="BX7" s="2" t="s">
        <v>118</v>
      </c>
      <c r="BY7" s="2" t="s">
        <v>112</v>
      </c>
      <c r="BZ7" s="2" t="s">
        <v>100</v>
      </c>
    </row>
    <row r="8">
      <c r="A8" s="2" t="s">
        <v>119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120</v>
      </c>
      <c r="K8" s="2" t="s">
        <v>96</v>
      </c>
      <c r="L8" s="3">
        <v>63.06</v>
      </c>
      <c r="M8" s="3">
        <v>66.21</v>
      </c>
      <c r="N8" s="3">
        <v>119.99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115</v>
      </c>
      <c r="Z8" s="4">
        <v>207</v>
      </c>
      <c r="AA8" s="4">
        <f>=ROUNDDOWN(29.5714285714286,0)</f>
      </c>
      <c r="AB8" s="5">
        <v>7</v>
      </c>
      <c r="AC8" s="2" t="s">
        <v>107</v>
      </c>
      <c r="AD8" s="4">
        <v>60</v>
      </c>
      <c r="AE8" s="4">
        <v>90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>
        <v>0</v>
      </c>
      <c r="AP8" s="4">
        <v>2</v>
      </c>
      <c r="AQ8" s="8">
        <v>149.86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0.4407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8</v>
      </c>
      <c r="BK8" s="8">
        <v>601.97</v>
      </c>
      <c r="BL8" s="2" t="s">
        <v>121</v>
      </c>
      <c r="BM8" s="7">
        <v>0.25</v>
      </c>
      <c r="BN8" s="7">
        <v>0.2489</v>
      </c>
      <c r="BO8" s="4">
        <v>2</v>
      </c>
      <c r="BP8" s="8">
        <v>149.86</v>
      </c>
      <c r="BQ8" s="4"/>
      <c r="BR8" s="8"/>
      <c r="BS8" s="7"/>
      <c r="BT8" s="7"/>
      <c r="BU8" s="2" t="s">
        <v>109</v>
      </c>
      <c r="BV8" s="2" t="s">
        <v>97</v>
      </c>
      <c r="BW8" s="2" t="s">
        <v>122</v>
      </c>
      <c r="BX8" s="2" t="s">
        <v>118</v>
      </c>
      <c r="BY8" s="2" t="s">
        <v>112</v>
      </c>
      <c r="BZ8" s="2" t="s">
        <v>100</v>
      </c>
    </row>
    <row r="9">
      <c r="A9" s="2" t="s">
        <v>123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124</v>
      </c>
      <c r="K9" s="2" t="s">
        <v>96</v>
      </c>
      <c r="L9" s="3">
        <v>63.06</v>
      </c>
      <c r="M9" s="3">
        <v>66.21</v>
      </c>
      <c r="N9" s="3">
        <v>119.99</v>
      </c>
      <c r="O9" s="2" t="s">
        <v>97</v>
      </c>
      <c r="P9" s="2" t="s">
        <v>98</v>
      </c>
      <c r="Q9" s="2" t="s">
        <v>99</v>
      </c>
      <c r="R9" s="2" t="s">
        <v>100</v>
      </c>
      <c r="S9" s="2" t="s">
        <v>101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125</v>
      </c>
      <c r="Z9" s="4">
        <v>98</v>
      </c>
      <c r="AA9" s="4">
        <f>=ROUNDDOWN(24.5,0)</f>
      </c>
      <c r="AB9" s="5">
        <v>4</v>
      </c>
      <c r="AC9" s="2" t="s">
        <v>107</v>
      </c>
      <c r="AD9" s="4">
        <v>30</v>
      </c>
      <c r="AE9" s="4">
        <v>80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/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3</v>
      </c>
      <c r="BK9" s="8">
        <v>200.69</v>
      </c>
      <c r="BL9" s="2" t="s">
        <v>126</v>
      </c>
      <c r="BM9" s="7"/>
      <c r="BN9" s="7"/>
      <c r="BO9" s="4"/>
      <c r="BP9" s="8"/>
      <c r="BQ9" s="4"/>
      <c r="BR9" s="8"/>
      <c r="BS9" s="7"/>
      <c r="BT9" s="7"/>
      <c r="BU9" s="2" t="s">
        <v>109</v>
      </c>
      <c r="BV9" s="2" t="s">
        <v>97</v>
      </c>
      <c r="BW9" s="2" t="s">
        <v>122</v>
      </c>
      <c r="BX9" s="2" t="s">
        <v>127</v>
      </c>
      <c r="BY9" s="2" t="s">
        <v>112</v>
      </c>
      <c r="BZ9" s="2" t="s">
        <v>100</v>
      </c>
    </row>
    <row r="10">
      <c r="A10" s="2" t="s">
        <v>128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129</v>
      </c>
      <c r="L10" s="3">
        <v>49.9</v>
      </c>
      <c r="M10" s="3">
        <v>52.4</v>
      </c>
      <c r="N10" s="3">
        <v>89.99</v>
      </c>
      <c r="O10" s="2" t="s">
        <v>97</v>
      </c>
      <c r="P10" s="2" t="s">
        <v>98</v>
      </c>
      <c r="Q10" s="2" t="s">
        <v>99</v>
      </c>
      <c r="R10" s="2" t="s">
        <v>100</v>
      </c>
      <c r="S10" s="2" t="s">
        <v>130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131</v>
      </c>
      <c r="Z10" s="4">
        <v>105</v>
      </c>
      <c r="AA10" s="4">
        <f>=ROUNDDOWN(17.5,0)</f>
      </c>
      <c r="AB10" s="5">
        <v>6</v>
      </c>
      <c r="AC10" s="2" t="s">
        <v>132</v>
      </c>
      <c r="AD10" s="4">
        <v>30</v>
      </c>
      <c r="AE10" s="4">
        <v>110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>
        <v>3</v>
      </c>
      <c r="AW10" s="8">
        <v>207.97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/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>
        <v>0.209</v>
      </c>
      <c r="BJ10" s="4">
        <v>1</v>
      </c>
      <c r="BK10" s="8">
        <v>41.31</v>
      </c>
      <c r="BL10" s="2" t="s">
        <v>133</v>
      </c>
      <c r="BM10" s="7"/>
      <c r="BN10" s="7"/>
      <c r="BO10" s="4"/>
      <c r="BP10" s="8"/>
      <c r="BQ10" s="4"/>
      <c r="BR10" s="8"/>
      <c r="BS10" s="7"/>
      <c r="BT10" s="7"/>
      <c r="BU10" s="2" t="s">
        <v>109</v>
      </c>
      <c r="BV10" s="2" t="s">
        <v>97</v>
      </c>
      <c r="BW10" s="2" t="s">
        <v>122</v>
      </c>
      <c r="BX10" s="2" t="s">
        <v>134</v>
      </c>
      <c r="BY10" s="2" t="s">
        <v>112</v>
      </c>
      <c r="BZ10" s="2" t="s">
        <v>100</v>
      </c>
    </row>
    <row r="11">
      <c r="A11" s="2" t="s">
        <v>135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129</v>
      </c>
      <c r="L11" s="3">
        <v>53.35</v>
      </c>
      <c r="M11" s="3">
        <v>56.02</v>
      </c>
      <c r="N11" s="3">
        <v>99.99</v>
      </c>
      <c r="O11" s="2" t="s">
        <v>97</v>
      </c>
      <c r="P11" s="2" t="s">
        <v>98</v>
      </c>
      <c r="Q11" s="2" t="s">
        <v>99</v>
      </c>
      <c r="R11" s="2" t="s">
        <v>100</v>
      </c>
      <c r="S11" s="2" t="s">
        <v>130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131</v>
      </c>
      <c r="Z11" s="4">
        <v>387</v>
      </c>
      <c r="AA11" s="4">
        <f>=ROUNDDOWN(20.3684210526316,0)</f>
      </c>
      <c r="AB11" s="5">
        <v>19</v>
      </c>
      <c r="AC11" s="2" t="s">
        <v>132</v>
      </c>
      <c r="AD11" s="4">
        <v>30</v>
      </c>
      <c r="AE11" s="4">
        <v>470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>
        <v>0</v>
      </c>
      <c r="AP11" s="4">
        <v>2</v>
      </c>
      <c r="AQ11" s="8">
        <v>130.72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0.6286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9</v>
      </c>
      <c r="BK11" s="8">
        <v>546.08</v>
      </c>
      <c r="BL11" s="2" t="s">
        <v>136</v>
      </c>
      <c r="BM11" s="7">
        <v>0.2222</v>
      </c>
      <c r="BN11" s="7">
        <v>0.2394</v>
      </c>
      <c r="BO11" s="4">
        <v>2</v>
      </c>
      <c r="BP11" s="8">
        <v>130.72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137</v>
      </c>
      <c r="BX11" s="2" t="s">
        <v>138</v>
      </c>
      <c r="BY11" s="2" t="s">
        <v>112</v>
      </c>
      <c r="BZ11" s="2" t="s">
        <v>100</v>
      </c>
    </row>
    <row r="12">
      <c r="A12" s="2" t="s">
        <v>139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120</v>
      </c>
      <c r="K12" s="2" t="s">
        <v>129</v>
      </c>
      <c r="L12" s="3">
        <v>63.06</v>
      </c>
      <c r="M12" s="3">
        <v>66.21</v>
      </c>
      <c r="N12" s="3">
        <v>119.99</v>
      </c>
      <c r="O12" s="2" t="s">
        <v>97</v>
      </c>
      <c r="P12" s="2" t="s">
        <v>98</v>
      </c>
      <c r="Q12" s="2" t="s">
        <v>99</v>
      </c>
      <c r="R12" s="2" t="s">
        <v>100</v>
      </c>
      <c r="S12" s="2" t="s">
        <v>130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131</v>
      </c>
      <c r="Z12" s="4">
        <v>340</v>
      </c>
      <c r="AA12" s="4">
        <f>=ROUNDDOWN(24.2857142857143,0)</f>
      </c>
      <c r="AB12" s="5">
        <v>14</v>
      </c>
      <c r="AC12" s="2" t="s">
        <v>132</v>
      </c>
      <c r="AD12" s="4">
        <v>30</v>
      </c>
      <c r="AE12" s="4">
        <v>380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>
        <v>0</v>
      </c>
      <c r="AP12" s="4">
        <v>1</v>
      </c>
      <c r="AQ12" s="8">
        <v>77.25</v>
      </c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0.3714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8</v>
      </c>
      <c r="BK12" s="8">
        <v>534.03</v>
      </c>
      <c r="BL12" s="2" t="s">
        <v>140</v>
      </c>
      <c r="BM12" s="7">
        <v>0.125</v>
      </c>
      <c r="BN12" s="7">
        <v>0.1447</v>
      </c>
      <c r="BO12" s="4">
        <v>1</v>
      </c>
      <c r="BP12" s="8">
        <v>77.25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137</v>
      </c>
      <c r="BX12" s="2" t="s">
        <v>141</v>
      </c>
      <c r="BY12" s="2" t="s">
        <v>112</v>
      </c>
      <c r="BZ12" s="2" t="s">
        <v>100</v>
      </c>
    </row>
    <row r="13">
      <c r="A13" s="2" t="s">
        <v>142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124</v>
      </c>
      <c r="K13" s="2" t="s">
        <v>129</v>
      </c>
      <c r="L13" s="3">
        <v>63.06</v>
      </c>
      <c r="M13" s="3">
        <v>66.21</v>
      </c>
      <c r="N13" s="3">
        <v>119.99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130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131</v>
      </c>
      <c r="Z13" s="4">
        <v>186</v>
      </c>
      <c r="AA13" s="4">
        <f>=ROUNDDOWN(16.9090909090909,0)</f>
      </c>
      <c r="AB13" s="5">
        <v>11</v>
      </c>
      <c r="AC13" s="2" t="s">
        <v>132</v>
      </c>
      <c r="AD13" s="4">
        <v>30</v>
      </c>
      <c r="AE13" s="4">
        <v>180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/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4</v>
      </c>
      <c r="BK13" s="8">
        <v>328.81</v>
      </c>
      <c r="BL13" s="2" t="s">
        <v>143</v>
      </c>
      <c r="BM13" s="7"/>
      <c r="BN13" s="7"/>
      <c r="BO13" s="4"/>
      <c r="BP13" s="8"/>
      <c r="BQ13" s="4"/>
      <c r="BR13" s="8"/>
      <c r="BS13" s="7"/>
      <c r="BT13" s="7"/>
      <c r="BU13" s="2" t="s">
        <v>109</v>
      </c>
      <c r="BV13" s="2" t="s">
        <v>97</v>
      </c>
      <c r="BW13" s="2" t="s">
        <v>137</v>
      </c>
      <c r="BX13" s="2" t="s">
        <v>144</v>
      </c>
      <c r="BY13" s="2" t="s">
        <v>112</v>
      </c>
      <c r="BZ13" s="2" t="s">
        <v>100</v>
      </c>
    </row>
    <row r="14">
      <c r="A14" s="2" t="s">
        <v>145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146</v>
      </c>
      <c r="L14" s="3">
        <v>49.9</v>
      </c>
      <c r="M14" s="3">
        <v>52.4</v>
      </c>
      <c r="N14" s="3">
        <v>89.99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147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148</v>
      </c>
      <c r="Z14" s="4">
        <v>137</v>
      </c>
      <c r="AA14" s="4">
        <f>=ROUNDDOWN(22.8333333333333,0)</f>
      </c>
      <c r="AB14" s="5">
        <v>6</v>
      </c>
      <c r="AC14" s="2" t="s">
        <v>149</v>
      </c>
      <c r="AD14" s="4">
        <v>50</v>
      </c>
      <c r="AE14" s="4">
        <v>160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>
        <v>1</v>
      </c>
      <c r="AW14" s="8">
        <v>77.25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/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0.0776</v>
      </c>
      <c r="BJ14" s="4">
        <v>3</v>
      </c>
      <c r="BK14" s="8">
        <v>168.67</v>
      </c>
      <c r="BL14" s="2" t="s">
        <v>150</v>
      </c>
      <c r="BM14" s="7"/>
      <c r="BN14" s="7"/>
      <c r="BO14" s="4"/>
      <c r="BP14" s="8"/>
      <c r="BQ14" s="4"/>
      <c r="BR14" s="8"/>
      <c r="BS14" s="7"/>
      <c r="BT14" s="7"/>
      <c r="BU14" s="2" t="s">
        <v>109</v>
      </c>
      <c r="BV14" s="2" t="s">
        <v>97</v>
      </c>
      <c r="BW14" s="2" t="s">
        <v>122</v>
      </c>
      <c r="BX14" s="2" t="s">
        <v>151</v>
      </c>
      <c r="BY14" s="2" t="s">
        <v>112</v>
      </c>
      <c r="BZ14" s="2" t="s">
        <v>100</v>
      </c>
    </row>
    <row r="15">
      <c r="A15" s="2" t="s">
        <v>152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146</v>
      </c>
      <c r="L15" s="3">
        <v>53.35</v>
      </c>
      <c r="M15" s="3">
        <v>56.02</v>
      </c>
      <c r="N15" s="3">
        <v>99.99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147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131</v>
      </c>
      <c r="Z15" s="4">
        <v>206</v>
      </c>
      <c r="AA15" s="4">
        <f>=ROUNDDOWN(10.8421052631579,0)</f>
      </c>
      <c r="AB15" s="5">
        <v>19</v>
      </c>
      <c r="AC15" s="2" t="s">
        <v>132</v>
      </c>
      <c r="AD15" s="4">
        <v>30</v>
      </c>
      <c r="AE15" s="4">
        <v>680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/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14</v>
      </c>
      <c r="BK15" s="8">
        <v>848.72</v>
      </c>
      <c r="BL15" s="2" t="s">
        <v>153</v>
      </c>
      <c r="BM15" s="7"/>
      <c r="BN15" s="7"/>
      <c r="BO15" s="4"/>
      <c r="BP15" s="8"/>
      <c r="BQ15" s="4"/>
      <c r="BR15" s="8"/>
      <c r="BS15" s="7"/>
      <c r="BT15" s="7"/>
      <c r="BU15" s="2" t="s">
        <v>109</v>
      </c>
      <c r="BV15" s="2" t="s">
        <v>97</v>
      </c>
      <c r="BW15" s="2" t="s">
        <v>122</v>
      </c>
      <c r="BX15" s="2" t="s">
        <v>154</v>
      </c>
      <c r="BY15" s="2" t="s">
        <v>112</v>
      </c>
      <c r="BZ15" s="2" t="s">
        <v>100</v>
      </c>
    </row>
    <row r="16">
      <c r="A16" s="2" t="s">
        <v>155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120</v>
      </c>
      <c r="K16" s="2" t="s">
        <v>146</v>
      </c>
      <c r="L16" s="3">
        <v>63.06</v>
      </c>
      <c r="M16" s="3">
        <v>66.21</v>
      </c>
      <c r="N16" s="3">
        <v>119.99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147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131</v>
      </c>
      <c r="Z16" s="4">
        <v>249</v>
      </c>
      <c r="AA16" s="4">
        <f>=ROUNDDOWN(16.6,0)</f>
      </c>
      <c r="AB16" s="5">
        <v>15</v>
      </c>
      <c r="AC16" s="2" t="s">
        <v>149</v>
      </c>
      <c r="AD16" s="4">
        <v>120</v>
      </c>
      <c r="AE16" s="4">
        <v>460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/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5</v>
      </c>
      <c r="BK16" s="8">
        <v>345.27</v>
      </c>
      <c r="BL16" s="2" t="s">
        <v>156</v>
      </c>
      <c r="BM16" s="7"/>
      <c r="BN16" s="7"/>
      <c r="BO16" s="4"/>
      <c r="BP16" s="8"/>
      <c r="BQ16" s="4"/>
      <c r="BR16" s="8"/>
      <c r="BS16" s="7"/>
      <c r="BT16" s="7"/>
      <c r="BU16" s="2" t="s">
        <v>109</v>
      </c>
      <c r="BV16" s="2" t="s">
        <v>97</v>
      </c>
      <c r="BW16" s="2" t="s">
        <v>122</v>
      </c>
      <c r="BX16" s="2" t="s">
        <v>117</v>
      </c>
      <c r="BY16" s="2" t="s">
        <v>112</v>
      </c>
      <c r="BZ16" s="2" t="s">
        <v>100</v>
      </c>
    </row>
    <row r="17">
      <c r="A17" s="2" t="s">
        <v>157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124</v>
      </c>
      <c r="K17" s="2" t="s">
        <v>146</v>
      </c>
      <c r="L17" s="3">
        <v>63.06</v>
      </c>
      <c r="M17" s="3">
        <v>66.21</v>
      </c>
      <c r="N17" s="3">
        <v>119.99</v>
      </c>
      <c r="O17" s="2" t="s">
        <v>97</v>
      </c>
      <c r="P17" s="2" t="s">
        <v>98</v>
      </c>
      <c r="Q17" s="2" t="s">
        <v>99</v>
      </c>
      <c r="R17" s="2" t="s">
        <v>100</v>
      </c>
      <c r="S17" s="2" t="s">
        <v>147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158</v>
      </c>
      <c r="Z17" s="4">
        <v>124</v>
      </c>
      <c r="AA17" s="4">
        <f>=ROUNDDOWN(11.2727272727273,0)</f>
      </c>
      <c r="AB17" s="5">
        <v>11</v>
      </c>
      <c r="AC17" s="2" t="s">
        <v>132</v>
      </c>
      <c r="AD17" s="4">
        <v>30</v>
      </c>
      <c r="AE17" s="4">
        <v>300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</v>
      </c>
      <c r="AP17" s="4">
        <v>1</v>
      </c>
      <c r="AQ17" s="8">
        <v>77.25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1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7</v>
      </c>
      <c r="BK17" s="8">
        <v>492.37</v>
      </c>
      <c r="BL17" s="2" t="s">
        <v>159</v>
      </c>
      <c r="BM17" s="7">
        <v>0.1429</v>
      </c>
      <c r="BN17" s="7">
        <v>0.1569</v>
      </c>
      <c r="BO17" s="4">
        <v>1</v>
      </c>
      <c r="BP17" s="8">
        <v>77.25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160</v>
      </c>
      <c r="BX17" s="2" t="s">
        <v>161</v>
      </c>
      <c r="BY17" s="2" t="s">
        <v>112</v>
      </c>
      <c r="BZ17" s="2" t="s">
        <v>100</v>
      </c>
    </row>
    <row r="18">
      <c r="A18" s="2" t="s">
        <v>162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114</v>
      </c>
      <c r="K18" s="2" t="s">
        <v>163</v>
      </c>
      <c r="L18" s="3">
        <v>53.35</v>
      </c>
      <c r="M18" s="3">
        <v>56.02</v>
      </c>
      <c r="N18" s="3">
        <v>99.99</v>
      </c>
      <c r="O18" s="2" t="s">
        <v>97</v>
      </c>
      <c r="P18" s="2" t="s">
        <v>98</v>
      </c>
      <c r="Q18" s="2" t="s">
        <v>99</v>
      </c>
      <c r="R18" s="2" t="s">
        <v>100</v>
      </c>
      <c r="S18" s="2" t="s">
        <v>164</v>
      </c>
      <c r="T18" s="2" t="s">
        <v>100</v>
      </c>
      <c r="U18" s="2" t="s">
        <v>102</v>
      </c>
      <c r="V18" s="2" t="s">
        <v>103</v>
      </c>
      <c r="W18" s="2" t="s">
        <v>104</v>
      </c>
      <c r="X18" s="2" t="s">
        <v>105</v>
      </c>
      <c r="Y18" s="2" t="s">
        <v>131</v>
      </c>
      <c r="Z18" s="4">
        <v>294</v>
      </c>
      <c r="AA18" s="4">
        <f>=ROUNDDOWN(32.6666666666667,0)</f>
      </c>
      <c r="AB18" s="5">
        <v>9</v>
      </c>
      <c r="AC18" s="2" t="s">
        <v>165</v>
      </c>
      <c r="AD18" s="4">
        <v>30</v>
      </c>
      <c r="AE18" s="4">
        <v>180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>
        <v>1</v>
      </c>
      <c r="AW18" s="8">
        <v>77.25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/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>
        <v>0.0776</v>
      </c>
      <c r="BJ18" s="4">
        <v>4</v>
      </c>
      <c r="BK18" s="8">
        <v>211.21</v>
      </c>
      <c r="BL18" s="2" t="s">
        <v>108</v>
      </c>
      <c r="BM18" s="7"/>
      <c r="BN18" s="7"/>
      <c r="BO18" s="4"/>
      <c r="BP18" s="8"/>
      <c r="BQ18" s="4"/>
      <c r="BR18" s="8"/>
      <c r="BS18" s="7"/>
      <c r="BT18" s="7"/>
      <c r="BU18" s="2" t="s">
        <v>109</v>
      </c>
      <c r="BV18" s="2" t="s">
        <v>97</v>
      </c>
      <c r="BW18" s="2" t="s">
        <v>122</v>
      </c>
      <c r="BX18" s="2" t="s">
        <v>166</v>
      </c>
      <c r="BY18" s="2" t="s">
        <v>112</v>
      </c>
      <c r="BZ18" s="2" t="s">
        <v>100</v>
      </c>
    </row>
    <row r="19">
      <c r="A19" s="2" t="s">
        <v>167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120</v>
      </c>
      <c r="K19" s="2" t="s">
        <v>163</v>
      </c>
      <c r="L19" s="3">
        <v>63.06</v>
      </c>
      <c r="M19" s="3">
        <v>66.21</v>
      </c>
      <c r="N19" s="3">
        <v>119.99</v>
      </c>
      <c r="O19" s="2" t="s">
        <v>97</v>
      </c>
      <c r="P19" s="2" t="s">
        <v>98</v>
      </c>
      <c r="Q19" s="2" t="s">
        <v>99</v>
      </c>
      <c r="R19" s="2" t="s">
        <v>100</v>
      </c>
      <c r="S19" s="2" t="s">
        <v>164</v>
      </c>
      <c r="T19" s="2" t="s">
        <v>100</v>
      </c>
      <c r="U19" s="2" t="s">
        <v>102</v>
      </c>
      <c r="V19" s="2" t="s">
        <v>103</v>
      </c>
      <c r="W19" s="2" t="s">
        <v>104</v>
      </c>
      <c r="X19" s="2" t="s">
        <v>105</v>
      </c>
      <c r="Y19" s="2" t="s">
        <v>131</v>
      </c>
      <c r="Z19" s="4">
        <v>166</v>
      </c>
      <c r="AA19" s="4">
        <f>=ROUNDDOWN(18.4444444444444,0)</f>
      </c>
      <c r="AB19" s="5">
        <v>9</v>
      </c>
      <c r="AC19" s="2" t="s">
        <v>168</v>
      </c>
      <c r="AD19" s="4">
        <v>100</v>
      </c>
      <c r="AE19" s="4">
        <v>100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/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7</v>
      </c>
      <c r="BK19" s="8">
        <v>476.84</v>
      </c>
      <c r="BL19" s="2" t="s">
        <v>169</v>
      </c>
      <c r="BM19" s="7"/>
      <c r="BN19" s="7"/>
      <c r="BO19" s="4"/>
      <c r="BP19" s="8"/>
      <c r="BQ19" s="4"/>
      <c r="BR19" s="8"/>
      <c r="BS19" s="7"/>
      <c r="BT19" s="7"/>
      <c r="BU19" s="2" t="s">
        <v>109</v>
      </c>
      <c r="BV19" s="2" t="s">
        <v>97</v>
      </c>
      <c r="BW19" s="2" t="s">
        <v>122</v>
      </c>
      <c r="BX19" s="2" t="s">
        <v>170</v>
      </c>
      <c r="BY19" s="2" t="s">
        <v>112</v>
      </c>
      <c r="BZ19" s="2" t="s">
        <v>100</v>
      </c>
    </row>
    <row r="20">
      <c r="A20" s="2" t="s">
        <v>171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124</v>
      </c>
      <c r="K20" s="2" t="s">
        <v>163</v>
      </c>
      <c r="L20" s="3">
        <v>63.06</v>
      </c>
      <c r="M20" s="3">
        <v>66.21</v>
      </c>
      <c r="N20" s="3">
        <v>119.99</v>
      </c>
      <c r="O20" s="2" t="s">
        <v>97</v>
      </c>
      <c r="P20" s="2" t="s">
        <v>98</v>
      </c>
      <c r="Q20" s="2" t="s">
        <v>99</v>
      </c>
      <c r="R20" s="2" t="s">
        <v>100</v>
      </c>
      <c r="S20" s="2" t="s">
        <v>164</v>
      </c>
      <c r="T20" s="2" t="s">
        <v>100</v>
      </c>
      <c r="U20" s="2" t="s">
        <v>102</v>
      </c>
      <c r="V20" s="2" t="s">
        <v>103</v>
      </c>
      <c r="W20" s="2" t="s">
        <v>104</v>
      </c>
      <c r="X20" s="2" t="s">
        <v>105</v>
      </c>
      <c r="Y20" s="2" t="s">
        <v>131</v>
      </c>
      <c r="Z20" s="4">
        <v>161</v>
      </c>
      <c r="AA20" s="4">
        <f>=ROUNDDOWN(23,0)</f>
      </c>
      <c r="AB20" s="5">
        <v>7</v>
      </c>
      <c r="AC20" s="2" t="s">
        <v>168</v>
      </c>
      <c r="AD20" s="4">
        <v>100</v>
      </c>
      <c r="AE20" s="4">
        <v>100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1</v>
      </c>
      <c r="AQ20" s="8">
        <v>77.25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1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2</v>
      </c>
      <c r="BK20" s="8">
        <v>146.85</v>
      </c>
      <c r="BL20" s="2" t="s">
        <v>172</v>
      </c>
      <c r="BM20" s="7">
        <v>0.5</v>
      </c>
      <c r="BN20" s="7">
        <v>0.526</v>
      </c>
      <c r="BO20" s="4">
        <v>1</v>
      </c>
      <c r="BP20" s="8">
        <v>77.25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122</v>
      </c>
      <c r="BX20" s="2" t="s">
        <v>173</v>
      </c>
      <c r="BY20" s="2" t="s">
        <v>112</v>
      </c>
      <c r="BZ20" s="2" t="s">
        <v>100</v>
      </c>
    </row>
    <row r="21">
      <c r="A21" s="2" t="s">
        <v>174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114</v>
      </c>
      <c r="K21" s="2" t="s">
        <v>175</v>
      </c>
      <c r="L21" s="3">
        <v>53.35</v>
      </c>
      <c r="M21" s="3">
        <v>56.02</v>
      </c>
      <c r="N21" s="3">
        <v>99.99</v>
      </c>
      <c r="O21" s="2" t="s">
        <v>97</v>
      </c>
      <c r="P21" s="2" t="s">
        <v>98</v>
      </c>
      <c r="Q21" s="2" t="s">
        <v>99</v>
      </c>
      <c r="R21" s="2" t="s">
        <v>100</v>
      </c>
      <c r="S21" s="2" t="s">
        <v>176</v>
      </c>
      <c r="T21" s="2" t="s">
        <v>100</v>
      </c>
      <c r="U21" s="2" t="s">
        <v>102</v>
      </c>
      <c r="V21" s="2" t="s">
        <v>103</v>
      </c>
      <c r="W21" s="2" t="s">
        <v>104</v>
      </c>
      <c r="X21" s="2" t="s">
        <v>105</v>
      </c>
      <c r="Y21" s="2" t="s">
        <v>131</v>
      </c>
      <c r="Z21" s="4">
        <v>409</v>
      </c>
      <c r="AA21" s="4">
        <f>=ROUNDDOWN(20.45,0)</f>
      </c>
      <c r="AB21" s="5">
        <v>20</v>
      </c>
      <c r="AC21" s="2" t="s">
        <v>165</v>
      </c>
      <c r="AD21" s="4">
        <v>70</v>
      </c>
      <c r="AE21" s="4">
        <v>340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>
        <v>1</v>
      </c>
      <c r="AW21" s="8">
        <v>77.25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/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>
        <v>0.0776</v>
      </c>
      <c r="BJ21" s="4">
        <v>13</v>
      </c>
      <c r="BK21" s="8">
        <v>749.79</v>
      </c>
      <c r="BL21" s="2" t="s">
        <v>177</v>
      </c>
      <c r="BM21" s="7"/>
      <c r="BN21" s="7"/>
      <c r="BO21" s="4"/>
      <c r="BP21" s="8"/>
      <c r="BQ21" s="4"/>
      <c r="BR21" s="8"/>
      <c r="BS21" s="7"/>
      <c r="BT21" s="7"/>
      <c r="BU21" s="2" t="s">
        <v>109</v>
      </c>
      <c r="BV21" s="2" t="s">
        <v>97</v>
      </c>
      <c r="BW21" s="2" t="s">
        <v>137</v>
      </c>
      <c r="BX21" s="2" t="s">
        <v>178</v>
      </c>
      <c r="BY21" s="2" t="s">
        <v>112</v>
      </c>
      <c r="BZ21" s="2" t="s">
        <v>100</v>
      </c>
    </row>
    <row r="22">
      <c r="A22" s="2" t="s">
        <v>179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94</v>
      </c>
      <c r="J22" s="2" t="s">
        <v>120</v>
      </c>
      <c r="K22" s="2" t="s">
        <v>175</v>
      </c>
      <c r="L22" s="3">
        <v>63.06</v>
      </c>
      <c r="M22" s="3">
        <v>66.21</v>
      </c>
      <c r="N22" s="3">
        <v>119.99</v>
      </c>
      <c r="O22" s="2" t="s">
        <v>97</v>
      </c>
      <c r="P22" s="2" t="s">
        <v>98</v>
      </c>
      <c r="Q22" s="2" t="s">
        <v>99</v>
      </c>
      <c r="R22" s="2" t="s">
        <v>100</v>
      </c>
      <c r="S22" s="2" t="s">
        <v>176</v>
      </c>
      <c r="T22" s="2" t="s">
        <v>100</v>
      </c>
      <c r="U22" s="2" t="s">
        <v>102</v>
      </c>
      <c r="V22" s="2" t="s">
        <v>103</v>
      </c>
      <c r="W22" s="2" t="s">
        <v>104</v>
      </c>
      <c r="X22" s="2" t="s">
        <v>105</v>
      </c>
      <c r="Y22" s="2" t="s">
        <v>131</v>
      </c>
      <c r="Z22" s="4">
        <v>255</v>
      </c>
      <c r="AA22" s="4">
        <f>=ROUNDDOWN(15.9375,0)</f>
      </c>
      <c r="AB22" s="5">
        <v>16</v>
      </c>
      <c r="AC22" s="2" t="s">
        <v>165</v>
      </c>
      <c r="AD22" s="4">
        <v>50</v>
      </c>
      <c r="AE22" s="4">
        <v>210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/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10</v>
      </c>
      <c r="BK22" s="8">
        <v>749.8</v>
      </c>
      <c r="BL22" s="2" t="s">
        <v>180</v>
      </c>
      <c r="BM22" s="7"/>
      <c r="BN22" s="7"/>
      <c r="BO22" s="4"/>
      <c r="BP22" s="8"/>
      <c r="BQ22" s="4"/>
      <c r="BR22" s="8"/>
      <c r="BS22" s="7"/>
      <c r="BT22" s="7"/>
      <c r="BU22" s="2" t="s">
        <v>109</v>
      </c>
      <c r="BV22" s="2" t="s">
        <v>97</v>
      </c>
      <c r="BW22" s="2" t="s">
        <v>137</v>
      </c>
      <c r="BX22" s="2" t="s">
        <v>181</v>
      </c>
      <c r="BY22" s="2" t="s">
        <v>112</v>
      </c>
      <c r="BZ22" s="2" t="s">
        <v>100</v>
      </c>
    </row>
    <row r="23">
      <c r="A23" s="2" t="s">
        <v>182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94</v>
      </c>
      <c r="J23" s="2" t="s">
        <v>124</v>
      </c>
      <c r="K23" s="2" t="s">
        <v>175</v>
      </c>
      <c r="L23" s="3">
        <v>63.06</v>
      </c>
      <c r="M23" s="3">
        <v>66.21</v>
      </c>
      <c r="N23" s="3">
        <v>119.99</v>
      </c>
      <c r="O23" s="2" t="s">
        <v>97</v>
      </c>
      <c r="P23" s="2" t="s">
        <v>98</v>
      </c>
      <c r="Q23" s="2" t="s">
        <v>99</v>
      </c>
      <c r="R23" s="2" t="s">
        <v>100</v>
      </c>
      <c r="S23" s="2" t="s">
        <v>176</v>
      </c>
      <c r="T23" s="2" t="s">
        <v>100</v>
      </c>
      <c r="U23" s="2" t="s">
        <v>102</v>
      </c>
      <c r="V23" s="2" t="s">
        <v>103</v>
      </c>
      <c r="W23" s="2" t="s">
        <v>104</v>
      </c>
      <c r="X23" s="2" t="s">
        <v>105</v>
      </c>
      <c r="Y23" s="2" t="s">
        <v>131</v>
      </c>
      <c r="Z23" s="4">
        <v>117</v>
      </c>
      <c r="AA23" s="4">
        <f>=ROUNDDOWN(16.7142857142857,0)</f>
      </c>
      <c r="AB23" s="5">
        <v>7</v>
      </c>
      <c r="AC23" s="2" t="s">
        <v>165</v>
      </c>
      <c r="AD23" s="4">
        <v>120</v>
      </c>
      <c r="AE23" s="4">
        <v>310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1</v>
      </c>
      <c r="AQ23" s="8">
        <v>77.25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1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2</v>
      </c>
      <c r="BK23" s="8">
        <v>153.41</v>
      </c>
      <c r="BL23" s="2" t="s">
        <v>183</v>
      </c>
      <c r="BM23" s="7">
        <v>0.5</v>
      </c>
      <c r="BN23" s="7">
        <v>0.5036</v>
      </c>
      <c r="BO23" s="4">
        <v>1</v>
      </c>
      <c r="BP23" s="8">
        <v>77.25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137</v>
      </c>
      <c r="BX23" s="2" t="s">
        <v>118</v>
      </c>
      <c r="BY23" s="2" t="s">
        <v>112</v>
      </c>
      <c r="BZ23" s="2" t="s">
        <v>100</v>
      </c>
    </row>
    <row r="24">
      <c r="A24" s="2" t="s">
        <v>184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114</v>
      </c>
      <c r="K24" s="2" t="s">
        <v>185</v>
      </c>
      <c r="L24" s="3">
        <v>53.35</v>
      </c>
      <c r="M24" s="3">
        <v>56.02</v>
      </c>
      <c r="N24" s="3">
        <v>99.99</v>
      </c>
      <c r="O24" s="2" t="s">
        <v>97</v>
      </c>
      <c r="P24" s="2" t="s">
        <v>98</v>
      </c>
      <c r="Q24" s="2" t="s">
        <v>99</v>
      </c>
      <c r="R24" s="2" t="s">
        <v>100</v>
      </c>
      <c r="S24" s="2" t="s">
        <v>186</v>
      </c>
      <c r="T24" s="2" t="s">
        <v>100</v>
      </c>
      <c r="U24" s="2" t="s">
        <v>102</v>
      </c>
      <c r="V24" s="2" t="s">
        <v>103</v>
      </c>
      <c r="W24" s="2" t="s">
        <v>104</v>
      </c>
      <c r="X24" s="2" t="s">
        <v>105</v>
      </c>
      <c r="Y24" s="2" t="s">
        <v>187</v>
      </c>
      <c r="Z24" s="4">
        <v>383</v>
      </c>
      <c r="AA24" s="4">
        <f>=ROUNDDOWN(15.32,0)</f>
      </c>
      <c r="AB24" s="5">
        <v>25</v>
      </c>
      <c r="AC24" s="2" t="s">
        <v>132</v>
      </c>
      <c r="AD24" s="4">
        <v>50</v>
      </c>
      <c r="AE24" s="4">
        <v>760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>
        <v>1</v>
      </c>
      <c r="AW24" s="8">
        <v>74.93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/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>
        <v>0.0753</v>
      </c>
      <c r="BJ24" s="4">
        <v>24</v>
      </c>
      <c r="BK24" s="8">
        <v>1372.52</v>
      </c>
      <c r="BL24" s="2" t="s">
        <v>188</v>
      </c>
      <c r="BM24" s="7"/>
      <c r="BN24" s="7"/>
      <c r="BO24" s="4"/>
      <c r="BP24" s="8"/>
      <c r="BQ24" s="4"/>
      <c r="BR24" s="8"/>
      <c r="BS24" s="7"/>
      <c r="BT24" s="7"/>
      <c r="BU24" s="2" t="s">
        <v>109</v>
      </c>
      <c r="BV24" s="2" t="s">
        <v>97</v>
      </c>
      <c r="BW24" s="2" t="s">
        <v>122</v>
      </c>
      <c r="BX24" s="2" t="s">
        <v>189</v>
      </c>
      <c r="BY24" s="2" t="s">
        <v>112</v>
      </c>
      <c r="BZ24" s="2" t="s">
        <v>100</v>
      </c>
    </row>
    <row r="25">
      <c r="A25" s="2" t="s">
        <v>190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120</v>
      </c>
      <c r="K25" s="2" t="s">
        <v>185</v>
      </c>
      <c r="L25" s="3">
        <v>63.06</v>
      </c>
      <c r="M25" s="3">
        <v>66.21</v>
      </c>
      <c r="N25" s="3">
        <v>119.99</v>
      </c>
      <c r="O25" s="2" t="s">
        <v>97</v>
      </c>
      <c r="P25" s="2" t="s">
        <v>98</v>
      </c>
      <c r="Q25" s="2" t="s">
        <v>99</v>
      </c>
      <c r="R25" s="2" t="s">
        <v>100</v>
      </c>
      <c r="S25" s="2" t="s">
        <v>186</v>
      </c>
      <c r="T25" s="2" t="s">
        <v>100</v>
      </c>
      <c r="U25" s="2" t="s">
        <v>102</v>
      </c>
      <c r="V25" s="2" t="s">
        <v>103</v>
      </c>
      <c r="W25" s="2" t="s">
        <v>104</v>
      </c>
      <c r="X25" s="2" t="s">
        <v>105</v>
      </c>
      <c r="Y25" s="2" t="s">
        <v>187</v>
      </c>
      <c r="Z25" s="4">
        <v>273</v>
      </c>
      <c r="AA25" s="4">
        <f>=ROUNDDOWN(17.0625,0)</f>
      </c>
      <c r="AB25" s="5">
        <v>16</v>
      </c>
      <c r="AC25" s="2" t="s">
        <v>132</v>
      </c>
      <c r="AD25" s="4">
        <v>30</v>
      </c>
      <c r="AE25" s="4">
        <v>320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/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10</v>
      </c>
      <c r="BK25" s="8">
        <v>670.8</v>
      </c>
      <c r="BL25" s="2" t="s">
        <v>191</v>
      </c>
      <c r="BM25" s="7"/>
      <c r="BN25" s="7"/>
      <c r="BO25" s="4"/>
      <c r="BP25" s="8"/>
      <c r="BQ25" s="4"/>
      <c r="BR25" s="8"/>
      <c r="BS25" s="7"/>
      <c r="BT25" s="7"/>
      <c r="BU25" s="2" t="s">
        <v>109</v>
      </c>
      <c r="BV25" s="2" t="s">
        <v>97</v>
      </c>
      <c r="BW25" s="2" t="s">
        <v>122</v>
      </c>
      <c r="BX25" s="2" t="s">
        <v>192</v>
      </c>
      <c r="BY25" s="2" t="s">
        <v>112</v>
      </c>
      <c r="BZ25" s="2" t="s">
        <v>100</v>
      </c>
    </row>
    <row r="26">
      <c r="A26" s="2" t="s">
        <v>193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124</v>
      </c>
      <c r="K26" s="2" t="s">
        <v>185</v>
      </c>
      <c r="L26" s="3">
        <v>63.06</v>
      </c>
      <c r="M26" s="3">
        <v>66.21</v>
      </c>
      <c r="N26" s="3">
        <v>119.99</v>
      </c>
      <c r="O26" s="2" t="s">
        <v>97</v>
      </c>
      <c r="P26" s="2" t="s">
        <v>98</v>
      </c>
      <c r="Q26" s="2" t="s">
        <v>99</v>
      </c>
      <c r="R26" s="2" t="s">
        <v>100</v>
      </c>
      <c r="S26" s="2" t="s">
        <v>186</v>
      </c>
      <c r="T26" s="2" t="s">
        <v>100</v>
      </c>
      <c r="U26" s="2" t="s">
        <v>102</v>
      </c>
      <c r="V26" s="2" t="s">
        <v>103</v>
      </c>
      <c r="W26" s="2" t="s">
        <v>104</v>
      </c>
      <c r="X26" s="2" t="s">
        <v>105</v>
      </c>
      <c r="Y26" s="2" t="s">
        <v>187</v>
      </c>
      <c r="Z26" s="4">
        <v>200</v>
      </c>
      <c r="AA26" s="4">
        <f>=ROUNDDOWN(22.2222222222222,0)</f>
      </c>
      <c r="AB26" s="5">
        <v>9</v>
      </c>
      <c r="AC26" s="2" t="s">
        <v>194</v>
      </c>
      <c r="AD26" s="4">
        <v>60</v>
      </c>
      <c r="AE26" s="4">
        <v>350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1</v>
      </c>
      <c r="AQ26" s="8">
        <v>74.93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1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8</v>
      </c>
      <c r="BK26" s="8">
        <v>568.79</v>
      </c>
      <c r="BL26" s="2" t="s">
        <v>195</v>
      </c>
      <c r="BM26" s="7">
        <v>0.125</v>
      </c>
      <c r="BN26" s="7">
        <v>0.1317</v>
      </c>
      <c r="BO26" s="4">
        <v>1</v>
      </c>
      <c r="BP26" s="8">
        <v>74.93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122</v>
      </c>
      <c r="BX26" s="2" t="s">
        <v>196</v>
      </c>
      <c r="BY26" s="2" t="s">
        <v>112</v>
      </c>
      <c r="BZ26" s="2" t="s">
        <v>100</v>
      </c>
    </row>
    <row r="27">
      <c r="A27" s="2" t="s">
        <v>197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91</v>
      </c>
      <c r="G27" s="2" t="s">
        <v>92</v>
      </c>
      <c r="H27" s="2" t="s">
        <v>93</v>
      </c>
      <c r="I27" s="2" t="s">
        <v>94</v>
      </c>
      <c r="J27" s="2" t="s">
        <v>95</v>
      </c>
      <c r="K27" s="2" t="s">
        <v>198</v>
      </c>
      <c r="L27" s="3">
        <v>49.9</v>
      </c>
      <c r="M27" s="3">
        <v>52.4</v>
      </c>
      <c r="N27" s="3">
        <v>89.99</v>
      </c>
      <c r="O27" s="2" t="s">
        <v>97</v>
      </c>
      <c r="P27" s="2" t="s">
        <v>98</v>
      </c>
      <c r="Q27" s="2" t="s">
        <v>99</v>
      </c>
      <c r="R27" s="2" t="s">
        <v>100</v>
      </c>
      <c r="S27" s="2" t="s">
        <v>199</v>
      </c>
      <c r="T27" s="2" t="s">
        <v>100</v>
      </c>
      <c r="U27" s="2" t="s">
        <v>102</v>
      </c>
      <c r="V27" s="2" t="s">
        <v>103</v>
      </c>
      <c r="W27" s="2" t="s">
        <v>104</v>
      </c>
      <c r="X27" s="2" t="s">
        <v>105</v>
      </c>
      <c r="Y27" s="2" t="s">
        <v>131</v>
      </c>
      <c r="Z27" s="4">
        <v>152</v>
      </c>
      <c r="AA27" s="4">
        <f>=ROUNDDOWN(38,0)</f>
      </c>
      <c r="AB27" s="5">
        <v>4</v>
      </c>
      <c r="AC27" s="2" t="s">
        <v>168</v>
      </c>
      <c r="AD27" s="4">
        <v>30</v>
      </c>
      <c r="AE27" s="4">
        <v>50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>
        <v>1</v>
      </c>
      <c r="AW27" s="8">
        <v>74.93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/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>
        <v>0.0753</v>
      </c>
      <c r="BJ27" s="4">
        <v>4</v>
      </c>
      <c r="BK27" s="8">
        <v>209.08</v>
      </c>
      <c r="BL27" s="2" t="s">
        <v>200</v>
      </c>
      <c r="BM27" s="7"/>
      <c r="BN27" s="7"/>
      <c r="BO27" s="4"/>
      <c r="BP27" s="8"/>
      <c r="BQ27" s="4"/>
      <c r="BR27" s="8"/>
      <c r="BS27" s="7"/>
      <c r="BT27" s="7"/>
      <c r="BU27" s="2" t="s">
        <v>109</v>
      </c>
      <c r="BV27" s="2" t="s">
        <v>97</v>
      </c>
      <c r="BW27" s="2" t="s">
        <v>201</v>
      </c>
      <c r="BX27" s="2" t="s">
        <v>202</v>
      </c>
      <c r="BY27" s="2" t="s">
        <v>112</v>
      </c>
      <c r="BZ27" s="2" t="s">
        <v>100</v>
      </c>
    </row>
    <row r="28">
      <c r="A28" s="2" t="s">
        <v>203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2" t="s">
        <v>93</v>
      </c>
      <c r="I28" s="2" t="s">
        <v>94</v>
      </c>
      <c r="J28" s="2" t="s">
        <v>114</v>
      </c>
      <c r="K28" s="2" t="s">
        <v>198</v>
      </c>
      <c r="L28" s="3">
        <v>53.35</v>
      </c>
      <c r="M28" s="3">
        <v>56.02</v>
      </c>
      <c r="N28" s="3">
        <v>99.99</v>
      </c>
      <c r="O28" s="2" t="s">
        <v>97</v>
      </c>
      <c r="P28" s="2" t="s">
        <v>98</v>
      </c>
      <c r="Q28" s="2" t="s">
        <v>99</v>
      </c>
      <c r="R28" s="2" t="s">
        <v>100</v>
      </c>
      <c r="S28" s="2" t="s">
        <v>199</v>
      </c>
      <c r="T28" s="2" t="s">
        <v>100</v>
      </c>
      <c r="U28" s="2" t="s">
        <v>102</v>
      </c>
      <c r="V28" s="2" t="s">
        <v>103</v>
      </c>
      <c r="W28" s="2" t="s">
        <v>104</v>
      </c>
      <c r="X28" s="2" t="s">
        <v>105</v>
      </c>
      <c r="Y28" s="2" t="s">
        <v>131</v>
      </c>
      <c r="Z28" s="4">
        <v>444</v>
      </c>
      <c r="AA28" s="4">
        <f>=ROUNDDOWN(23.3684210526316,0)</f>
      </c>
      <c r="AB28" s="5">
        <v>19</v>
      </c>
      <c r="AC28" s="2" t="s">
        <v>165</v>
      </c>
      <c r="AD28" s="4">
        <v>30</v>
      </c>
      <c r="AE28" s="4">
        <v>320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/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 t="s">
        <v>100</v>
      </c>
      <c r="BJ28" s="4">
        <v>7</v>
      </c>
      <c r="BK28" s="8">
        <v>376.83</v>
      </c>
      <c r="BL28" s="2" t="s">
        <v>204</v>
      </c>
      <c r="BM28" s="7"/>
      <c r="BN28" s="7"/>
      <c r="BO28" s="4"/>
      <c r="BP28" s="8"/>
      <c r="BQ28" s="4"/>
      <c r="BR28" s="8"/>
      <c r="BS28" s="7"/>
      <c r="BT28" s="7"/>
      <c r="BU28" s="2" t="s">
        <v>109</v>
      </c>
      <c r="BV28" s="2" t="s">
        <v>97</v>
      </c>
      <c r="BW28" s="2" t="s">
        <v>137</v>
      </c>
      <c r="BX28" s="2" t="s">
        <v>205</v>
      </c>
      <c r="BY28" s="2" t="s">
        <v>112</v>
      </c>
      <c r="BZ28" s="2" t="s">
        <v>100</v>
      </c>
    </row>
    <row r="29">
      <c r="A29" s="2" t="s">
        <v>206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91</v>
      </c>
      <c r="G29" s="2" t="s">
        <v>92</v>
      </c>
      <c r="H29" s="2" t="s">
        <v>93</v>
      </c>
      <c r="I29" s="2" t="s">
        <v>94</v>
      </c>
      <c r="J29" s="2" t="s">
        <v>120</v>
      </c>
      <c r="K29" s="2" t="s">
        <v>198</v>
      </c>
      <c r="L29" s="3">
        <v>63.06</v>
      </c>
      <c r="M29" s="3">
        <v>66.21</v>
      </c>
      <c r="N29" s="3">
        <v>119.99</v>
      </c>
      <c r="O29" s="2" t="s">
        <v>97</v>
      </c>
      <c r="P29" s="2" t="s">
        <v>98</v>
      </c>
      <c r="Q29" s="2" t="s">
        <v>99</v>
      </c>
      <c r="R29" s="2" t="s">
        <v>100</v>
      </c>
      <c r="S29" s="2" t="s">
        <v>199</v>
      </c>
      <c r="T29" s="2" t="s">
        <v>100</v>
      </c>
      <c r="U29" s="2" t="s">
        <v>102</v>
      </c>
      <c r="V29" s="2" t="s">
        <v>103</v>
      </c>
      <c r="W29" s="2" t="s">
        <v>104</v>
      </c>
      <c r="X29" s="2" t="s">
        <v>105</v>
      </c>
      <c r="Y29" s="2" t="s">
        <v>131</v>
      </c>
      <c r="Z29" s="4">
        <v>402</v>
      </c>
      <c r="AA29" s="4">
        <f>=ROUNDDOWN(23.6470588235294,0)</f>
      </c>
      <c r="AB29" s="5">
        <v>17</v>
      </c>
      <c r="AC29" s="2" t="s">
        <v>165</v>
      </c>
      <c r="AD29" s="4">
        <v>30</v>
      </c>
      <c r="AE29" s="4">
        <v>350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</v>
      </c>
      <c r="AQ29" s="8">
        <v>74.93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1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6</v>
      </c>
      <c r="BK29" s="8">
        <v>415.6</v>
      </c>
      <c r="BL29" s="2" t="s">
        <v>207</v>
      </c>
      <c r="BM29" s="7">
        <v>0.1667</v>
      </c>
      <c r="BN29" s="7">
        <v>0.1803</v>
      </c>
      <c r="BO29" s="4">
        <v>1</v>
      </c>
      <c r="BP29" s="8">
        <v>74.93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137</v>
      </c>
      <c r="BX29" s="2" t="s">
        <v>208</v>
      </c>
      <c r="BY29" s="2" t="s">
        <v>112</v>
      </c>
      <c r="BZ29" s="2" t="s">
        <v>100</v>
      </c>
    </row>
    <row r="30">
      <c r="A30" s="2" t="s">
        <v>209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91</v>
      </c>
      <c r="G30" s="2" t="s">
        <v>92</v>
      </c>
      <c r="H30" s="2" t="s">
        <v>93</v>
      </c>
      <c r="I30" s="2" t="s">
        <v>94</v>
      </c>
      <c r="J30" s="2" t="s">
        <v>124</v>
      </c>
      <c r="K30" s="2" t="s">
        <v>198</v>
      </c>
      <c r="L30" s="3">
        <v>63.06</v>
      </c>
      <c r="M30" s="3">
        <v>66.21</v>
      </c>
      <c r="N30" s="3">
        <v>119.99</v>
      </c>
      <c r="O30" s="2" t="s">
        <v>97</v>
      </c>
      <c r="P30" s="2" t="s">
        <v>98</v>
      </c>
      <c r="Q30" s="2" t="s">
        <v>99</v>
      </c>
      <c r="R30" s="2" t="s">
        <v>100</v>
      </c>
      <c r="S30" s="2" t="s">
        <v>199</v>
      </c>
      <c r="T30" s="2" t="s">
        <v>100</v>
      </c>
      <c r="U30" s="2" t="s">
        <v>102</v>
      </c>
      <c r="V30" s="2" t="s">
        <v>103</v>
      </c>
      <c r="W30" s="2" t="s">
        <v>104</v>
      </c>
      <c r="X30" s="2" t="s">
        <v>105</v>
      </c>
      <c r="Y30" s="2" t="s">
        <v>131</v>
      </c>
      <c r="Z30" s="4">
        <v>228</v>
      </c>
      <c r="AA30" s="4">
        <f>=ROUNDDOWN(22.8,0)</f>
      </c>
      <c r="AB30" s="5">
        <v>10</v>
      </c>
      <c r="AC30" s="2" t="s">
        <v>165</v>
      </c>
      <c r="AD30" s="4">
        <v>30</v>
      </c>
      <c r="AE30" s="4">
        <v>230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/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1</v>
      </c>
      <c r="BK30" s="8">
        <v>63.96</v>
      </c>
      <c r="BL30" s="2" t="s">
        <v>210</v>
      </c>
      <c r="BM30" s="7"/>
      <c r="BN30" s="7"/>
      <c r="BO30" s="4"/>
      <c r="BP30" s="8"/>
      <c r="BQ30" s="4"/>
      <c r="BR30" s="8"/>
      <c r="BS30" s="7"/>
      <c r="BT30" s="7"/>
      <c r="BU30" s="2" t="s">
        <v>109</v>
      </c>
      <c r="BV30" s="2" t="s">
        <v>97</v>
      </c>
      <c r="BW30" s="2" t="s">
        <v>137</v>
      </c>
      <c r="BX30" s="2" t="s">
        <v>211</v>
      </c>
      <c r="BY30" s="2" t="s">
        <v>112</v>
      </c>
      <c r="BZ30" s="2" t="s">
        <v>100</v>
      </c>
    </row>
    <row r="31">
      <c r="A31" s="2" t="s">
        <v>212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91</v>
      </c>
      <c r="G31" s="2" t="s">
        <v>92</v>
      </c>
      <c r="H31" s="2" t="s">
        <v>93</v>
      </c>
      <c r="I31" s="2" t="s">
        <v>94</v>
      </c>
      <c r="J31" s="2" t="s">
        <v>95</v>
      </c>
      <c r="K31" s="2" t="s">
        <v>213</v>
      </c>
      <c r="L31" s="3">
        <v>49.9</v>
      </c>
      <c r="M31" s="3">
        <v>52.4</v>
      </c>
      <c r="N31" s="3">
        <v>89.99</v>
      </c>
      <c r="O31" s="2" t="s">
        <v>97</v>
      </c>
      <c r="P31" s="2" t="s">
        <v>98</v>
      </c>
      <c r="Q31" s="2" t="s">
        <v>99</v>
      </c>
      <c r="R31" s="2" t="s">
        <v>100</v>
      </c>
      <c r="S31" s="2" t="s">
        <v>214</v>
      </c>
      <c r="T31" s="2" t="s">
        <v>100</v>
      </c>
      <c r="U31" s="2" t="s">
        <v>102</v>
      </c>
      <c r="V31" s="2" t="s">
        <v>103</v>
      </c>
      <c r="W31" s="2" t="s">
        <v>104</v>
      </c>
      <c r="X31" s="2" t="s">
        <v>105</v>
      </c>
      <c r="Y31" s="2" t="s">
        <v>131</v>
      </c>
      <c r="Z31" s="4">
        <v>107</v>
      </c>
      <c r="AA31" s="4">
        <f>=ROUNDDOWN(17.8333333333333,0)</f>
      </c>
      <c r="AB31" s="5">
        <v>6</v>
      </c>
      <c r="AC31" s="2" t="s">
        <v>107</v>
      </c>
      <c r="AD31" s="4">
        <v>40</v>
      </c>
      <c r="AE31" s="4">
        <v>240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>
        <v>1</v>
      </c>
      <c r="AW31" s="8">
        <v>65.36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/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>
        <v>0.0657</v>
      </c>
      <c r="BJ31" s="4">
        <v>3</v>
      </c>
      <c r="BK31" s="8">
        <v>166.5</v>
      </c>
      <c r="BL31" s="2" t="s">
        <v>215</v>
      </c>
      <c r="BM31" s="7"/>
      <c r="BN31" s="7"/>
      <c r="BO31" s="4"/>
      <c r="BP31" s="8"/>
      <c r="BQ31" s="4"/>
      <c r="BR31" s="8"/>
      <c r="BS31" s="7"/>
      <c r="BT31" s="7"/>
      <c r="BU31" s="2" t="s">
        <v>109</v>
      </c>
      <c r="BV31" s="2" t="s">
        <v>97</v>
      </c>
      <c r="BW31" s="2" t="s">
        <v>122</v>
      </c>
      <c r="BX31" s="2" t="s">
        <v>216</v>
      </c>
      <c r="BY31" s="2" t="s">
        <v>112</v>
      </c>
      <c r="BZ31" s="2" t="s">
        <v>100</v>
      </c>
    </row>
    <row r="32">
      <c r="A32" s="2" t="s">
        <v>217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91</v>
      </c>
      <c r="G32" s="2" t="s">
        <v>92</v>
      </c>
      <c r="H32" s="2" t="s">
        <v>93</v>
      </c>
      <c r="I32" s="2" t="s">
        <v>94</v>
      </c>
      <c r="J32" s="2" t="s">
        <v>114</v>
      </c>
      <c r="K32" s="2" t="s">
        <v>213</v>
      </c>
      <c r="L32" s="3">
        <v>53.35</v>
      </c>
      <c r="M32" s="3">
        <v>56.02</v>
      </c>
      <c r="N32" s="3">
        <v>99.99</v>
      </c>
      <c r="O32" s="2" t="s">
        <v>97</v>
      </c>
      <c r="P32" s="2" t="s">
        <v>98</v>
      </c>
      <c r="Q32" s="2" t="s">
        <v>99</v>
      </c>
      <c r="R32" s="2" t="s">
        <v>100</v>
      </c>
      <c r="S32" s="2" t="s">
        <v>214</v>
      </c>
      <c r="T32" s="2" t="s">
        <v>100</v>
      </c>
      <c r="U32" s="2" t="s">
        <v>102</v>
      </c>
      <c r="V32" s="2" t="s">
        <v>103</v>
      </c>
      <c r="W32" s="2" t="s">
        <v>104</v>
      </c>
      <c r="X32" s="2" t="s">
        <v>105</v>
      </c>
      <c r="Y32" s="2" t="s">
        <v>131</v>
      </c>
      <c r="Z32" s="4">
        <v>284</v>
      </c>
      <c r="AA32" s="4">
        <f>=ROUNDDOWN(18.9333333333333,0)</f>
      </c>
      <c r="AB32" s="5">
        <v>15</v>
      </c>
      <c r="AC32" s="2" t="s">
        <v>107</v>
      </c>
      <c r="AD32" s="4">
        <v>120</v>
      </c>
      <c r="AE32" s="4">
        <v>270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1</v>
      </c>
      <c r="AQ32" s="8">
        <v>65.36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1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7</v>
      </c>
      <c r="BK32" s="8">
        <v>404.61</v>
      </c>
      <c r="BL32" s="2" t="s">
        <v>218</v>
      </c>
      <c r="BM32" s="7">
        <v>0.1429</v>
      </c>
      <c r="BN32" s="7">
        <v>0.1615</v>
      </c>
      <c r="BO32" s="4">
        <v>1</v>
      </c>
      <c r="BP32" s="8">
        <v>65.36</v>
      </c>
      <c r="BQ32" s="4"/>
      <c r="BR32" s="8"/>
      <c r="BS32" s="7"/>
      <c r="BT32" s="7"/>
      <c r="BU32" s="2" t="s">
        <v>109</v>
      </c>
      <c r="BV32" s="2" t="s">
        <v>97</v>
      </c>
      <c r="BW32" s="2" t="s">
        <v>122</v>
      </c>
      <c r="BX32" s="2" t="s">
        <v>219</v>
      </c>
      <c r="BY32" s="2" t="s">
        <v>112</v>
      </c>
      <c r="BZ32" s="2" t="s">
        <v>100</v>
      </c>
    </row>
    <row r="33">
      <c r="A33" s="2" t="s">
        <v>220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91</v>
      </c>
      <c r="G33" s="2" t="s">
        <v>92</v>
      </c>
      <c r="H33" s="2" t="s">
        <v>93</v>
      </c>
      <c r="I33" s="2" t="s">
        <v>94</v>
      </c>
      <c r="J33" s="2" t="s">
        <v>120</v>
      </c>
      <c r="K33" s="2" t="s">
        <v>213</v>
      </c>
      <c r="L33" s="3">
        <v>63.06</v>
      </c>
      <c r="M33" s="3">
        <v>66.21</v>
      </c>
      <c r="N33" s="3">
        <v>119.99</v>
      </c>
      <c r="O33" s="2" t="s">
        <v>97</v>
      </c>
      <c r="P33" s="2" t="s">
        <v>98</v>
      </c>
      <c r="Q33" s="2" t="s">
        <v>99</v>
      </c>
      <c r="R33" s="2" t="s">
        <v>100</v>
      </c>
      <c r="S33" s="2" t="s">
        <v>214</v>
      </c>
      <c r="T33" s="2" t="s">
        <v>100</v>
      </c>
      <c r="U33" s="2" t="s">
        <v>102</v>
      </c>
      <c r="V33" s="2" t="s">
        <v>103</v>
      </c>
      <c r="W33" s="2" t="s">
        <v>104</v>
      </c>
      <c r="X33" s="2" t="s">
        <v>105</v>
      </c>
      <c r="Y33" s="2" t="s">
        <v>131</v>
      </c>
      <c r="Z33" s="4">
        <v>180</v>
      </c>
      <c r="AA33" s="4">
        <f>=ROUNDDOWN(15,0)</f>
      </c>
      <c r="AB33" s="5">
        <v>12</v>
      </c>
      <c r="AC33" s="2" t="s">
        <v>107</v>
      </c>
      <c r="AD33" s="4">
        <v>120</v>
      </c>
      <c r="AE33" s="4">
        <v>280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4</v>
      </c>
      <c r="BK33" s="8">
        <v>271.22</v>
      </c>
      <c r="BL33" s="2" t="s">
        <v>221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97</v>
      </c>
      <c r="BW33" s="2" t="s">
        <v>122</v>
      </c>
      <c r="BX33" s="2" t="s">
        <v>222</v>
      </c>
      <c r="BY33" s="2" t="s">
        <v>112</v>
      </c>
      <c r="BZ33" s="2" t="s">
        <v>100</v>
      </c>
    </row>
    <row r="34">
      <c r="A34" s="2" t="s">
        <v>223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124</v>
      </c>
      <c r="K34" s="2" t="s">
        <v>213</v>
      </c>
      <c r="L34" s="3">
        <v>63.06</v>
      </c>
      <c r="M34" s="3">
        <v>66.21</v>
      </c>
      <c r="N34" s="3">
        <v>119.99</v>
      </c>
      <c r="O34" s="2" t="s">
        <v>97</v>
      </c>
      <c r="P34" s="2" t="s">
        <v>98</v>
      </c>
      <c r="Q34" s="2" t="s">
        <v>99</v>
      </c>
      <c r="R34" s="2" t="s">
        <v>100</v>
      </c>
      <c r="S34" s="2" t="s">
        <v>214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105</v>
      </c>
      <c r="Y34" s="2" t="s">
        <v>131</v>
      </c>
      <c r="Z34" s="4">
        <v>174</v>
      </c>
      <c r="AA34" s="4">
        <f>=ROUNDDOWN(19.3333333333333,0)</f>
      </c>
      <c r="AB34" s="5">
        <v>9</v>
      </c>
      <c r="AC34" s="2" t="s">
        <v>107</v>
      </c>
      <c r="AD34" s="4">
        <v>50</v>
      </c>
      <c r="AE34" s="4">
        <v>140</v>
      </c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3</v>
      </c>
      <c r="BK34" s="8">
        <v>193.83</v>
      </c>
      <c r="BL34" s="2" t="s">
        <v>224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97</v>
      </c>
      <c r="BW34" s="2" t="s">
        <v>122</v>
      </c>
      <c r="BX34" s="2" t="s">
        <v>225</v>
      </c>
      <c r="BY34" s="2" t="s">
        <v>112</v>
      </c>
      <c r="BZ34" s="2" t="s">
        <v>100</v>
      </c>
    </row>
    <row r="35">
      <c r="A35" s="2" t="s">
        <v>226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91</v>
      </c>
      <c r="G35" s="2" t="s">
        <v>92</v>
      </c>
      <c r="H35" s="2" t="s">
        <v>93</v>
      </c>
      <c r="I35" s="2" t="s">
        <v>94</v>
      </c>
      <c r="J35" s="2" t="s">
        <v>114</v>
      </c>
      <c r="K35" s="2" t="s">
        <v>227</v>
      </c>
      <c r="L35" s="3">
        <v>53.35</v>
      </c>
      <c r="M35" s="3">
        <v>56.02</v>
      </c>
      <c r="N35" s="3">
        <v>99.99</v>
      </c>
      <c r="O35" s="2" t="s">
        <v>97</v>
      </c>
      <c r="P35" s="2" t="s">
        <v>98</v>
      </c>
      <c r="Q35" s="2" t="s">
        <v>99</v>
      </c>
      <c r="R35" s="2" t="s">
        <v>100</v>
      </c>
      <c r="S35" s="2" t="s">
        <v>228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105</v>
      </c>
      <c r="Y35" s="2" t="s">
        <v>131</v>
      </c>
      <c r="Z35" s="4">
        <v>247</v>
      </c>
      <c r="AA35" s="4">
        <f>=ROUNDDOWN(17.6428571428571,0)</f>
      </c>
      <c r="AB35" s="5">
        <v>14</v>
      </c>
      <c r="AC35" s="2" t="s">
        <v>132</v>
      </c>
      <c r="AD35" s="4">
        <v>30</v>
      </c>
      <c r="AE35" s="4">
        <v>570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10</v>
      </c>
      <c r="BK35" s="8">
        <v>584.73</v>
      </c>
      <c r="BL35" s="2" t="s">
        <v>229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97</v>
      </c>
      <c r="BW35" s="2" t="s">
        <v>122</v>
      </c>
      <c r="BX35" s="2" t="s">
        <v>230</v>
      </c>
      <c r="BY35" s="2" t="s">
        <v>112</v>
      </c>
      <c r="BZ35" s="2" t="s">
        <v>100</v>
      </c>
    </row>
    <row r="36">
      <c r="A36" s="2" t="s">
        <v>231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91</v>
      </c>
      <c r="G36" s="2" t="s">
        <v>92</v>
      </c>
      <c r="H36" s="2" t="s">
        <v>93</v>
      </c>
      <c r="I36" s="2" t="s">
        <v>94</v>
      </c>
      <c r="J36" s="2" t="s">
        <v>120</v>
      </c>
      <c r="K36" s="2" t="s">
        <v>227</v>
      </c>
      <c r="L36" s="3">
        <v>63.06</v>
      </c>
      <c r="M36" s="3">
        <v>66.21</v>
      </c>
      <c r="N36" s="3">
        <v>119.99</v>
      </c>
      <c r="O36" s="2" t="s">
        <v>97</v>
      </c>
      <c r="P36" s="2" t="s">
        <v>98</v>
      </c>
      <c r="Q36" s="2" t="s">
        <v>99</v>
      </c>
      <c r="R36" s="2" t="s">
        <v>100</v>
      </c>
      <c r="S36" s="2" t="s">
        <v>228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105</v>
      </c>
      <c r="Y36" s="2" t="s">
        <v>131</v>
      </c>
      <c r="Z36" s="4">
        <v>170</v>
      </c>
      <c r="AA36" s="4">
        <f>=ROUNDDOWN(15.4545454545455,0)</f>
      </c>
      <c r="AB36" s="5">
        <v>11</v>
      </c>
      <c r="AC36" s="2" t="s">
        <v>132</v>
      </c>
      <c r="AD36" s="4">
        <v>40</v>
      </c>
      <c r="AE36" s="4">
        <v>300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/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7</v>
      </c>
      <c r="BK36" s="8">
        <v>487.32</v>
      </c>
      <c r="BL36" s="2" t="s">
        <v>232</v>
      </c>
      <c r="BM36" s="7"/>
      <c r="BN36" s="7"/>
      <c r="BO36" s="4"/>
      <c r="BP36" s="8"/>
      <c r="BQ36" s="4"/>
      <c r="BR36" s="8"/>
      <c r="BS36" s="7"/>
      <c r="BT36" s="7"/>
      <c r="BU36" s="2" t="s">
        <v>109</v>
      </c>
      <c r="BV36" s="2" t="s">
        <v>97</v>
      </c>
      <c r="BW36" s="2" t="s">
        <v>122</v>
      </c>
      <c r="BX36" s="2" t="s">
        <v>233</v>
      </c>
      <c r="BY36" s="2" t="s">
        <v>112</v>
      </c>
      <c r="BZ36" s="2" t="s">
        <v>100</v>
      </c>
    </row>
    <row r="37">
      <c r="A37" s="2" t="s">
        <v>234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91</v>
      </c>
      <c r="G37" s="2" t="s">
        <v>92</v>
      </c>
      <c r="H37" s="2" t="s">
        <v>93</v>
      </c>
      <c r="I37" s="2" t="s">
        <v>94</v>
      </c>
      <c r="J37" s="2" t="s">
        <v>124</v>
      </c>
      <c r="K37" s="2" t="s">
        <v>227</v>
      </c>
      <c r="L37" s="3">
        <v>63.06</v>
      </c>
      <c r="M37" s="3">
        <v>66.21</v>
      </c>
      <c r="N37" s="3">
        <v>119.99</v>
      </c>
      <c r="O37" s="2" t="s">
        <v>97</v>
      </c>
      <c r="P37" s="2" t="s">
        <v>98</v>
      </c>
      <c r="Q37" s="2" t="s">
        <v>99</v>
      </c>
      <c r="R37" s="2" t="s">
        <v>100</v>
      </c>
      <c r="S37" s="2" t="s">
        <v>228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105</v>
      </c>
      <c r="Y37" s="2" t="s">
        <v>131</v>
      </c>
      <c r="Z37" s="4">
        <v>138</v>
      </c>
      <c r="AA37" s="4">
        <f>=ROUNDDOWN(27.6,0)</f>
      </c>
      <c r="AB37" s="5">
        <v>5</v>
      </c>
      <c r="AC37" s="2" t="s">
        <v>194</v>
      </c>
      <c r="AD37" s="4">
        <v>30</v>
      </c>
      <c r="AE37" s="4">
        <v>120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/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1</v>
      </c>
      <c r="BK37" s="8">
        <v>118.79</v>
      </c>
      <c r="BL37" s="2" t="s">
        <v>235</v>
      </c>
      <c r="BM37" s="7"/>
      <c r="BN37" s="7"/>
      <c r="BO37" s="4"/>
      <c r="BP37" s="8"/>
      <c r="BQ37" s="4"/>
      <c r="BR37" s="8"/>
      <c r="BS37" s="7"/>
      <c r="BT37" s="7"/>
      <c r="BU37" s="2" t="s">
        <v>109</v>
      </c>
      <c r="BV37" s="2" t="s">
        <v>97</v>
      </c>
      <c r="BW37" s="2" t="s">
        <v>122</v>
      </c>
      <c r="BX37" s="2" t="s">
        <v>236</v>
      </c>
      <c r="BY37" s="2" t="s">
        <v>112</v>
      </c>
      <c r="BZ37" s="2" t="s">
        <v>100</v>
      </c>
    </row>
    <row r="38">
      <c r="A38" s="2" t="s">
        <v>237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238</v>
      </c>
      <c r="G38" s="2" t="s">
        <v>239</v>
      </c>
      <c r="H38" s="2" t="s">
        <v>240</v>
      </c>
      <c r="I38" s="2" t="s">
        <v>241</v>
      </c>
      <c r="J38" s="2" t="s">
        <v>114</v>
      </c>
      <c r="K38" s="2" t="s">
        <v>163</v>
      </c>
      <c r="L38" s="3">
        <v>55.2</v>
      </c>
      <c r="M38" s="3">
        <v>57.95</v>
      </c>
      <c r="N38" s="3">
        <v>114.99</v>
      </c>
      <c r="O38" s="2" t="s">
        <v>97</v>
      </c>
      <c r="P38" s="2" t="s">
        <v>242</v>
      </c>
      <c r="Q38" s="2" t="s">
        <v>99</v>
      </c>
      <c r="R38" s="2" t="s">
        <v>100</v>
      </c>
      <c r="S38" s="2" t="s">
        <v>243</v>
      </c>
      <c r="T38" s="2" t="s">
        <v>100</v>
      </c>
      <c r="U38" s="2" t="s">
        <v>102</v>
      </c>
      <c r="V38" s="2" t="s">
        <v>103</v>
      </c>
      <c r="W38" s="2" t="s">
        <v>104</v>
      </c>
      <c r="X38" s="2" t="s">
        <v>244</v>
      </c>
      <c r="Y38" s="2" t="s">
        <v>131</v>
      </c>
      <c r="Z38" s="4">
        <v>1555</v>
      </c>
      <c r="AA38" s="4">
        <f>=ROUNDDOWN(33.804347826087,0)</f>
      </c>
      <c r="AB38" s="5">
        <v>46</v>
      </c>
      <c r="AC38" s="2" t="s">
        <v>100</v>
      </c>
      <c r="AD38" s="4"/>
      <c r="AE38" s="4"/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>
        <v>6</v>
      </c>
      <c r="AQ38" s="8">
        <v>328.02</v>
      </c>
      <c r="AR38" s="4"/>
      <c r="AS38" s="8"/>
      <c r="AT38" s="7"/>
      <c r="AU38" s="7"/>
      <c r="AV38" s="4">
        <v>8</v>
      </c>
      <c r="AW38" s="8">
        <v>459.22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0.7143</v>
      </c>
      <c r="BC38" s="4">
        <v>13</v>
      </c>
      <c r="BD38" s="8">
        <v>781.43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>
        <v>0.5877</v>
      </c>
      <c r="BJ38" s="4">
        <v>52</v>
      </c>
      <c r="BK38" s="8">
        <v>2851.11</v>
      </c>
      <c r="BL38" s="2" t="s">
        <v>245</v>
      </c>
      <c r="BM38" s="7">
        <v>0.1154</v>
      </c>
      <c r="BN38" s="7">
        <v>0.115</v>
      </c>
      <c r="BO38" s="4">
        <v>6</v>
      </c>
      <c r="BP38" s="8">
        <v>328.02</v>
      </c>
      <c r="BQ38" s="4"/>
      <c r="BR38" s="8"/>
      <c r="BS38" s="7"/>
      <c r="BT38" s="7"/>
      <c r="BU38" s="2" t="s">
        <v>109</v>
      </c>
      <c r="BV38" s="2" t="s">
        <v>97</v>
      </c>
      <c r="BW38" s="2" t="s">
        <v>122</v>
      </c>
      <c r="BX38" s="2" t="s">
        <v>246</v>
      </c>
      <c r="BY38" s="2" t="s">
        <v>112</v>
      </c>
      <c r="BZ38" s="2" t="s">
        <v>100</v>
      </c>
    </row>
    <row r="39">
      <c r="A39" s="2" t="s">
        <v>247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238</v>
      </c>
      <c r="G39" s="2" t="s">
        <v>239</v>
      </c>
      <c r="H39" s="2" t="s">
        <v>240</v>
      </c>
      <c r="I39" s="2" t="s">
        <v>241</v>
      </c>
      <c r="J39" s="2" t="s">
        <v>120</v>
      </c>
      <c r="K39" s="2" t="s">
        <v>163</v>
      </c>
      <c r="L39" s="3">
        <v>66.15</v>
      </c>
      <c r="M39" s="3">
        <v>69.45</v>
      </c>
      <c r="N39" s="3">
        <v>134.99</v>
      </c>
      <c r="O39" s="2" t="s">
        <v>97</v>
      </c>
      <c r="P39" s="2" t="s">
        <v>242</v>
      </c>
      <c r="Q39" s="2" t="s">
        <v>99</v>
      </c>
      <c r="R39" s="2" t="s">
        <v>100</v>
      </c>
      <c r="S39" s="2" t="s">
        <v>243</v>
      </c>
      <c r="T39" s="2" t="s">
        <v>100</v>
      </c>
      <c r="U39" s="2" t="s">
        <v>102</v>
      </c>
      <c r="V39" s="2" t="s">
        <v>103</v>
      </c>
      <c r="W39" s="2" t="s">
        <v>104</v>
      </c>
      <c r="X39" s="2" t="s">
        <v>244</v>
      </c>
      <c r="Y39" s="2" t="s">
        <v>131</v>
      </c>
      <c r="Z39" s="4">
        <v>1321</v>
      </c>
      <c r="AA39" s="4">
        <f>=ROUNDDOWN(42.6129032258064,0)</f>
      </c>
      <c r="AB39" s="5">
        <v>31</v>
      </c>
      <c r="AC39" s="2" t="s">
        <v>168</v>
      </c>
      <c r="AD39" s="4">
        <v>150</v>
      </c>
      <c r="AE39" s="4">
        <v>150</v>
      </c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1</v>
      </c>
      <c r="AQ39" s="8">
        <v>65.6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0.1429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21</v>
      </c>
      <c r="BK39" s="8">
        <v>1361</v>
      </c>
      <c r="BL39" s="2" t="s">
        <v>248</v>
      </c>
      <c r="BM39" s="7">
        <v>0.0476</v>
      </c>
      <c r="BN39" s="7">
        <v>0.0482</v>
      </c>
      <c r="BO39" s="4">
        <v>1</v>
      </c>
      <c r="BP39" s="8">
        <v>65.6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122</v>
      </c>
      <c r="BX39" s="2" t="s">
        <v>249</v>
      </c>
      <c r="BY39" s="2" t="s">
        <v>112</v>
      </c>
      <c r="BZ39" s="2" t="s">
        <v>100</v>
      </c>
    </row>
    <row r="40">
      <c r="A40" s="2" t="s">
        <v>250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238</v>
      </c>
      <c r="G40" s="2" t="s">
        <v>239</v>
      </c>
      <c r="H40" s="2" t="s">
        <v>240</v>
      </c>
      <c r="I40" s="2" t="s">
        <v>241</v>
      </c>
      <c r="J40" s="2" t="s">
        <v>124</v>
      </c>
      <c r="K40" s="2" t="s">
        <v>163</v>
      </c>
      <c r="L40" s="3">
        <v>66.15</v>
      </c>
      <c r="M40" s="3">
        <v>69.45</v>
      </c>
      <c r="N40" s="3">
        <v>134.99</v>
      </c>
      <c r="O40" s="2" t="s">
        <v>97</v>
      </c>
      <c r="P40" s="2" t="s">
        <v>242</v>
      </c>
      <c r="Q40" s="2" t="s">
        <v>99</v>
      </c>
      <c r="R40" s="2" t="s">
        <v>100</v>
      </c>
      <c r="S40" s="2" t="s">
        <v>243</v>
      </c>
      <c r="T40" s="2" t="s">
        <v>100</v>
      </c>
      <c r="U40" s="2" t="s">
        <v>102</v>
      </c>
      <c r="V40" s="2" t="s">
        <v>103</v>
      </c>
      <c r="W40" s="2" t="s">
        <v>104</v>
      </c>
      <c r="X40" s="2" t="s">
        <v>244</v>
      </c>
      <c r="Y40" s="2" t="s">
        <v>131</v>
      </c>
      <c r="Z40" s="4">
        <v>608</v>
      </c>
      <c r="AA40" s="4">
        <f>=ROUNDDOWN(30.4,0)</f>
      </c>
      <c r="AB40" s="5">
        <v>20</v>
      </c>
      <c r="AC40" s="2" t="s">
        <v>168</v>
      </c>
      <c r="AD40" s="4">
        <v>220</v>
      </c>
      <c r="AE40" s="4">
        <v>220</v>
      </c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1</v>
      </c>
      <c r="AQ40" s="8">
        <v>65.6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0.1429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16</v>
      </c>
      <c r="BK40" s="8">
        <v>1018.6</v>
      </c>
      <c r="BL40" s="2" t="s">
        <v>251</v>
      </c>
      <c r="BM40" s="7">
        <v>0.0625</v>
      </c>
      <c r="BN40" s="7">
        <v>0.0644</v>
      </c>
      <c r="BO40" s="4">
        <v>1</v>
      </c>
      <c r="BP40" s="8">
        <v>65.6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122</v>
      </c>
      <c r="BX40" s="2" t="s">
        <v>127</v>
      </c>
      <c r="BY40" s="2" t="s">
        <v>112</v>
      </c>
      <c r="BZ40" s="2" t="s">
        <v>100</v>
      </c>
    </row>
    <row r="41">
      <c r="A41" s="2" t="s">
        <v>252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238</v>
      </c>
      <c r="G41" s="2" t="s">
        <v>239</v>
      </c>
      <c r="H41" s="2" t="s">
        <v>240</v>
      </c>
      <c r="I41" s="2" t="s">
        <v>241</v>
      </c>
      <c r="J41" s="2" t="s">
        <v>114</v>
      </c>
      <c r="K41" s="2" t="s">
        <v>253</v>
      </c>
      <c r="L41" s="3">
        <v>55.2</v>
      </c>
      <c r="M41" s="3">
        <v>57.95</v>
      </c>
      <c r="N41" s="3">
        <v>114.99</v>
      </c>
      <c r="O41" s="2" t="s">
        <v>97</v>
      </c>
      <c r="P41" s="2" t="s">
        <v>98</v>
      </c>
      <c r="Q41" s="2" t="s">
        <v>99</v>
      </c>
      <c r="R41" s="2" t="s">
        <v>100</v>
      </c>
      <c r="S41" s="2" t="s">
        <v>254</v>
      </c>
      <c r="T41" s="2" t="s">
        <v>100</v>
      </c>
      <c r="U41" s="2" t="s">
        <v>102</v>
      </c>
      <c r="V41" s="2" t="s">
        <v>103</v>
      </c>
      <c r="W41" s="2" t="s">
        <v>104</v>
      </c>
      <c r="X41" s="2" t="s">
        <v>244</v>
      </c>
      <c r="Y41" s="2" t="s">
        <v>131</v>
      </c>
      <c r="Z41" s="4">
        <v>491</v>
      </c>
      <c r="AA41" s="4">
        <f>=ROUNDDOWN(24.55,0)</f>
      </c>
      <c r="AB41" s="5">
        <v>20</v>
      </c>
      <c r="AC41" s="2" t="s">
        <v>168</v>
      </c>
      <c r="AD41" s="4">
        <v>150</v>
      </c>
      <c r="AE41" s="4">
        <v>150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>
        <v>0</v>
      </c>
      <c r="AP41" s="4">
        <v>1</v>
      </c>
      <c r="AQ41" s="8">
        <v>54.67</v>
      </c>
      <c r="AR41" s="4"/>
      <c r="AS41" s="8"/>
      <c r="AT41" s="7"/>
      <c r="AU41" s="7"/>
      <c r="AV41" s="4">
        <v>4</v>
      </c>
      <c r="AW41" s="8">
        <v>251.47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0.2174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>
        <v>0.3218</v>
      </c>
      <c r="BJ41" s="4">
        <v>20</v>
      </c>
      <c r="BK41" s="8">
        <v>1107.44</v>
      </c>
      <c r="BL41" s="2" t="s">
        <v>255</v>
      </c>
      <c r="BM41" s="7">
        <v>0.05</v>
      </c>
      <c r="BN41" s="7">
        <v>0.0494</v>
      </c>
      <c r="BO41" s="4">
        <v>1</v>
      </c>
      <c r="BP41" s="8">
        <v>54.67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137</v>
      </c>
      <c r="BX41" s="2" t="s">
        <v>192</v>
      </c>
      <c r="BY41" s="2" t="s">
        <v>112</v>
      </c>
      <c r="BZ41" s="2" t="s">
        <v>100</v>
      </c>
    </row>
    <row r="42">
      <c r="A42" s="2" t="s">
        <v>256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238</v>
      </c>
      <c r="G42" s="2" t="s">
        <v>239</v>
      </c>
      <c r="H42" s="2" t="s">
        <v>240</v>
      </c>
      <c r="I42" s="2" t="s">
        <v>241</v>
      </c>
      <c r="J42" s="2" t="s">
        <v>120</v>
      </c>
      <c r="K42" s="2" t="s">
        <v>253</v>
      </c>
      <c r="L42" s="3">
        <v>66.15</v>
      </c>
      <c r="M42" s="3">
        <v>69.45</v>
      </c>
      <c r="N42" s="3">
        <v>134.99</v>
      </c>
      <c r="O42" s="2" t="s">
        <v>97</v>
      </c>
      <c r="P42" s="2" t="s">
        <v>98</v>
      </c>
      <c r="Q42" s="2" t="s">
        <v>99</v>
      </c>
      <c r="R42" s="2" t="s">
        <v>100</v>
      </c>
      <c r="S42" s="2" t="s">
        <v>254</v>
      </c>
      <c r="T42" s="2" t="s">
        <v>100</v>
      </c>
      <c r="U42" s="2" t="s">
        <v>102</v>
      </c>
      <c r="V42" s="2" t="s">
        <v>103</v>
      </c>
      <c r="W42" s="2" t="s">
        <v>104</v>
      </c>
      <c r="X42" s="2" t="s">
        <v>244</v>
      </c>
      <c r="Y42" s="2" t="s">
        <v>131</v>
      </c>
      <c r="Z42" s="4">
        <v>336</v>
      </c>
      <c r="AA42" s="4">
        <f>=ROUNDDOWN(24,0)</f>
      </c>
      <c r="AB42" s="5">
        <v>14</v>
      </c>
      <c r="AC42" s="2" t="s">
        <v>168</v>
      </c>
      <c r="AD42" s="4">
        <v>100</v>
      </c>
      <c r="AE42" s="4">
        <v>100</v>
      </c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>
        <v>0</v>
      </c>
      <c r="AP42" s="4">
        <v>1</v>
      </c>
      <c r="AQ42" s="8">
        <v>65.6</v>
      </c>
      <c r="AR42" s="4"/>
      <c r="AS42" s="8"/>
      <c r="AT42" s="7"/>
      <c r="AU42" s="7"/>
      <c r="AV42" s="4" t="s">
        <v>100</v>
      </c>
      <c r="AW42" s="8" t="s">
        <v>100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0.2609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 t="s">
        <v>100</v>
      </c>
      <c r="BJ42" s="4">
        <v>15</v>
      </c>
      <c r="BK42" s="8">
        <v>974.68</v>
      </c>
      <c r="BL42" s="2" t="s">
        <v>257</v>
      </c>
      <c r="BM42" s="7">
        <v>0.0667</v>
      </c>
      <c r="BN42" s="7">
        <v>0.0673</v>
      </c>
      <c r="BO42" s="4">
        <v>1</v>
      </c>
      <c r="BP42" s="8">
        <v>65.6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137</v>
      </c>
      <c r="BX42" s="2" t="s">
        <v>219</v>
      </c>
      <c r="BY42" s="2" t="s">
        <v>112</v>
      </c>
      <c r="BZ42" s="2" t="s">
        <v>100</v>
      </c>
    </row>
    <row r="43">
      <c r="A43" s="2" t="s">
        <v>258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238</v>
      </c>
      <c r="G43" s="2" t="s">
        <v>239</v>
      </c>
      <c r="H43" s="2" t="s">
        <v>240</v>
      </c>
      <c r="I43" s="2" t="s">
        <v>241</v>
      </c>
      <c r="J43" s="2" t="s">
        <v>124</v>
      </c>
      <c r="K43" s="2" t="s">
        <v>253</v>
      </c>
      <c r="L43" s="3">
        <v>66.15</v>
      </c>
      <c r="M43" s="3">
        <v>69.45</v>
      </c>
      <c r="N43" s="3">
        <v>134.99</v>
      </c>
      <c r="O43" s="2" t="s">
        <v>97</v>
      </c>
      <c r="P43" s="2" t="s">
        <v>98</v>
      </c>
      <c r="Q43" s="2" t="s">
        <v>99</v>
      </c>
      <c r="R43" s="2" t="s">
        <v>100</v>
      </c>
      <c r="S43" s="2" t="s">
        <v>254</v>
      </c>
      <c r="T43" s="2" t="s">
        <v>100</v>
      </c>
      <c r="U43" s="2" t="s">
        <v>102</v>
      </c>
      <c r="V43" s="2" t="s">
        <v>103</v>
      </c>
      <c r="W43" s="2" t="s">
        <v>104</v>
      </c>
      <c r="X43" s="2" t="s">
        <v>244</v>
      </c>
      <c r="Y43" s="2" t="s">
        <v>131</v>
      </c>
      <c r="Z43" s="4">
        <v>331</v>
      </c>
      <c r="AA43" s="4">
        <f>=ROUNDDOWN(36.7777777777778,0)</f>
      </c>
      <c r="AB43" s="5">
        <v>9</v>
      </c>
      <c r="AC43" s="2" t="s">
        <v>100</v>
      </c>
      <c r="AD43" s="4"/>
      <c r="AE43" s="4"/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2</v>
      </c>
      <c r="AQ43" s="8">
        <v>131.2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0.5217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7</v>
      </c>
      <c r="BK43" s="8">
        <v>471.18</v>
      </c>
      <c r="BL43" s="2" t="s">
        <v>259</v>
      </c>
      <c r="BM43" s="7">
        <v>0.2857</v>
      </c>
      <c r="BN43" s="7">
        <v>0.2784</v>
      </c>
      <c r="BO43" s="4">
        <v>2</v>
      </c>
      <c r="BP43" s="8">
        <v>131.2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137</v>
      </c>
      <c r="BX43" s="2" t="s">
        <v>260</v>
      </c>
      <c r="BY43" s="2" t="s">
        <v>112</v>
      </c>
      <c r="BZ43" s="2" t="s">
        <v>100</v>
      </c>
    </row>
    <row r="44">
      <c r="A44" s="2" t="s">
        <v>261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238</v>
      </c>
      <c r="G44" s="2" t="s">
        <v>239</v>
      </c>
      <c r="H44" s="2" t="s">
        <v>240</v>
      </c>
      <c r="I44" s="2" t="s">
        <v>241</v>
      </c>
      <c r="J44" s="2" t="s">
        <v>114</v>
      </c>
      <c r="K44" s="2" t="s">
        <v>262</v>
      </c>
      <c r="L44" s="3">
        <v>55.2</v>
      </c>
      <c r="M44" s="3">
        <v>57.95</v>
      </c>
      <c r="N44" s="3">
        <v>114.99</v>
      </c>
      <c r="O44" s="2" t="s">
        <v>97</v>
      </c>
      <c r="P44" s="2" t="s">
        <v>98</v>
      </c>
      <c r="Q44" s="2" t="s">
        <v>99</v>
      </c>
      <c r="R44" s="2" t="s">
        <v>100</v>
      </c>
      <c r="S44" s="2" t="s">
        <v>263</v>
      </c>
      <c r="T44" s="2" t="s">
        <v>100</v>
      </c>
      <c r="U44" s="2" t="s">
        <v>102</v>
      </c>
      <c r="V44" s="2" t="s">
        <v>103</v>
      </c>
      <c r="W44" s="2" t="s">
        <v>104</v>
      </c>
      <c r="X44" s="2" t="s">
        <v>244</v>
      </c>
      <c r="Y44" s="2" t="s">
        <v>264</v>
      </c>
      <c r="Z44" s="4">
        <v>416</v>
      </c>
      <c r="AA44" s="4">
        <f>=ROUNDDOWN(29.7142857142857,0)</f>
      </c>
      <c r="AB44" s="5">
        <v>14</v>
      </c>
      <c r="AC44" s="2" t="s">
        <v>168</v>
      </c>
      <c r="AD44" s="4">
        <v>150</v>
      </c>
      <c r="AE44" s="4">
        <v>450</v>
      </c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>
        <v>1</v>
      </c>
      <c r="AW44" s="8">
        <v>70.74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/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>
        <v>0.0905</v>
      </c>
      <c r="BJ44" s="4">
        <v>10</v>
      </c>
      <c r="BK44" s="8">
        <v>580.93</v>
      </c>
      <c r="BL44" s="2" t="s">
        <v>265</v>
      </c>
      <c r="BM44" s="7"/>
      <c r="BN44" s="7"/>
      <c r="BO44" s="4"/>
      <c r="BP44" s="8"/>
      <c r="BQ44" s="4"/>
      <c r="BR44" s="8"/>
      <c r="BS44" s="7"/>
      <c r="BT44" s="7"/>
      <c r="BU44" s="2" t="s">
        <v>109</v>
      </c>
      <c r="BV44" s="2" t="s">
        <v>97</v>
      </c>
      <c r="BW44" s="2" t="s">
        <v>266</v>
      </c>
      <c r="BX44" s="2" t="s">
        <v>267</v>
      </c>
      <c r="BY44" s="2" t="s">
        <v>112</v>
      </c>
      <c r="BZ44" s="2" t="s">
        <v>100</v>
      </c>
    </row>
    <row r="45">
      <c r="A45" s="2" t="s">
        <v>268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238</v>
      </c>
      <c r="G45" s="2" t="s">
        <v>239</v>
      </c>
      <c r="H45" s="2" t="s">
        <v>240</v>
      </c>
      <c r="I45" s="2" t="s">
        <v>241</v>
      </c>
      <c r="J45" s="2" t="s">
        <v>120</v>
      </c>
      <c r="K45" s="2" t="s">
        <v>262</v>
      </c>
      <c r="L45" s="3">
        <v>66.15</v>
      </c>
      <c r="M45" s="3">
        <v>69.45</v>
      </c>
      <c r="N45" s="3">
        <v>134.99</v>
      </c>
      <c r="O45" s="2" t="s">
        <v>97</v>
      </c>
      <c r="P45" s="2" t="s">
        <v>98</v>
      </c>
      <c r="Q45" s="2" t="s">
        <v>99</v>
      </c>
      <c r="R45" s="2" t="s">
        <v>100</v>
      </c>
      <c r="S45" s="2" t="s">
        <v>263</v>
      </c>
      <c r="T45" s="2" t="s">
        <v>100</v>
      </c>
      <c r="U45" s="2" t="s">
        <v>102</v>
      </c>
      <c r="V45" s="2" t="s">
        <v>103</v>
      </c>
      <c r="W45" s="2" t="s">
        <v>104</v>
      </c>
      <c r="X45" s="2" t="s">
        <v>244</v>
      </c>
      <c r="Y45" s="2" t="s">
        <v>264</v>
      </c>
      <c r="Z45" s="4">
        <v>612</v>
      </c>
      <c r="AA45" s="4">
        <f>=ROUNDDOWN(61.2,0)</f>
      </c>
      <c r="AB45" s="5">
        <v>10</v>
      </c>
      <c r="AC45" s="2" t="s">
        <v>168</v>
      </c>
      <c r="AD45" s="4">
        <v>50</v>
      </c>
      <c r="AE45" s="4">
        <v>250</v>
      </c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1</v>
      </c>
      <c r="AQ45" s="8">
        <v>70.74</v>
      </c>
      <c r="AR45" s="4"/>
      <c r="AS45" s="8"/>
      <c r="AT45" s="7"/>
      <c r="AU45" s="7"/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1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 t="s">
        <v>100</v>
      </c>
      <c r="BJ45" s="4">
        <v>6</v>
      </c>
      <c r="BK45" s="8">
        <v>423.7</v>
      </c>
      <c r="BL45" s="2" t="s">
        <v>269</v>
      </c>
      <c r="BM45" s="7">
        <v>0.1667</v>
      </c>
      <c r="BN45" s="7">
        <v>0.167</v>
      </c>
      <c r="BO45" s="4">
        <v>1</v>
      </c>
      <c r="BP45" s="8">
        <v>70.74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270</v>
      </c>
      <c r="BX45" s="2" t="s">
        <v>271</v>
      </c>
      <c r="BY45" s="2" t="s">
        <v>112</v>
      </c>
      <c r="BZ45" s="2" t="s">
        <v>100</v>
      </c>
    </row>
    <row r="46">
      <c r="A46" s="2" t="s">
        <v>272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238</v>
      </c>
      <c r="G46" s="2" t="s">
        <v>239</v>
      </c>
      <c r="H46" s="2" t="s">
        <v>240</v>
      </c>
      <c r="I46" s="2" t="s">
        <v>241</v>
      </c>
      <c r="J46" s="2" t="s">
        <v>124</v>
      </c>
      <c r="K46" s="2" t="s">
        <v>262</v>
      </c>
      <c r="L46" s="3">
        <v>66.15</v>
      </c>
      <c r="M46" s="3">
        <v>69.45</v>
      </c>
      <c r="N46" s="3">
        <v>134.99</v>
      </c>
      <c r="O46" s="2" t="s">
        <v>97</v>
      </c>
      <c r="P46" s="2" t="s">
        <v>98</v>
      </c>
      <c r="Q46" s="2" t="s">
        <v>99</v>
      </c>
      <c r="R46" s="2" t="s">
        <v>100</v>
      </c>
      <c r="S46" s="2" t="s">
        <v>263</v>
      </c>
      <c r="T46" s="2" t="s">
        <v>100</v>
      </c>
      <c r="U46" s="2" t="s">
        <v>102</v>
      </c>
      <c r="V46" s="2" t="s">
        <v>103</v>
      </c>
      <c r="W46" s="2" t="s">
        <v>104</v>
      </c>
      <c r="X46" s="2" t="s">
        <v>244</v>
      </c>
      <c r="Y46" s="2" t="s">
        <v>264</v>
      </c>
      <c r="Z46" s="4">
        <v>274</v>
      </c>
      <c r="AA46" s="4">
        <f>=ROUNDDOWN(39.1428571428571,0)</f>
      </c>
      <c r="AB46" s="5">
        <v>7</v>
      </c>
      <c r="AC46" s="2" t="s">
        <v>100</v>
      </c>
      <c r="AD46" s="4"/>
      <c r="AE46" s="4"/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/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2</v>
      </c>
      <c r="BK46" s="8">
        <v>114.07</v>
      </c>
      <c r="BL46" s="2" t="s">
        <v>273</v>
      </c>
      <c r="BM46" s="7"/>
      <c r="BN46" s="7"/>
      <c r="BO46" s="4"/>
      <c r="BP46" s="8"/>
      <c r="BQ46" s="4"/>
      <c r="BR46" s="8"/>
      <c r="BS46" s="7"/>
      <c r="BT46" s="7"/>
      <c r="BU46" s="2" t="s">
        <v>109</v>
      </c>
      <c r="BV46" s="2" t="s">
        <v>97</v>
      </c>
      <c r="BW46" s="2" t="s">
        <v>138</v>
      </c>
      <c r="BX46" s="2" t="s">
        <v>274</v>
      </c>
      <c r="BY46" s="2" t="s">
        <v>112</v>
      </c>
      <c r="BZ46" s="2" t="s">
        <v>100</v>
      </c>
    </row>
    <row r="47">
      <c r="A47" s="2" t="s">
        <v>275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276</v>
      </c>
      <c r="G47" s="2" t="s">
        <v>277</v>
      </c>
      <c r="H47" s="2" t="s">
        <v>278</v>
      </c>
      <c r="I47" s="2" t="s">
        <v>279</v>
      </c>
      <c r="J47" s="2" t="s">
        <v>114</v>
      </c>
      <c r="K47" s="2" t="s">
        <v>280</v>
      </c>
      <c r="L47" s="3">
        <v>86.29</v>
      </c>
      <c r="M47" s="3">
        <v>90.6</v>
      </c>
      <c r="N47" s="3">
        <v>179.99</v>
      </c>
      <c r="O47" s="2" t="s">
        <v>97</v>
      </c>
      <c r="P47" s="2" t="s">
        <v>281</v>
      </c>
      <c r="Q47" s="2" t="s">
        <v>99</v>
      </c>
      <c r="R47" s="2" t="s">
        <v>100</v>
      </c>
      <c r="S47" s="2" t="s">
        <v>282</v>
      </c>
      <c r="T47" s="2" t="s">
        <v>100</v>
      </c>
      <c r="U47" s="2" t="s">
        <v>283</v>
      </c>
      <c r="V47" s="2" t="s">
        <v>284</v>
      </c>
      <c r="W47" s="2" t="s">
        <v>244</v>
      </c>
      <c r="X47" s="2" t="s">
        <v>285</v>
      </c>
      <c r="Y47" s="2" t="s">
        <v>286</v>
      </c>
      <c r="Z47" s="4">
        <v>1029</v>
      </c>
      <c r="AA47" s="4">
        <f>=ROUNDDOWN(20.1764705882353,0)</f>
      </c>
      <c r="AB47" s="5">
        <v>51</v>
      </c>
      <c r="AC47" s="2" t="s">
        <v>287</v>
      </c>
      <c r="AD47" s="4">
        <v>370</v>
      </c>
      <c r="AE47" s="4">
        <v>1630</v>
      </c>
      <c r="AF47" s="6">
        <v>64</v>
      </c>
      <c r="AG47" s="6">
        <v>47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1</v>
      </c>
      <c r="AQ47" s="8">
        <v>82.02</v>
      </c>
      <c r="AR47" s="4"/>
      <c r="AS47" s="8"/>
      <c r="AT47" s="7"/>
      <c r="AU47" s="7"/>
      <c r="AV47" s="4">
        <v>4</v>
      </c>
      <c r="AW47" s="8">
        <v>372.28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0.2203</v>
      </c>
      <c r="BC47" s="4">
        <v>8</v>
      </c>
      <c r="BD47" s="8">
        <v>754.41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>
        <v>0.4935</v>
      </c>
      <c r="BJ47" s="4">
        <v>41</v>
      </c>
      <c r="BK47" s="8">
        <v>3493.61</v>
      </c>
      <c r="BL47" s="2" t="s">
        <v>288</v>
      </c>
      <c r="BM47" s="7">
        <v>0.0244</v>
      </c>
      <c r="BN47" s="7">
        <v>0.0235</v>
      </c>
      <c r="BO47" s="4">
        <v>1</v>
      </c>
      <c r="BP47" s="8">
        <v>82.02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110</v>
      </c>
      <c r="BX47" s="2" t="s">
        <v>289</v>
      </c>
      <c r="BY47" s="2" t="s">
        <v>112</v>
      </c>
      <c r="BZ47" s="2" t="s">
        <v>100</v>
      </c>
    </row>
    <row r="48">
      <c r="A48" s="2" t="s">
        <v>290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276</v>
      </c>
      <c r="G48" s="2" t="s">
        <v>277</v>
      </c>
      <c r="H48" s="2" t="s">
        <v>278</v>
      </c>
      <c r="I48" s="2" t="s">
        <v>279</v>
      </c>
      <c r="J48" s="2" t="s">
        <v>120</v>
      </c>
      <c r="K48" s="2" t="s">
        <v>280</v>
      </c>
      <c r="L48" s="3">
        <v>98.49</v>
      </c>
      <c r="M48" s="3">
        <v>103.41</v>
      </c>
      <c r="N48" s="3">
        <v>199.99</v>
      </c>
      <c r="O48" s="2" t="s">
        <v>97</v>
      </c>
      <c r="P48" s="2" t="s">
        <v>281</v>
      </c>
      <c r="Q48" s="2" t="s">
        <v>99</v>
      </c>
      <c r="R48" s="2" t="s">
        <v>100</v>
      </c>
      <c r="S48" s="2" t="s">
        <v>282</v>
      </c>
      <c r="T48" s="2" t="s">
        <v>100</v>
      </c>
      <c r="U48" s="2" t="s">
        <v>283</v>
      </c>
      <c r="V48" s="2" t="s">
        <v>284</v>
      </c>
      <c r="W48" s="2" t="s">
        <v>244</v>
      </c>
      <c r="X48" s="2" t="s">
        <v>285</v>
      </c>
      <c r="Y48" s="2" t="s">
        <v>286</v>
      </c>
      <c r="Z48" s="4">
        <v>926</v>
      </c>
      <c r="AA48" s="4">
        <f>=ROUNDDOWN(14.2461538461538,0)</f>
      </c>
      <c r="AB48" s="5">
        <v>65</v>
      </c>
      <c r="AC48" s="2" t="s">
        <v>287</v>
      </c>
      <c r="AD48" s="4">
        <v>60</v>
      </c>
      <c r="AE48" s="4">
        <v>1980</v>
      </c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1</v>
      </c>
      <c r="AQ48" s="8">
        <v>94.8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0.2546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73</v>
      </c>
      <c r="BK48" s="8">
        <v>7351.41</v>
      </c>
      <c r="BL48" s="2" t="s">
        <v>291</v>
      </c>
      <c r="BM48" s="7">
        <v>0.0137</v>
      </c>
      <c r="BN48" s="7">
        <v>0.0129</v>
      </c>
      <c r="BO48" s="4">
        <v>1</v>
      </c>
      <c r="BP48" s="8">
        <v>94.8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110</v>
      </c>
      <c r="BX48" s="2" t="s">
        <v>292</v>
      </c>
      <c r="BY48" s="2" t="s">
        <v>112</v>
      </c>
      <c r="BZ48" s="2" t="s">
        <v>100</v>
      </c>
    </row>
    <row r="49">
      <c r="A49" s="2" t="s">
        <v>293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276</v>
      </c>
      <c r="G49" s="2" t="s">
        <v>277</v>
      </c>
      <c r="H49" s="2" t="s">
        <v>278</v>
      </c>
      <c r="I49" s="2" t="s">
        <v>279</v>
      </c>
      <c r="J49" s="2" t="s">
        <v>124</v>
      </c>
      <c r="K49" s="2" t="s">
        <v>280</v>
      </c>
      <c r="L49" s="3">
        <v>98.49</v>
      </c>
      <c r="M49" s="3">
        <v>103.41</v>
      </c>
      <c r="N49" s="3">
        <v>199.99</v>
      </c>
      <c r="O49" s="2" t="s">
        <v>97</v>
      </c>
      <c r="P49" s="2" t="s">
        <v>281</v>
      </c>
      <c r="Q49" s="2" t="s">
        <v>99</v>
      </c>
      <c r="R49" s="2" t="s">
        <v>100</v>
      </c>
      <c r="S49" s="2" t="s">
        <v>282</v>
      </c>
      <c r="T49" s="2" t="s">
        <v>100</v>
      </c>
      <c r="U49" s="2" t="s">
        <v>283</v>
      </c>
      <c r="V49" s="2" t="s">
        <v>284</v>
      </c>
      <c r="W49" s="2" t="s">
        <v>244</v>
      </c>
      <c r="X49" s="2" t="s">
        <v>285</v>
      </c>
      <c r="Y49" s="2" t="s">
        <v>286</v>
      </c>
      <c r="Z49" s="4">
        <v>489</v>
      </c>
      <c r="AA49" s="4">
        <f>=ROUNDDOWN(11.9268292682927,0)</f>
      </c>
      <c r="AB49" s="5">
        <v>41</v>
      </c>
      <c r="AC49" s="2" t="s">
        <v>132</v>
      </c>
      <c r="AD49" s="4">
        <v>100</v>
      </c>
      <c r="AE49" s="4">
        <v>1360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2</v>
      </c>
      <c r="AQ49" s="8">
        <v>195.46</v>
      </c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0.525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44</v>
      </c>
      <c r="BK49" s="8">
        <v>4550.99</v>
      </c>
      <c r="BL49" s="2" t="s">
        <v>294</v>
      </c>
      <c r="BM49" s="7">
        <v>0.0455</v>
      </c>
      <c r="BN49" s="7">
        <v>0.0429</v>
      </c>
      <c r="BO49" s="4">
        <v>2</v>
      </c>
      <c r="BP49" s="8">
        <v>195.46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110</v>
      </c>
      <c r="BX49" s="2" t="s">
        <v>295</v>
      </c>
      <c r="BY49" s="2" t="s">
        <v>112</v>
      </c>
      <c r="BZ49" s="2" t="s">
        <v>100</v>
      </c>
    </row>
    <row r="50">
      <c r="A50" s="2" t="s">
        <v>296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276</v>
      </c>
      <c r="G50" s="2" t="s">
        <v>277</v>
      </c>
      <c r="H50" s="2" t="s">
        <v>278</v>
      </c>
      <c r="I50" s="2" t="s">
        <v>279</v>
      </c>
      <c r="J50" s="2" t="s">
        <v>114</v>
      </c>
      <c r="K50" s="2" t="s">
        <v>297</v>
      </c>
      <c r="L50" s="3">
        <v>86.29</v>
      </c>
      <c r="M50" s="3">
        <v>90.6</v>
      </c>
      <c r="N50" s="3">
        <v>179.99</v>
      </c>
      <c r="O50" s="2" t="s">
        <v>97</v>
      </c>
      <c r="P50" s="2" t="s">
        <v>242</v>
      </c>
      <c r="Q50" s="2" t="s">
        <v>99</v>
      </c>
      <c r="R50" s="2" t="s">
        <v>100</v>
      </c>
      <c r="S50" s="2" t="s">
        <v>298</v>
      </c>
      <c r="T50" s="2" t="s">
        <v>100</v>
      </c>
      <c r="U50" s="2" t="s">
        <v>283</v>
      </c>
      <c r="V50" s="2" t="s">
        <v>284</v>
      </c>
      <c r="W50" s="2" t="s">
        <v>244</v>
      </c>
      <c r="X50" s="2" t="s">
        <v>285</v>
      </c>
      <c r="Y50" s="2" t="s">
        <v>299</v>
      </c>
      <c r="Z50" s="4">
        <v>815</v>
      </c>
      <c r="AA50" s="4">
        <f>=ROUNDDOWN(33.9583333333333,0)</f>
      </c>
      <c r="AB50" s="5">
        <v>24</v>
      </c>
      <c r="AC50" s="2" t="s">
        <v>287</v>
      </c>
      <c r="AD50" s="4">
        <v>170</v>
      </c>
      <c r="AE50" s="4">
        <v>450</v>
      </c>
      <c r="AF50" s="6">
        <v>64</v>
      </c>
      <c r="AG50" s="6">
        <v>47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>
        <v>3</v>
      </c>
      <c r="AW50" s="8">
        <v>284.4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/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>
        <v>0.377</v>
      </c>
      <c r="BJ50" s="4">
        <v>13</v>
      </c>
      <c r="BK50" s="8">
        <v>1043.52</v>
      </c>
      <c r="BL50" s="2" t="s">
        <v>300</v>
      </c>
      <c r="BM50" s="7"/>
      <c r="BN50" s="7"/>
      <c r="BO50" s="4"/>
      <c r="BP50" s="8"/>
      <c r="BQ50" s="4"/>
      <c r="BR50" s="8"/>
      <c r="BS50" s="7"/>
      <c r="BT50" s="7"/>
      <c r="BU50" s="2" t="s">
        <v>109</v>
      </c>
      <c r="BV50" s="2" t="s">
        <v>97</v>
      </c>
      <c r="BW50" s="2" t="s">
        <v>110</v>
      </c>
      <c r="BX50" s="2" t="s">
        <v>301</v>
      </c>
      <c r="BY50" s="2" t="s">
        <v>112</v>
      </c>
      <c r="BZ50" s="2" t="s">
        <v>100</v>
      </c>
    </row>
    <row r="51">
      <c r="A51" s="2" t="s">
        <v>302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276</v>
      </c>
      <c r="G51" s="2" t="s">
        <v>277</v>
      </c>
      <c r="H51" s="2" t="s">
        <v>278</v>
      </c>
      <c r="I51" s="2" t="s">
        <v>279</v>
      </c>
      <c r="J51" s="2" t="s">
        <v>120</v>
      </c>
      <c r="K51" s="2" t="s">
        <v>297</v>
      </c>
      <c r="L51" s="3">
        <v>98.49</v>
      </c>
      <c r="M51" s="3">
        <v>103.41</v>
      </c>
      <c r="N51" s="3">
        <v>199.99</v>
      </c>
      <c r="O51" s="2" t="s">
        <v>97</v>
      </c>
      <c r="P51" s="2" t="s">
        <v>242</v>
      </c>
      <c r="Q51" s="2" t="s">
        <v>99</v>
      </c>
      <c r="R51" s="2" t="s">
        <v>100</v>
      </c>
      <c r="S51" s="2" t="s">
        <v>298</v>
      </c>
      <c r="T51" s="2" t="s">
        <v>100</v>
      </c>
      <c r="U51" s="2" t="s">
        <v>283</v>
      </c>
      <c r="V51" s="2" t="s">
        <v>284</v>
      </c>
      <c r="W51" s="2" t="s">
        <v>244</v>
      </c>
      <c r="X51" s="2" t="s">
        <v>285</v>
      </c>
      <c r="Y51" s="2" t="s">
        <v>299</v>
      </c>
      <c r="Z51" s="4">
        <v>667</v>
      </c>
      <c r="AA51" s="4">
        <f>=ROUNDDOWN(20.84375,0)</f>
      </c>
      <c r="AB51" s="5">
        <v>32</v>
      </c>
      <c r="AC51" s="2" t="s">
        <v>287</v>
      </c>
      <c r="AD51" s="4">
        <v>70</v>
      </c>
      <c r="AE51" s="4">
        <v>1180</v>
      </c>
      <c r="AF51" s="6">
        <v>64</v>
      </c>
      <c r="AG51" s="6">
        <v>47</v>
      </c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3</v>
      </c>
      <c r="AQ51" s="8">
        <v>284.4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1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22</v>
      </c>
      <c r="BK51" s="8">
        <v>2150.01</v>
      </c>
      <c r="BL51" s="2" t="s">
        <v>303</v>
      </c>
      <c r="BM51" s="7">
        <v>0.1364</v>
      </c>
      <c r="BN51" s="7">
        <v>0.1323</v>
      </c>
      <c r="BO51" s="4">
        <v>3</v>
      </c>
      <c r="BP51" s="8">
        <v>284.4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110</v>
      </c>
      <c r="BX51" s="2" t="s">
        <v>292</v>
      </c>
      <c r="BY51" s="2" t="s">
        <v>112</v>
      </c>
      <c r="BZ51" s="2" t="s">
        <v>100</v>
      </c>
    </row>
    <row r="52">
      <c r="A52" s="2" t="s">
        <v>304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276</v>
      </c>
      <c r="G52" s="2" t="s">
        <v>277</v>
      </c>
      <c r="H52" s="2" t="s">
        <v>278</v>
      </c>
      <c r="I52" s="2" t="s">
        <v>279</v>
      </c>
      <c r="J52" s="2" t="s">
        <v>124</v>
      </c>
      <c r="K52" s="2" t="s">
        <v>297</v>
      </c>
      <c r="L52" s="3">
        <v>98.49</v>
      </c>
      <c r="M52" s="3">
        <v>103.41</v>
      </c>
      <c r="N52" s="3">
        <v>199.99</v>
      </c>
      <c r="O52" s="2" t="s">
        <v>97</v>
      </c>
      <c r="P52" s="2" t="s">
        <v>242</v>
      </c>
      <c r="Q52" s="2" t="s">
        <v>99</v>
      </c>
      <c r="R52" s="2" t="s">
        <v>100</v>
      </c>
      <c r="S52" s="2" t="s">
        <v>298</v>
      </c>
      <c r="T52" s="2" t="s">
        <v>100</v>
      </c>
      <c r="U52" s="2" t="s">
        <v>283</v>
      </c>
      <c r="V52" s="2" t="s">
        <v>284</v>
      </c>
      <c r="W52" s="2" t="s">
        <v>244</v>
      </c>
      <c r="X52" s="2" t="s">
        <v>285</v>
      </c>
      <c r="Y52" s="2" t="s">
        <v>299</v>
      </c>
      <c r="Z52" s="4">
        <v>202</v>
      </c>
      <c r="AA52" s="4">
        <f>=ROUNDDOWN(11.2222222222222,0)</f>
      </c>
      <c r="AB52" s="5">
        <v>18</v>
      </c>
      <c r="AC52" s="2" t="s">
        <v>287</v>
      </c>
      <c r="AD52" s="4">
        <v>60</v>
      </c>
      <c r="AE52" s="4">
        <v>700</v>
      </c>
      <c r="AF52" s="6">
        <v>64</v>
      </c>
      <c r="AG52" s="6">
        <v>47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/>
      <c r="AQ52" s="8"/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/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 t="s">
        <v>100</v>
      </c>
      <c r="BJ52" s="4">
        <v>17</v>
      </c>
      <c r="BK52" s="8">
        <v>1549.87</v>
      </c>
      <c r="BL52" s="2" t="s">
        <v>305</v>
      </c>
      <c r="BM52" s="7"/>
      <c r="BN52" s="7"/>
      <c r="BO52" s="4"/>
      <c r="BP52" s="8"/>
      <c r="BQ52" s="4"/>
      <c r="BR52" s="8"/>
      <c r="BS52" s="7"/>
      <c r="BT52" s="7"/>
      <c r="BU52" s="2" t="s">
        <v>109</v>
      </c>
      <c r="BV52" s="2" t="s">
        <v>97</v>
      </c>
      <c r="BW52" s="2" t="s">
        <v>110</v>
      </c>
      <c r="BX52" s="2" t="s">
        <v>266</v>
      </c>
      <c r="BY52" s="2" t="s">
        <v>112</v>
      </c>
      <c r="BZ52" s="2" t="s">
        <v>100</v>
      </c>
    </row>
    <row r="53">
      <c r="A53" s="2" t="s">
        <v>306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276</v>
      </c>
      <c r="G53" s="2" t="s">
        <v>277</v>
      </c>
      <c r="H53" s="2" t="s">
        <v>307</v>
      </c>
      <c r="I53" s="2" t="s">
        <v>279</v>
      </c>
      <c r="J53" s="2" t="s">
        <v>114</v>
      </c>
      <c r="K53" s="2" t="s">
        <v>308</v>
      </c>
      <c r="L53" s="3">
        <v>86.29</v>
      </c>
      <c r="M53" s="3">
        <v>90.6</v>
      </c>
      <c r="N53" s="3">
        <v>179.99</v>
      </c>
      <c r="O53" s="2" t="s">
        <v>97</v>
      </c>
      <c r="P53" s="2" t="s">
        <v>242</v>
      </c>
      <c r="Q53" s="2" t="s">
        <v>99</v>
      </c>
      <c r="R53" s="2" t="s">
        <v>100</v>
      </c>
      <c r="S53" s="2" t="s">
        <v>309</v>
      </c>
      <c r="T53" s="2" t="s">
        <v>100</v>
      </c>
      <c r="U53" s="2" t="s">
        <v>283</v>
      </c>
      <c r="V53" s="2" t="s">
        <v>284</v>
      </c>
      <c r="W53" s="2" t="s">
        <v>244</v>
      </c>
      <c r="X53" s="2" t="s">
        <v>285</v>
      </c>
      <c r="Y53" s="2" t="s">
        <v>310</v>
      </c>
      <c r="Z53" s="4">
        <v>727</v>
      </c>
      <c r="AA53" s="4">
        <f>=ROUNDDOWN(38.2631578947368,0)</f>
      </c>
      <c r="AB53" s="5">
        <v>19</v>
      </c>
      <c r="AC53" s="2" t="s">
        <v>287</v>
      </c>
      <c r="AD53" s="4">
        <v>170</v>
      </c>
      <c r="AE53" s="4">
        <v>600</v>
      </c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>
        <v>1</v>
      </c>
      <c r="AW53" s="8">
        <v>97.73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/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>
        <v>0.1295</v>
      </c>
      <c r="BJ53" s="4">
        <v>8</v>
      </c>
      <c r="BK53" s="8">
        <v>709.54</v>
      </c>
      <c r="BL53" s="2" t="s">
        <v>311</v>
      </c>
      <c r="BM53" s="7"/>
      <c r="BN53" s="7"/>
      <c r="BO53" s="4"/>
      <c r="BP53" s="8"/>
      <c r="BQ53" s="4"/>
      <c r="BR53" s="8"/>
      <c r="BS53" s="7"/>
      <c r="BT53" s="7"/>
      <c r="BU53" s="2" t="s">
        <v>109</v>
      </c>
      <c r="BV53" s="2" t="s">
        <v>97</v>
      </c>
      <c r="BW53" s="2" t="s">
        <v>312</v>
      </c>
      <c r="BX53" s="2" t="s">
        <v>313</v>
      </c>
      <c r="BY53" s="2" t="s">
        <v>112</v>
      </c>
      <c r="BZ53" s="2" t="s">
        <v>100</v>
      </c>
    </row>
    <row r="54">
      <c r="A54" s="2" t="s">
        <v>314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276</v>
      </c>
      <c r="G54" s="2" t="s">
        <v>277</v>
      </c>
      <c r="H54" s="2" t="s">
        <v>307</v>
      </c>
      <c r="I54" s="2" t="s">
        <v>279</v>
      </c>
      <c r="J54" s="2" t="s">
        <v>120</v>
      </c>
      <c r="K54" s="2" t="s">
        <v>308</v>
      </c>
      <c r="L54" s="3">
        <v>98.49</v>
      </c>
      <c r="M54" s="3">
        <v>103.41</v>
      </c>
      <c r="N54" s="3">
        <v>199.99</v>
      </c>
      <c r="O54" s="2" t="s">
        <v>97</v>
      </c>
      <c r="P54" s="2" t="s">
        <v>242</v>
      </c>
      <c r="Q54" s="2" t="s">
        <v>99</v>
      </c>
      <c r="R54" s="2" t="s">
        <v>100</v>
      </c>
      <c r="S54" s="2" t="s">
        <v>309</v>
      </c>
      <c r="T54" s="2" t="s">
        <v>100</v>
      </c>
      <c r="U54" s="2" t="s">
        <v>283</v>
      </c>
      <c r="V54" s="2" t="s">
        <v>284</v>
      </c>
      <c r="W54" s="2" t="s">
        <v>244</v>
      </c>
      <c r="X54" s="2" t="s">
        <v>285</v>
      </c>
      <c r="Y54" s="2" t="s">
        <v>310</v>
      </c>
      <c r="Z54" s="4">
        <v>492</v>
      </c>
      <c r="AA54" s="4">
        <f>=ROUNDDOWN(22.3636363636364,0)</f>
      </c>
      <c r="AB54" s="5">
        <v>22</v>
      </c>
      <c r="AC54" s="2" t="s">
        <v>287</v>
      </c>
      <c r="AD54" s="4">
        <v>140</v>
      </c>
      <c r="AE54" s="4">
        <v>780</v>
      </c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1</v>
      </c>
      <c r="AQ54" s="8">
        <v>97.73</v>
      </c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>
        <v>1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21</v>
      </c>
      <c r="BK54" s="8">
        <v>2164.83</v>
      </c>
      <c r="BL54" s="2" t="s">
        <v>315</v>
      </c>
      <c r="BM54" s="7">
        <v>0.0476</v>
      </c>
      <c r="BN54" s="7">
        <v>0.0451</v>
      </c>
      <c r="BO54" s="4">
        <v>1</v>
      </c>
      <c r="BP54" s="8">
        <v>97.73</v>
      </c>
      <c r="BQ54" s="4"/>
      <c r="BR54" s="8"/>
      <c r="BS54" s="7"/>
      <c r="BT54" s="7"/>
      <c r="BU54" s="2" t="s">
        <v>109</v>
      </c>
      <c r="BV54" s="2" t="s">
        <v>97</v>
      </c>
      <c r="BW54" s="2" t="s">
        <v>312</v>
      </c>
      <c r="BX54" s="2" t="s">
        <v>316</v>
      </c>
      <c r="BY54" s="2" t="s">
        <v>112</v>
      </c>
      <c r="BZ54" s="2" t="s">
        <v>100</v>
      </c>
    </row>
    <row r="55">
      <c r="A55" s="2" t="s">
        <v>317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276</v>
      </c>
      <c r="G55" s="2" t="s">
        <v>277</v>
      </c>
      <c r="H55" s="2" t="s">
        <v>307</v>
      </c>
      <c r="I55" s="2" t="s">
        <v>279</v>
      </c>
      <c r="J55" s="2" t="s">
        <v>124</v>
      </c>
      <c r="K55" s="2" t="s">
        <v>308</v>
      </c>
      <c r="L55" s="3">
        <v>98.49</v>
      </c>
      <c r="M55" s="3">
        <v>103.41</v>
      </c>
      <c r="N55" s="3">
        <v>199.99</v>
      </c>
      <c r="O55" s="2" t="s">
        <v>97</v>
      </c>
      <c r="P55" s="2" t="s">
        <v>242</v>
      </c>
      <c r="Q55" s="2" t="s">
        <v>99</v>
      </c>
      <c r="R55" s="2" t="s">
        <v>100</v>
      </c>
      <c r="S55" s="2" t="s">
        <v>309</v>
      </c>
      <c r="T55" s="2" t="s">
        <v>100</v>
      </c>
      <c r="U55" s="2" t="s">
        <v>283</v>
      </c>
      <c r="V55" s="2" t="s">
        <v>284</v>
      </c>
      <c r="W55" s="2" t="s">
        <v>244</v>
      </c>
      <c r="X55" s="2" t="s">
        <v>285</v>
      </c>
      <c r="Y55" s="2" t="s">
        <v>310</v>
      </c>
      <c r="Z55" s="4">
        <v>464</v>
      </c>
      <c r="AA55" s="4">
        <f>=ROUNDDOWN(42.1818181818182,0)</f>
      </c>
      <c r="AB55" s="5">
        <v>11</v>
      </c>
      <c r="AC55" s="2" t="s">
        <v>287</v>
      </c>
      <c r="AD55" s="4">
        <v>100</v>
      </c>
      <c r="AE55" s="4">
        <v>250</v>
      </c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100</v>
      </c>
      <c r="AW55" s="8" t="s">
        <v>100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 t="s">
        <v>100</v>
      </c>
      <c r="BJ55" s="4">
        <v>6</v>
      </c>
      <c r="BK55" s="8">
        <v>579.67</v>
      </c>
      <c r="BL55" s="2" t="s">
        <v>318</v>
      </c>
      <c r="BM55" s="7"/>
      <c r="BN55" s="7"/>
      <c r="BO55" s="4"/>
      <c r="BP55" s="8"/>
      <c r="BQ55" s="4"/>
      <c r="BR55" s="8"/>
      <c r="BS55" s="7"/>
      <c r="BT55" s="7"/>
      <c r="BU55" s="2" t="s">
        <v>109</v>
      </c>
      <c r="BV55" s="2" t="s">
        <v>97</v>
      </c>
      <c r="BW55" s="2" t="s">
        <v>312</v>
      </c>
      <c r="BX55" s="2" t="s">
        <v>319</v>
      </c>
      <c r="BY55" s="2" t="s">
        <v>112</v>
      </c>
      <c r="BZ55" s="2" t="s">
        <v>100</v>
      </c>
    </row>
    <row r="56">
      <c r="A56" s="2" t="s">
        <v>320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276</v>
      </c>
      <c r="G56" s="2" t="s">
        <v>277</v>
      </c>
      <c r="H56" s="2" t="s">
        <v>278</v>
      </c>
      <c r="I56" s="2" t="s">
        <v>279</v>
      </c>
      <c r="J56" s="2" t="s">
        <v>114</v>
      </c>
      <c r="K56" s="2" t="s">
        <v>321</v>
      </c>
      <c r="L56" s="3">
        <v>86.29</v>
      </c>
      <c r="M56" s="3">
        <v>90.6</v>
      </c>
      <c r="N56" s="3">
        <v>179.99</v>
      </c>
      <c r="O56" s="2" t="s">
        <v>97</v>
      </c>
      <c r="P56" s="2" t="s">
        <v>242</v>
      </c>
      <c r="Q56" s="2" t="s">
        <v>99</v>
      </c>
      <c r="R56" s="2" t="s">
        <v>100</v>
      </c>
      <c r="S56" s="2" t="s">
        <v>322</v>
      </c>
      <c r="T56" s="2" t="s">
        <v>100</v>
      </c>
      <c r="U56" s="2" t="s">
        <v>283</v>
      </c>
      <c r="V56" s="2" t="s">
        <v>284</v>
      </c>
      <c r="W56" s="2" t="s">
        <v>244</v>
      </c>
      <c r="X56" s="2" t="s">
        <v>285</v>
      </c>
      <c r="Y56" s="2" t="s">
        <v>323</v>
      </c>
      <c r="Z56" s="4">
        <v>1323</v>
      </c>
      <c r="AA56" s="4">
        <f>=ROUNDDOWN(28.7608695652174,0)</f>
      </c>
      <c r="AB56" s="5">
        <v>46</v>
      </c>
      <c r="AC56" s="2" t="s">
        <v>324</v>
      </c>
      <c r="AD56" s="4">
        <v>120</v>
      </c>
      <c r="AE56" s="4">
        <v>820</v>
      </c>
      <c r="AF56" s="6">
        <v>64</v>
      </c>
      <c r="AG56" s="6">
        <v>47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/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74</v>
      </c>
      <c r="BK56" s="8">
        <v>6378.98</v>
      </c>
      <c r="BL56" s="2" t="s">
        <v>325</v>
      </c>
      <c r="BM56" s="7"/>
      <c r="BN56" s="7"/>
      <c r="BO56" s="4"/>
      <c r="BP56" s="8"/>
      <c r="BQ56" s="4"/>
      <c r="BR56" s="8"/>
      <c r="BS56" s="7"/>
      <c r="BT56" s="7"/>
      <c r="BU56" s="2" t="s">
        <v>109</v>
      </c>
      <c r="BV56" s="2" t="s">
        <v>97</v>
      </c>
      <c r="BW56" s="2" t="s">
        <v>326</v>
      </c>
      <c r="BX56" s="2" t="s">
        <v>327</v>
      </c>
      <c r="BY56" s="2" t="s">
        <v>112</v>
      </c>
      <c r="BZ56" s="2" t="s">
        <v>100</v>
      </c>
    </row>
    <row r="57">
      <c r="A57" s="2" t="s">
        <v>328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276</v>
      </c>
      <c r="G57" s="2" t="s">
        <v>277</v>
      </c>
      <c r="H57" s="2" t="s">
        <v>278</v>
      </c>
      <c r="I57" s="2" t="s">
        <v>279</v>
      </c>
      <c r="J57" s="2" t="s">
        <v>120</v>
      </c>
      <c r="K57" s="2" t="s">
        <v>321</v>
      </c>
      <c r="L57" s="3">
        <v>98.49</v>
      </c>
      <c r="M57" s="3">
        <v>103.41</v>
      </c>
      <c r="N57" s="3">
        <v>199.99</v>
      </c>
      <c r="O57" s="2" t="s">
        <v>97</v>
      </c>
      <c r="P57" s="2" t="s">
        <v>242</v>
      </c>
      <c r="Q57" s="2" t="s">
        <v>99</v>
      </c>
      <c r="R57" s="2" t="s">
        <v>100</v>
      </c>
      <c r="S57" s="2" t="s">
        <v>322</v>
      </c>
      <c r="T57" s="2" t="s">
        <v>100</v>
      </c>
      <c r="U57" s="2" t="s">
        <v>283</v>
      </c>
      <c r="V57" s="2" t="s">
        <v>284</v>
      </c>
      <c r="W57" s="2" t="s">
        <v>244</v>
      </c>
      <c r="X57" s="2" t="s">
        <v>285</v>
      </c>
      <c r="Y57" s="2" t="s">
        <v>323</v>
      </c>
      <c r="Z57" s="4">
        <v>1458</v>
      </c>
      <c r="AA57" s="4">
        <f>=ROUNDDOWN(27,0)</f>
      </c>
      <c r="AB57" s="5">
        <v>54</v>
      </c>
      <c r="AC57" s="2" t="s">
        <v>329</v>
      </c>
      <c r="AD57" s="4">
        <v>600</v>
      </c>
      <c r="AE57" s="4">
        <v>1230</v>
      </c>
      <c r="AF57" s="6">
        <v>64</v>
      </c>
      <c r="AG57" s="6">
        <v>47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166</v>
      </c>
      <c r="BK57" s="8">
        <v>17202.72</v>
      </c>
      <c r="BL57" s="2" t="s">
        <v>330</v>
      </c>
      <c r="BM57" s="7"/>
      <c r="BN57" s="7"/>
      <c r="BO57" s="4"/>
      <c r="BP57" s="8"/>
      <c r="BQ57" s="4"/>
      <c r="BR57" s="8"/>
      <c r="BS57" s="7"/>
      <c r="BT57" s="7"/>
      <c r="BU57" s="2" t="s">
        <v>109</v>
      </c>
      <c r="BV57" s="2" t="s">
        <v>97</v>
      </c>
      <c r="BW57" s="2" t="s">
        <v>326</v>
      </c>
      <c r="BX57" s="2" t="s">
        <v>331</v>
      </c>
      <c r="BY57" s="2" t="s">
        <v>112</v>
      </c>
      <c r="BZ57" s="2" t="s">
        <v>100</v>
      </c>
    </row>
    <row r="58">
      <c r="A58" s="2" t="s">
        <v>332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276</v>
      </c>
      <c r="G58" s="2" t="s">
        <v>277</v>
      </c>
      <c r="H58" s="2" t="s">
        <v>278</v>
      </c>
      <c r="I58" s="2" t="s">
        <v>279</v>
      </c>
      <c r="J58" s="2" t="s">
        <v>124</v>
      </c>
      <c r="K58" s="2" t="s">
        <v>321</v>
      </c>
      <c r="L58" s="3">
        <v>98.49</v>
      </c>
      <c r="M58" s="3">
        <v>103.41</v>
      </c>
      <c r="N58" s="3">
        <v>199.99</v>
      </c>
      <c r="O58" s="2" t="s">
        <v>97</v>
      </c>
      <c r="P58" s="2" t="s">
        <v>242</v>
      </c>
      <c r="Q58" s="2" t="s">
        <v>99</v>
      </c>
      <c r="R58" s="2" t="s">
        <v>100</v>
      </c>
      <c r="S58" s="2" t="s">
        <v>322</v>
      </c>
      <c r="T58" s="2" t="s">
        <v>100</v>
      </c>
      <c r="U58" s="2" t="s">
        <v>283</v>
      </c>
      <c r="V58" s="2" t="s">
        <v>284</v>
      </c>
      <c r="W58" s="2" t="s">
        <v>244</v>
      </c>
      <c r="X58" s="2" t="s">
        <v>285</v>
      </c>
      <c r="Y58" s="2" t="s">
        <v>323</v>
      </c>
      <c r="Z58" s="4">
        <v>755</v>
      </c>
      <c r="AA58" s="4">
        <f>=ROUNDDOWN(31.4583333333333,0)</f>
      </c>
      <c r="AB58" s="5">
        <v>24</v>
      </c>
      <c r="AC58" s="2" t="s">
        <v>324</v>
      </c>
      <c r="AD58" s="4">
        <v>150</v>
      </c>
      <c r="AE58" s="4">
        <v>480</v>
      </c>
      <c r="AF58" s="6">
        <v>64</v>
      </c>
      <c r="AG58" s="6">
        <v>47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10</v>
      </c>
      <c r="BK58" s="8">
        <v>899.03</v>
      </c>
      <c r="BL58" s="2" t="s">
        <v>333</v>
      </c>
      <c r="BM58" s="7"/>
      <c r="BN58" s="7"/>
      <c r="BO58" s="4"/>
      <c r="BP58" s="8"/>
      <c r="BQ58" s="4"/>
      <c r="BR58" s="8"/>
      <c r="BS58" s="7"/>
      <c r="BT58" s="7"/>
      <c r="BU58" s="2" t="s">
        <v>109</v>
      </c>
      <c r="BV58" s="2" t="s">
        <v>97</v>
      </c>
      <c r="BW58" s="2" t="s">
        <v>326</v>
      </c>
      <c r="BX58" s="2" t="s">
        <v>334</v>
      </c>
      <c r="BY58" s="2" t="s">
        <v>112</v>
      </c>
      <c r="BZ58" s="2" t="s">
        <v>100</v>
      </c>
    </row>
    <row r="59">
      <c r="A59" s="2" t="s">
        <v>335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336</v>
      </c>
      <c r="G59" s="2" t="s">
        <v>337</v>
      </c>
      <c r="H59" s="2" t="s">
        <v>338</v>
      </c>
      <c r="I59" s="2" t="s">
        <v>339</v>
      </c>
      <c r="J59" s="2" t="s">
        <v>114</v>
      </c>
      <c r="K59" s="2" t="s">
        <v>340</v>
      </c>
      <c r="L59" s="3">
        <v>85.47</v>
      </c>
      <c r="M59" s="3">
        <v>89.74</v>
      </c>
      <c r="N59" s="3">
        <v>149.99</v>
      </c>
      <c r="O59" s="2" t="s">
        <v>97</v>
      </c>
      <c r="P59" s="2" t="s">
        <v>341</v>
      </c>
      <c r="Q59" s="2" t="s">
        <v>99</v>
      </c>
      <c r="R59" s="2" t="s">
        <v>100</v>
      </c>
      <c r="S59" s="2" t="s">
        <v>342</v>
      </c>
      <c r="T59" s="2" t="s">
        <v>100</v>
      </c>
      <c r="U59" s="2" t="s">
        <v>343</v>
      </c>
      <c r="V59" s="2" t="s">
        <v>344</v>
      </c>
      <c r="W59" s="2" t="s">
        <v>345</v>
      </c>
      <c r="X59" s="2" t="s">
        <v>346</v>
      </c>
      <c r="Y59" s="2" t="s">
        <v>131</v>
      </c>
      <c r="Z59" s="4">
        <v>1180</v>
      </c>
      <c r="AA59" s="4">
        <f>=ROUNDDOWN(16.8571428571429,0)</f>
      </c>
      <c r="AB59" s="5">
        <v>70</v>
      </c>
      <c r="AC59" s="2" t="s">
        <v>347</v>
      </c>
      <c r="AD59" s="4">
        <v>100</v>
      </c>
      <c r="AE59" s="4">
        <v>1530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>
        <v>0</v>
      </c>
      <c r="AP59" s="4">
        <v>5</v>
      </c>
      <c r="AQ59" s="8">
        <v>390.05</v>
      </c>
      <c r="AR59" s="4"/>
      <c r="AS59" s="8"/>
      <c r="AT59" s="7"/>
      <c r="AU59" s="7"/>
      <c r="AV59" s="4">
        <v>6</v>
      </c>
      <c r="AW59" s="8">
        <v>479.21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0.8139</v>
      </c>
      <c r="BC59" s="4">
        <v>9</v>
      </c>
      <c r="BD59" s="8">
        <v>743.47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0.6446</v>
      </c>
      <c r="BJ59" s="4">
        <v>58</v>
      </c>
      <c r="BK59" s="8">
        <v>5040.47</v>
      </c>
      <c r="BL59" s="2" t="s">
        <v>348</v>
      </c>
      <c r="BM59" s="7">
        <v>0.0862</v>
      </c>
      <c r="BN59" s="7">
        <v>0.0774</v>
      </c>
      <c r="BO59" s="4">
        <v>5</v>
      </c>
      <c r="BP59" s="8">
        <v>390.05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201</v>
      </c>
      <c r="BX59" s="2" t="s">
        <v>349</v>
      </c>
      <c r="BY59" s="2" t="s">
        <v>112</v>
      </c>
      <c r="BZ59" s="2" t="s">
        <v>100</v>
      </c>
    </row>
    <row r="60">
      <c r="A60" s="2" t="s">
        <v>350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336</v>
      </c>
      <c r="G60" s="2" t="s">
        <v>337</v>
      </c>
      <c r="H60" s="2" t="s">
        <v>338</v>
      </c>
      <c r="I60" s="2" t="s">
        <v>339</v>
      </c>
      <c r="J60" s="2" t="s">
        <v>120</v>
      </c>
      <c r="K60" s="2" t="s">
        <v>340</v>
      </c>
      <c r="L60" s="3">
        <v>95.51</v>
      </c>
      <c r="M60" s="3">
        <v>100.29</v>
      </c>
      <c r="N60" s="3">
        <v>169.99</v>
      </c>
      <c r="O60" s="2" t="s">
        <v>97</v>
      </c>
      <c r="P60" s="2" t="s">
        <v>341</v>
      </c>
      <c r="Q60" s="2" t="s">
        <v>99</v>
      </c>
      <c r="R60" s="2" t="s">
        <v>100</v>
      </c>
      <c r="S60" s="2" t="s">
        <v>342</v>
      </c>
      <c r="T60" s="2" t="s">
        <v>100</v>
      </c>
      <c r="U60" s="2" t="s">
        <v>343</v>
      </c>
      <c r="V60" s="2" t="s">
        <v>344</v>
      </c>
      <c r="W60" s="2" t="s">
        <v>345</v>
      </c>
      <c r="X60" s="2" t="s">
        <v>346</v>
      </c>
      <c r="Y60" s="2" t="s">
        <v>131</v>
      </c>
      <c r="Z60" s="4">
        <v>627</v>
      </c>
      <c r="AA60" s="4">
        <f>=ROUNDDOWN(11.4,0)</f>
      </c>
      <c r="AB60" s="5">
        <v>55</v>
      </c>
      <c r="AC60" s="2" t="s">
        <v>347</v>
      </c>
      <c r="AD60" s="4">
        <v>200</v>
      </c>
      <c r="AE60" s="4">
        <v>1350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/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59</v>
      </c>
      <c r="BK60" s="8">
        <v>6411.42</v>
      </c>
      <c r="BL60" s="2" t="s">
        <v>351</v>
      </c>
      <c r="BM60" s="7"/>
      <c r="BN60" s="7"/>
      <c r="BO60" s="4"/>
      <c r="BP60" s="8"/>
      <c r="BQ60" s="4"/>
      <c r="BR60" s="8"/>
      <c r="BS60" s="7"/>
      <c r="BT60" s="7"/>
      <c r="BU60" s="2" t="s">
        <v>109</v>
      </c>
      <c r="BV60" s="2" t="s">
        <v>97</v>
      </c>
      <c r="BW60" s="2" t="s">
        <v>201</v>
      </c>
      <c r="BX60" s="2" t="s">
        <v>352</v>
      </c>
      <c r="BY60" s="2" t="s">
        <v>112</v>
      </c>
      <c r="BZ60" s="2" t="s">
        <v>100</v>
      </c>
    </row>
    <row r="61">
      <c r="A61" s="2" t="s">
        <v>353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336</v>
      </c>
      <c r="G61" s="2" t="s">
        <v>337</v>
      </c>
      <c r="H61" s="2" t="s">
        <v>338</v>
      </c>
      <c r="I61" s="2" t="s">
        <v>339</v>
      </c>
      <c r="J61" s="2" t="s">
        <v>124</v>
      </c>
      <c r="K61" s="2" t="s">
        <v>340</v>
      </c>
      <c r="L61" s="3">
        <v>95.51</v>
      </c>
      <c r="M61" s="3">
        <v>100.29</v>
      </c>
      <c r="N61" s="3">
        <v>169.99</v>
      </c>
      <c r="O61" s="2" t="s">
        <v>97</v>
      </c>
      <c r="P61" s="2" t="s">
        <v>341</v>
      </c>
      <c r="Q61" s="2" t="s">
        <v>99</v>
      </c>
      <c r="R61" s="2" t="s">
        <v>100</v>
      </c>
      <c r="S61" s="2" t="s">
        <v>342</v>
      </c>
      <c r="T61" s="2" t="s">
        <v>100</v>
      </c>
      <c r="U61" s="2" t="s">
        <v>343</v>
      </c>
      <c r="V61" s="2" t="s">
        <v>344</v>
      </c>
      <c r="W61" s="2" t="s">
        <v>345</v>
      </c>
      <c r="X61" s="2" t="s">
        <v>346</v>
      </c>
      <c r="Y61" s="2" t="s">
        <v>131</v>
      </c>
      <c r="Z61" s="4">
        <v>304</v>
      </c>
      <c r="AA61" s="4">
        <f>=ROUNDDOWN(13.2173913043478,0)</f>
      </c>
      <c r="AB61" s="5">
        <v>23</v>
      </c>
      <c r="AC61" s="2" t="s">
        <v>347</v>
      </c>
      <c r="AD61" s="4">
        <v>50</v>
      </c>
      <c r="AE61" s="4">
        <v>690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</v>
      </c>
      <c r="AQ61" s="8">
        <v>89.16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0.1861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20</v>
      </c>
      <c r="BK61" s="8">
        <v>2086</v>
      </c>
      <c r="BL61" s="2" t="s">
        <v>354</v>
      </c>
      <c r="BM61" s="7">
        <v>0.05</v>
      </c>
      <c r="BN61" s="7">
        <v>0.0427</v>
      </c>
      <c r="BO61" s="4">
        <v>1</v>
      </c>
      <c r="BP61" s="8">
        <v>89.16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201</v>
      </c>
      <c r="BX61" s="2" t="s">
        <v>355</v>
      </c>
      <c r="BY61" s="2" t="s">
        <v>112</v>
      </c>
      <c r="BZ61" s="2" t="s">
        <v>100</v>
      </c>
    </row>
    <row r="62">
      <c r="A62" s="2" t="s">
        <v>356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336</v>
      </c>
      <c r="G62" s="2" t="s">
        <v>337</v>
      </c>
      <c r="H62" s="2" t="s">
        <v>338</v>
      </c>
      <c r="I62" s="2" t="s">
        <v>339</v>
      </c>
      <c r="J62" s="2" t="s">
        <v>114</v>
      </c>
      <c r="K62" s="2" t="s">
        <v>357</v>
      </c>
      <c r="L62" s="3">
        <v>85.47</v>
      </c>
      <c r="M62" s="3">
        <v>89.74</v>
      </c>
      <c r="N62" s="3">
        <v>149.99</v>
      </c>
      <c r="O62" s="2" t="s">
        <v>97</v>
      </c>
      <c r="P62" s="2" t="s">
        <v>98</v>
      </c>
      <c r="Q62" s="2" t="s">
        <v>99</v>
      </c>
      <c r="R62" s="2" t="s">
        <v>100</v>
      </c>
      <c r="S62" s="2" t="s">
        <v>358</v>
      </c>
      <c r="T62" s="2" t="s">
        <v>359</v>
      </c>
      <c r="U62" s="2" t="s">
        <v>343</v>
      </c>
      <c r="V62" s="2" t="s">
        <v>344</v>
      </c>
      <c r="W62" s="2" t="s">
        <v>345</v>
      </c>
      <c r="X62" s="2" t="s">
        <v>346</v>
      </c>
      <c r="Y62" s="2" t="s">
        <v>360</v>
      </c>
      <c r="Z62" s="4">
        <v>395</v>
      </c>
      <c r="AA62" s="4">
        <f>=ROUNDDOWN(17.9545454545455,0)</f>
      </c>
      <c r="AB62" s="5">
        <v>22</v>
      </c>
      <c r="AC62" s="2" t="s">
        <v>361</v>
      </c>
      <c r="AD62" s="4">
        <v>150</v>
      </c>
      <c r="AE62" s="4">
        <v>780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>
        <v>0</v>
      </c>
      <c r="AP62" s="4">
        <v>1</v>
      </c>
      <c r="AQ62" s="8">
        <v>80.42</v>
      </c>
      <c r="AR62" s="4"/>
      <c r="AS62" s="8"/>
      <c r="AT62" s="7"/>
      <c r="AU62" s="7"/>
      <c r="AV62" s="4">
        <v>2</v>
      </c>
      <c r="AW62" s="8">
        <v>172.34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0.4666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>
        <v>0.2318</v>
      </c>
      <c r="BJ62" s="4">
        <v>6</v>
      </c>
      <c r="BK62" s="8">
        <v>527.78</v>
      </c>
      <c r="BL62" s="2" t="s">
        <v>362</v>
      </c>
      <c r="BM62" s="7">
        <v>0.1667</v>
      </c>
      <c r="BN62" s="7">
        <v>0.1524</v>
      </c>
      <c r="BO62" s="4">
        <v>1</v>
      </c>
      <c r="BP62" s="8">
        <v>80.42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266</v>
      </c>
      <c r="BX62" s="2" t="s">
        <v>363</v>
      </c>
      <c r="BY62" s="2" t="s">
        <v>112</v>
      </c>
      <c r="BZ62" s="2" t="s">
        <v>100</v>
      </c>
    </row>
    <row r="63">
      <c r="A63" s="2" t="s">
        <v>364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336</v>
      </c>
      <c r="G63" s="2" t="s">
        <v>337</v>
      </c>
      <c r="H63" s="2" t="s">
        <v>338</v>
      </c>
      <c r="I63" s="2" t="s">
        <v>339</v>
      </c>
      <c r="J63" s="2" t="s">
        <v>120</v>
      </c>
      <c r="K63" s="2" t="s">
        <v>357</v>
      </c>
      <c r="L63" s="3">
        <v>95.51</v>
      </c>
      <c r="M63" s="3">
        <v>100.29</v>
      </c>
      <c r="N63" s="3">
        <v>169.99</v>
      </c>
      <c r="O63" s="2" t="s">
        <v>97</v>
      </c>
      <c r="P63" s="2" t="s">
        <v>98</v>
      </c>
      <c r="Q63" s="2" t="s">
        <v>99</v>
      </c>
      <c r="R63" s="2" t="s">
        <v>100</v>
      </c>
      <c r="S63" s="2" t="s">
        <v>358</v>
      </c>
      <c r="T63" s="2" t="s">
        <v>359</v>
      </c>
      <c r="U63" s="2" t="s">
        <v>343</v>
      </c>
      <c r="V63" s="2" t="s">
        <v>344</v>
      </c>
      <c r="W63" s="2" t="s">
        <v>345</v>
      </c>
      <c r="X63" s="2" t="s">
        <v>346</v>
      </c>
      <c r="Y63" s="2" t="s">
        <v>360</v>
      </c>
      <c r="Z63" s="4">
        <v>395</v>
      </c>
      <c r="AA63" s="4">
        <f>=ROUNDDOWN(35.9090909090909,0)</f>
      </c>
      <c r="AB63" s="5">
        <v>11</v>
      </c>
      <c r="AC63" s="2" t="s">
        <v>361</v>
      </c>
      <c r="AD63" s="4">
        <v>100</v>
      </c>
      <c r="AE63" s="4">
        <v>220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1</v>
      </c>
      <c r="AQ63" s="8">
        <v>91.92</v>
      </c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0.5334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 t="s">
        <v>100</v>
      </c>
      <c r="BJ63" s="4">
        <v>5</v>
      </c>
      <c r="BK63" s="8">
        <v>453.36</v>
      </c>
      <c r="BL63" s="2" t="s">
        <v>365</v>
      </c>
      <c r="BM63" s="7">
        <v>0.2</v>
      </c>
      <c r="BN63" s="7">
        <v>0.2028</v>
      </c>
      <c r="BO63" s="4">
        <v>1</v>
      </c>
      <c r="BP63" s="8">
        <v>91.92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266</v>
      </c>
      <c r="BX63" s="2" t="s">
        <v>366</v>
      </c>
      <c r="BY63" s="2" t="s">
        <v>112</v>
      </c>
      <c r="BZ63" s="2" t="s">
        <v>100</v>
      </c>
    </row>
    <row r="64">
      <c r="A64" s="2" t="s">
        <v>367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336</v>
      </c>
      <c r="G64" s="2" t="s">
        <v>337</v>
      </c>
      <c r="H64" s="2" t="s">
        <v>338</v>
      </c>
      <c r="I64" s="2" t="s">
        <v>339</v>
      </c>
      <c r="J64" s="2" t="s">
        <v>124</v>
      </c>
      <c r="K64" s="2" t="s">
        <v>357</v>
      </c>
      <c r="L64" s="3">
        <v>95.51</v>
      </c>
      <c r="M64" s="3">
        <v>100.29</v>
      </c>
      <c r="N64" s="3">
        <v>169.99</v>
      </c>
      <c r="O64" s="2" t="s">
        <v>97</v>
      </c>
      <c r="P64" s="2" t="s">
        <v>98</v>
      </c>
      <c r="Q64" s="2" t="s">
        <v>99</v>
      </c>
      <c r="R64" s="2" t="s">
        <v>100</v>
      </c>
      <c r="S64" s="2" t="s">
        <v>358</v>
      </c>
      <c r="T64" s="2" t="s">
        <v>359</v>
      </c>
      <c r="U64" s="2" t="s">
        <v>343</v>
      </c>
      <c r="V64" s="2" t="s">
        <v>344</v>
      </c>
      <c r="W64" s="2" t="s">
        <v>345</v>
      </c>
      <c r="X64" s="2" t="s">
        <v>346</v>
      </c>
      <c r="Y64" s="2" t="s">
        <v>360</v>
      </c>
      <c r="Z64" s="4">
        <v>99</v>
      </c>
      <c r="AA64" s="4">
        <f>=ROUNDDOWN(16.5,0)</f>
      </c>
      <c r="AB64" s="5">
        <v>6</v>
      </c>
      <c r="AC64" s="2" t="s">
        <v>368</v>
      </c>
      <c r="AD64" s="4">
        <v>150</v>
      </c>
      <c r="AE64" s="4">
        <v>260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/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5</v>
      </c>
      <c r="BK64" s="8">
        <v>584.6</v>
      </c>
      <c r="BL64" s="2" t="s">
        <v>369</v>
      </c>
      <c r="BM64" s="7"/>
      <c r="BN64" s="7"/>
      <c r="BO64" s="4"/>
      <c r="BP64" s="8"/>
      <c r="BQ64" s="4"/>
      <c r="BR64" s="8"/>
      <c r="BS64" s="7"/>
      <c r="BT64" s="7"/>
      <c r="BU64" s="2" t="s">
        <v>109</v>
      </c>
      <c r="BV64" s="2" t="s">
        <v>97</v>
      </c>
      <c r="BW64" s="2" t="s">
        <v>266</v>
      </c>
      <c r="BX64" s="2" t="s">
        <v>370</v>
      </c>
      <c r="BY64" s="2" t="s">
        <v>112</v>
      </c>
      <c r="BZ64" s="2" t="s">
        <v>100</v>
      </c>
    </row>
    <row r="65">
      <c r="A65" s="2" t="s">
        <v>371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336</v>
      </c>
      <c r="G65" s="2" t="s">
        <v>337</v>
      </c>
      <c r="H65" s="2" t="s">
        <v>338</v>
      </c>
      <c r="I65" s="2" t="s">
        <v>339</v>
      </c>
      <c r="J65" s="2" t="s">
        <v>114</v>
      </c>
      <c r="K65" s="2" t="s">
        <v>372</v>
      </c>
      <c r="L65" s="3">
        <v>85.47</v>
      </c>
      <c r="M65" s="3">
        <v>89.74</v>
      </c>
      <c r="N65" s="3">
        <v>149.99</v>
      </c>
      <c r="O65" s="2" t="s">
        <v>97</v>
      </c>
      <c r="P65" s="2" t="s">
        <v>98</v>
      </c>
      <c r="Q65" s="2" t="s">
        <v>99</v>
      </c>
      <c r="R65" s="2" t="s">
        <v>100</v>
      </c>
      <c r="S65" s="2" t="s">
        <v>373</v>
      </c>
      <c r="T65" s="2" t="s">
        <v>100</v>
      </c>
      <c r="U65" s="2" t="s">
        <v>343</v>
      </c>
      <c r="V65" s="2" t="s">
        <v>344</v>
      </c>
      <c r="W65" s="2" t="s">
        <v>345</v>
      </c>
      <c r="X65" s="2" t="s">
        <v>346</v>
      </c>
      <c r="Y65" s="2" t="s">
        <v>131</v>
      </c>
      <c r="Z65" s="4">
        <v>95</v>
      </c>
      <c r="AA65" s="4">
        <f>=ROUNDDOWN(5.27777777777778,0)</f>
      </c>
      <c r="AB65" s="5">
        <v>18</v>
      </c>
      <c r="AC65" s="2" t="s">
        <v>347</v>
      </c>
      <c r="AD65" s="4">
        <v>120</v>
      </c>
      <c r="AE65" s="4">
        <v>540</v>
      </c>
      <c r="AF65" s="6">
        <v>65</v>
      </c>
      <c r="AG65" s="6">
        <v>73</v>
      </c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>
        <v>1</v>
      </c>
      <c r="AW65" s="8">
        <v>91.92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/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>
        <v>0.1236</v>
      </c>
      <c r="BJ65" s="4">
        <v>19</v>
      </c>
      <c r="BK65" s="8">
        <v>1792.94</v>
      </c>
      <c r="BL65" s="2" t="s">
        <v>374</v>
      </c>
      <c r="BM65" s="7"/>
      <c r="BN65" s="7"/>
      <c r="BO65" s="4"/>
      <c r="BP65" s="8"/>
      <c r="BQ65" s="4"/>
      <c r="BR65" s="8"/>
      <c r="BS65" s="7"/>
      <c r="BT65" s="7"/>
      <c r="BU65" s="2" t="s">
        <v>109</v>
      </c>
      <c r="BV65" s="2" t="s">
        <v>97</v>
      </c>
      <c r="BW65" s="2" t="s">
        <v>122</v>
      </c>
      <c r="BX65" s="2" t="s">
        <v>375</v>
      </c>
      <c r="BY65" s="2" t="s">
        <v>112</v>
      </c>
      <c r="BZ65" s="2" t="s">
        <v>100</v>
      </c>
    </row>
    <row r="66">
      <c r="A66" s="2" t="s">
        <v>376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336</v>
      </c>
      <c r="G66" s="2" t="s">
        <v>337</v>
      </c>
      <c r="H66" s="2" t="s">
        <v>338</v>
      </c>
      <c r="I66" s="2" t="s">
        <v>339</v>
      </c>
      <c r="J66" s="2" t="s">
        <v>120</v>
      </c>
      <c r="K66" s="2" t="s">
        <v>372</v>
      </c>
      <c r="L66" s="3">
        <v>95.51</v>
      </c>
      <c r="M66" s="3">
        <v>100.29</v>
      </c>
      <c r="N66" s="3">
        <v>169.99</v>
      </c>
      <c r="O66" s="2" t="s">
        <v>97</v>
      </c>
      <c r="P66" s="2" t="s">
        <v>98</v>
      </c>
      <c r="Q66" s="2" t="s">
        <v>99</v>
      </c>
      <c r="R66" s="2" t="s">
        <v>100</v>
      </c>
      <c r="S66" s="2" t="s">
        <v>373</v>
      </c>
      <c r="T66" s="2" t="s">
        <v>100</v>
      </c>
      <c r="U66" s="2" t="s">
        <v>343</v>
      </c>
      <c r="V66" s="2" t="s">
        <v>344</v>
      </c>
      <c r="W66" s="2" t="s">
        <v>345</v>
      </c>
      <c r="X66" s="2" t="s">
        <v>346</v>
      </c>
      <c r="Y66" s="2" t="s">
        <v>131</v>
      </c>
      <c r="Z66" s="4">
        <v>210</v>
      </c>
      <c r="AA66" s="4">
        <f>=ROUNDDOWN(19.0909090909091,0)</f>
      </c>
      <c r="AB66" s="5">
        <v>11</v>
      </c>
      <c r="AC66" s="2" t="s">
        <v>347</v>
      </c>
      <c r="AD66" s="4">
        <v>50</v>
      </c>
      <c r="AE66" s="4">
        <v>190</v>
      </c>
      <c r="AF66" s="6">
        <v>65</v>
      </c>
      <c r="AG66" s="6">
        <v>73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/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8</v>
      </c>
      <c r="BK66" s="8">
        <v>839.38</v>
      </c>
      <c r="BL66" s="2" t="s">
        <v>377</v>
      </c>
      <c r="BM66" s="7"/>
      <c r="BN66" s="7"/>
      <c r="BO66" s="4"/>
      <c r="BP66" s="8"/>
      <c r="BQ66" s="4"/>
      <c r="BR66" s="8"/>
      <c r="BS66" s="7"/>
      <c r="BT66" s="7"/>
      <c r="BU66" s="2" t="s">
        <v>109</v>
      </c>
      <c r="BV66" s="2" t="s">
        <v>97</v>
      </c>
      <c r="BW66" s="2" t="s">
        <v>122</v>
      </c>
      <c r="BX66" s="2" t="s">
        <v>378</v>
      </c>
      <c r="BY66" s="2" t="s">
        <v>112</v>
      </c>
      <c r="BZ66" s="2" t="s">
        <v>100</v>
      </c>
    </row>
    <row r="67">
      <c r="A67" s="2" t="s">
        <v>379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336</v>
      </c>
      <c r="G67" s="2" t="s">
        <v>337</v>
      </c>
      <c r="H67" s="2" t="s">
        <v>338</v>
      </c>
      <c r="I67" s="2" t="s">
        <v>339</v>
      </c>
      <c r="J67" s="2" t="s">
        <v>124</v>
      </c>
      <c r="K67" s="2" t="s">
        <v>372</v>
      </c>
      <c r="L67" s="3">
        <v>95.51</v>
      </c>
      <c r="M67" s="3">
        <v>100.29</v>
      </c>
      <c r="N67" s="3">
        <v>169.99</v>
      </c>
      <c r="O67" s="2" t="s">
        <v>97</v>
      </c>
      <c r="P67" s="2" t="s">
        <v>98</v>
      </c>
      <c r="Q67" s="2" t="s">
        <v>99</v>
      </c>
      <c r="R67" s="2" t="s">
        <v>100</v>
      </c>
      <c r="S67" s="2" t="s">
        <v>373</v>
      </c>
      <c r="T67" s="2" t="s">
        <v>100</v>
      </c>
      <c r="U67" s="2" t="s">
        <v>343</v>
      </c>
      <c r="V67" s="2" t="s">
        <v>344</v>
      </c>
      <c r="W67" s="2" t="s">
        <v>345</v>
      </c>
      <c r="X67" s="2" t="s">
        <v>346</v>
      </c>
      <c r="Y67" s="2" t="s">
        <v>131</v>
      </c>
      <c r="Z67" s="4">
        <v>57</v>
      </c>
      <c r="AA67" s="4">
        <f>=ROUNDDOWN(14.25,0)</f>
      </c>
      <c r="AB67" s="5">
        <v>4</v>
      </c>
      <c r="AC67" s="2" t="s">
        <v>347</v>
      </c>
      <c r="AD67" s="4">
        <v>30</v>
      </c>
      <c r="AE67" s="4">
        <v>90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1</v>
      </c>
      <c r="AQ67" s="8">
        <v>91.92</v>
      </c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1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>
        <v>3</v>
      </c>
      <c r="BK67" s="8">
        <v>278.72</v>
      </c>
      <c r="BL67" s="2" t="s">
        <v>380</v>
      </c>
      <c r="BM67" s="7">
        <v>0.3333</v>
      </c>
      <c r="BN67" s="7">
        <v>0.3298</v>
      </c>
      <c r="BO67" s="4">
        <v>1</v>
      </c>
      <c r="BP67" s="8">
        <v>91.92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122</v>
      </c>
      <c r="BX67" s="2" t="s">
        <v>381</v>
      </c>
      <c r="BY67" s="2" t="s">
        <v>112</v>
      </c>
      <c r="BZ67" s="2" t="s">
        <v>100</v>
      </c>
    </row>
    <row r="68">
      <c r="A68" s="2" t="s">
        <v>382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336</v>
      </c>
      <c r="G68" s="2" t="s">
        <v>337</v>
      </c>
      <c r="H68" s="2" t="s">
        <v>338</v>
      </c>
      <c r="I68" s="2" t="s">
        <v>339</v>
      </c>
      <c r="J68" s="2" t="s">
        <v>114</v>
      </c>
      <c r="K68" s="2" t="s">
        <v>96</v>
      </c>
      <c r="L68" s="3">
        <v>85.47</v>
      </c>
      <c r="M68" s="3">
        <v>89.74</v>
      </c>
      <c r="N68" s="3">
        <v>149.99</v>
      </c>
      <c r="O68" s="2" t="s">
        <v>97</v>
      </c>
      <c r="P68" s="2" t="s">
        <v>383</v>
      </c>
      <c r="Q68" s="2" t="s">
        <v>99</v>
      </c>
      <c r="R68" s="2" t="s">
        <v>100</v>
      </c>
      <c r="S68" s="2" t="s">
        <v>384</v>
      </c>
      <c r="T68" s="2" t="s">
        <v>100</v>
      </c>
      <c r="U68" s="2" t="s">
        <v>343</v>
      </c>
      <c r="V68" s="2" t="s">
        <v>344</v>
      </c>
      <c r="W68" s="2" t="s">
        <v>345</v>
      </c>
      <c r="X68" s="2" t="s">
        <v>346</v>
      </c>
      <c r="Y68" s="2" t="s">
        <v>385</v>
      </c>
      <c r="Z68" s="4">
        <v>520</v>
      </c>
      <c r="AA68" s="4">
        <f>=ROUNDDOWN(22.6086956521739,0)</f>
      </c>
      <c r="AB68" s="5">
        <v>23</v>
      </c>
      <c r="AC68" s="2" t="s">
        <v>347</v>
      </c>
      <c r="AD68" s="4">
        <v>80</v>
      </c>
      <c r="AE68" s="4">
        <v>800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/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 t="s">
        <v>100</v>
      </c>
      <c r="BJ68" s="4">
        <v>15</v>
      </c>
      <c r="BK68" s="8">
        <v>1394.88</v>
      </c>
      <c r="BL68" s="2" t="s">
        <v>386</v>
      </c>
      <c r="BM68" s="7"/>
      <c r="BN68" s="7"/>
      <c r="BO68" s="4"/>
      <c r="BP68" s="8"/>
      <c r="BQ68" s="4"/>
      <c r="BR68" s="8"/>
      <c r="BS68" s="7"/>
      <c r="BT68" s="7"/>
      <c r="BU68" s="2" t="s">
        <v>109</v>
      </c>
      <c r="BV68" s="2" t="s">
        <v>97</v>
      </c>
      <c r="BW68" s="2" t="s">
        <v>266</v>
      </c>
      <c r="BX68" s="2" t="s">
        <v>267</v>
      </c>
      <c r="BY68" s="2" t="s">
        <v>112</v>
      </c>
      <c r="BZ68" s="2" t="s">
        <v>100</v>
      </c>
    </row>
    <row r="69">
      <c r="A69" s="2" t="s">
        <v>387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336</v>
      </c>
      <c r="G69" s="2" t="s">
        <v>337</v>
      </c>
      <c r="H69" s="2" t="s">
        <v>338</v>
      </c>
      <c r="I69" s="2" t="s">
        <v>339</v>
      </c>
      <c r="J69" s="2" t="s">
        <v>120</v>
      </c>
      <c r="K69" s="2" t="s">
        <v>96</v>
      </c>
      <c r="L69" s="3">
        <v>95.51</v>
      </c>
      <c r="M69" s="3">
        <v>100.29</v>
      </c>
      <c r="N69" s="3">
        <v>169.99</v>
      </c>
      <c r="O69" s="2" t="s">
        <v>97</v>
      </c>
      <c r="P69" s="2" t="s">
        <v>383</v>
      </c>
      <c r="Q69" s="2" t="s">
        <v>99</v>
      </c>
      <c r="R69" s="2" t="s">
        <v>100</v>
      </c>
      <c r="S69" s="2" t="s">
        <v>384</v>
      </c>
      <c r="T69" s="2" t="s">
        <v>100</v>
      </c>
      <c r="U69" s="2" t="s">
        <v>343</v>
      </c>
      <c r="V69" s="2" t="s">
        <v>344</v>
      </c>
      <c r="W69" s="2" t="s">
        <v>345</v>
      </c>
      <c r="X69" s="2" t="s">
        <v>346</v>
      </c>
      <c r="Y69" s="2" t="s">
        <v>385</v>
      </c>
      <c r="Z69" s="4">
        <v>328</v>
      </c>
      <c r="AA69" s="4">
        <f>=ROUNDDOWN(25.2307692307692,0)</f>
      </c>
      <c r="AB69" s="5">
        <v>13</v>
      </c>
      <c r="AC69" s="2" t="s">
        <v>347</v>
      </c>
      <c r="AD69" s="4">
        <v>70</v>
      </c>
      <c r="AE69" s="4">
        <v>470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/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 t="s">
        <v>100</v>
      </c>
      <c r="BJ69" s="4">
        <v>8</v>
      </c>
      <c r="BK69" s="8">
        <v>723.61</v>
      </c>
      <c r="BL69" s="2" t="s">
        <v>388</v>
      </c>
      <c r="BM69" s="7"/>
      <c r="BN69" s="7"/>
      <c r="BO69" s="4"/>
      <c r="BP69" s="8"/>
      <c r="BQ69" s="4"/>
      <c r="BR69" s="8"/>
      <c r="BS69" s="7"/>
      <c r="BT69" s="7"/>
      <c r="BU69" s="2" t="s">
        <v>109</v>
      </c>
      <c r="BV69" s="2" t="s">
        <v>97</v>
      </c>
      <c r="BW69" s="2" t="s">
        <v>266</v>
      </c>
      <c r="BX69" s="2" t="s">
        <v>389</v>
      </c>
      <c r="BY69" s="2" t="s">
        <v>112</v>
      </c>
      <c r="BZ69" s="2" t="s">
        <v>100</v>
      </c>
    </row>
    <row r="70">
      <c r="A70" s="2" t="s">
        <v>390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336</v>
      </c>
      <c r="G70" s="2" t="s">
        <v>337</v>
      </c>
      <c r="H70" s="2" t="s">
        <v>338</v>
      </c>
      <c r="I70" s="2" t="s">
        <v>339</v>
      </c>
      <c r="J70" s="2" t="s">
        <v>124</v>
      </c>
      <c r="K70" s="2" t="s">
        <v>96</v>
      </c>
      <c r="L70" s="3">
        <v>95.51</v>
      </c>
      <c r="M70" s="3">
        <v>100.29</v>
      </c>
      <c r="N70" s="3">
        <v>169.99</v>
      </c>
      <c r="O70" s="2" t="s">
        <v>97</v>
      </c>
      <c r="P70" s="2" t="s">
        <v>383</v>
      </c>
      <c r="Q70" s="2" t="s">
        <v>99</v>
      </c>
      <c r="R70" s="2" t="s">
        <v>100</v>
      </c>
      <c r="S70" s="2" t="s">
        <v>384</v>
      </c>
      <c r="T70" s="2" t="s">
        <v>100</v>
      </c>
      <c r="U70" s="2" t="s">
        <v>343</v>
      </c>
      <c r="V70" s="2" t="s">
        <v>344</v>
      </c>
      <c r="W70" s="2" t="s">
        <v>345</v>
      </c>
      <c r="X70" s="2" t="s">
        <v>346</v>
      </c>
      <c r="Y70" s="2" t="s">
        <v>385</v>
      </c>
      <c r="Z70" s="4">
        <v>84</v>
      </c>
      <c r="AA70" s="4">
        <f>=ROUNDDOWN(16.8,0)</f>
      </c>
      <c r="AB70" s="5">
        <v>5</v>
      </c>
      <c r="AC70" s="2" t="s">
        <v>347</v>
      </c>
      <c r="AD70" s="4">
        <v>70</v>
      </c>
      <c r="AE70" s="4">
        <v>200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/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2</v>
      </c>
      <c r="BK70" s="8">
        <v>192.38</v>
      </c>
      <c r="BL70" s="2" t="s">
        <v>391</v>
      </c>
      <c r="BM70" s="7"/>
      <c r="BN70" s="7"/>
      <c r="BO70" s="4"/>
      <c r="BP70" s="8"/>
      <c r="BQ70" s="4"/>
      <c r="BR70" s="8"/>
      <c r="BS70" s="7"/>
      <c r="BT70" s="7"/>
      <c r="BU70" s="2" t="s">
        <v>109</v>
      </c>
      <c r="BV70" s="2" t="s">
        <v>97</v>
      </c>
      <c r="BW70" s="2" t="s">
        <v>266</v>
      </c>
      <c r="BX70" s="2" t="s">
        <v>392</v>
      </c>
      <c r="BY70" s="2" t="s">
        <v>112</v>
      </c>
      <c r="BZ70" s="2" t="s">
        <v>100</v>
      </c>
    </row>
    <row r="71">
      <c r="A71" s="2" t="s">
        <v>393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394</v>
      </c>
      <c r="G71" s="2" t="s">
        <v>395</v>
      </c>
      <c r="H71" s="2" t="s">
        <v>396</v>
      </c>
      <c r="I71" s="2" t="s">
        <v>397</v>
      </c>
      <c r="J71" s="2" t="s">
        <v>114</v>
      </c>
      <c r="K71" s="2" t="s">
        <v>357</v>
      </c>
      <c r="L71" s="3">
        <v>66.29</v>
      </c>
      <c r="M71" s="3">
        <v>69.61</v>
      </c>
      <c r="N71" s="3">
        <v>139.99</v>
      </c>
      <c r="O71" s="2" t="s">
        <v>97</v>
      </c>
      <c r="P71" s="2" t="s">
        <v>98</v>
      </c>
      <c r="Q71" s="2" t="s">
        <v>99</v>
      </c>
      <c r="R71" s="2" t="s">
        <v>100</v>
      </c>
      <c r="S71" s="2" t="s">
        <v>398</v>
      </c>
      <c r="T71" s="2" t="s">
        <v>100</v>
      </c>
      <c r="U71" s="2" t="s">
        <v>102</v>
      </c>
      <c r="V71" s="2" t="s">
        <v>344</v>
      </c>
      <c r="W71" s="2" t="s">
        <v>104</v>
      </c>
      <c r="X71" s="2" t="s">
        <v>399</v>
      </c>
      <c r="Y71" s="2" t="s">
        <v>131</v>
      </c>
      <c r="Z71" s="4">
        <v>236</v>
      </c>
      <c r="AA71" s="4">
        <f>=ROUNDDOWN(10.2608695652174,0)</f>
      </c>
      <c r="AB71" s="5">
        <v>23</v>
      </c>
      <c r="AC71" s="2" t="s">
        <v>400</v>
      </c>
      <c r="AD71" s="4">
        <v>220</v>
      </c>
      <c r="AE71" s="4">
        <v>540</v>
      </c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3</v>
      </c>
      <c r="AQ71" s="8">
        <v>182.28</v>
      </c>
      <c r="AR71" s="4"/>
      <c r="AS71" s="8"/>
      <c r="AT71" s="7"/>
      <c r="AU71" s="7"/>
      <c r="AV71" s="4">
        <v>4</v>
      </c>
      <c r="AW71" s="8">
        <v>253.86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0.718</v>
      </c>
      <c r="BC71" s="4">
        <v>7</v>
      </c>
      <c r="BD71" s="8">
        <v>451.05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>
        <v>0.5628</v>
      </c>
      <c r="BJ71" s="4">
        <v>13</v>
      </c>
      <c r="BK71" s="8">
        <v>796.82</v>
      </c>
      <c r="BL71" s="2" t="s">
        <v>401</v>
      </c>
      <c r="BM71" s="7">
        <v>0.2308</v>
      </c>
      <c r="BN71" s="7">
        <v>0.2288</v>
      </c>
      <c r="BO71" s="4">
        <v>3</v>
      </c>
      <c r="BP71" s="8">
        <v>182.28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122</v>
      </c>
      <c r="BX71" s="2" t="s">
        <v>402</v>
      </c>
      <c r="BY71" s="2" t="s">
        <v>112</v>
      </c>
      <c r="BZ71" s="2" t="s">
        <v>100</v>
      </c>
    </row>
    <row r="72">
      <c r="A72" s="2" t="s">
        <v>403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394</v>
      </c>
      <c r="G72" s="2" t="s">
        <v>395</v>
      </c>
      <c r="H72" s="2" t="s">
        <v>396</v>
      </c>
      <c r="I72" s="2" t="s">
        <v>397</v>
      </c>
      <c r="J72" s="2" t="s">
        <v>120</v>
      </c>
      <c r="K72" s="2" t="s">
        <v>357</v>
      </c>
      <c r="L72" s="3">
        <v>76.49</v>
      </c>
      <c r="M72" s="3">
        <v>80.32</v>
      </c>
      <c r="N72" s="3">
        <v>159.99</v>
      </c>
      <c r="O72" s="2" t="s">
        <v>97</v>
      </c>
      <c r="P72" s="2" t="s">
        <v>98</v>
      </c>
      <c r="Q72" s="2" t="s">
        <v>99</v>
      </c>
      <c r="R72" s="2" t="s">
        <v>100</v>
      </c>
      <c r="S72" s="2" t="s">
        <v>398</v>
      </c>
      <c r="T72" s="2" t="s">
        <v>100</v>
      </c>
      <c r="U72" s="2" t="s">
        <v>102</v>
      </c>
      <c r="V72" s="2" t="s">
        <v>344</v>
      </c>
      <c r="W72" s="2" t="s">
        <v>104</v>
      </c>
      <c r="X72" s="2" t="s">
        <v>399</v>
      </c>
      <c r="Y72" s="2" t="s">
        <v>131</v>
      </c>
      <c r="Z72" s="4">
        <v>217</v>
      </c>
      <c r="AA72" s="4">
        <f>=ROUNDDOWN(16.6923076923077,0)</f>
      </c>
      <c r="AB72" s="5">
        <v>13</v>
      </c>
      <c r="AC72" s="2" t="s">
        <v>400</v>
      </c>
      <c r="AD72" s="4">
        <v>130</v>
      </c>
      <c r="AE72" s="4">
        <v>340</v>
      </c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1</v>
      </c>
      <c r="AQ72" s="8">
        <v>71.58</v>
      </c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0.282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11</v>
      </c>
      <c r="BK72" s="8">
        <v>872.23</v>
      </c>
      <c r="BL72" s="2" t="s">
        <v>404</v>
      </c>
      <c r="BM72" s="7">
        <v>0.0909</v>
      </c>
      <c r="BN72" s="7">
        <v>0.0821</v>
      </c>
      <c r="BO72" s="4">
        <v>1</v>
      </c>
      <c r="BP72" s="8">
        <v>71.58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122</v>
      </c>
      <c r="BX72" s="2" t="s">
        <v>170</v>
      </c>
      <c r="BY72" s="2" t="s">
        <v>112</v>
      </c>
      <c r="BZ72" s="2" t="s">
        <v>100</v>
      </c>
    </row>
    <row r="73">
      <c r="A73" s="2" t="s">
        <v>405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394</v>
      </c>
      <c r="G73" s="2" t="s">
        <v>395</v>
      </c>
      <c r="H73" s="2" t="s">
        <v>396</v>
      </c>
      <c r="I73" s="2" t="s">
        <v>397</v>
      </c>
      <c r="J73" s="2" t="s">
        <v>124</v>
      </c>
      <c r="K73" s="2" t="s">
        <v>357</v>
      </c>
      <c r="L73" s="3">
        <v>76.49</v>
      </c>
      <c r="M73" s="3">
        <v>80.32</v>
      </c>
      <c r="N73" s="3">
        <v>159.99</v>
      </c>
      <c r="O73" s="2" t="s">
        <v>97</v>
      </c>
      <c r="P73" s="2" t="s">
        <v>98</v>
      </c>
      <c r="Q73" s="2" t="s">
        <v>99</v>
      </c>
      <c r="R73" s="2" t="s">
        <v>100</v>
      </c>
      <c r="S73" s="2" t="s">
        <v>398</v>
      </c>
      <c r="T73" s="2" t="s">
        <v>100</v>
      </c>
      <c r="U73" s="2" t="s">
        <v>102</v>
      </c>
      <c r="V73" s="2" t="s">
        <v>344</v>
      </c>
      <c r="W73" s="2" t="s">
        <v>104</v>
      </c>
      <c r="X73" s="2" t="s">
        <v>399</v>
      </c>
      <c r="Y73" s="2" t="s">
        <v>131</v>
      </c>
      <c r="Z73" s="4">
        <v>154</v>
      </c>
      <c r="AA73" s="4">
        <f>=ROUNDDOWN(25.6666666666667,0)</f>
      </c>
      <c r="AB73" s="5">
        <v>6</v>
      </c>
      <c r="AC73" s="2" t="s">
        <v>406</v>
      </c>
      <c r="AD73" s="4">
        <v>70</v>
      </c>
      <c r="AE73" s="4">
        <v>70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/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2</v>
      </c>
      <c r="BK73" s="8">
        <v>124.41</v>
      </c>
      <c r="BL73" s="2" t="s">
        <v>407</v>
      </c>
      <c r="BM73" s="7"/>
      <c r="BN73" s="7"/>
      <c r="BO73" s="4"/>
      <c r="BP73" s="8"/>
      <c r="BQ73" s="4"/>
      <c r="BR73" s="8"/>
      <c r="BS73" s="7"/>
      <c r="BT73" s="7"/>
      <c r="BU73" s="2" t="s">
        <v>109</v>
      </c>
      <c r="BV73" s="2" t="s">
        <v>97</v>
      </c>
      <c r="BW73" s="2" t="s">
        <v>122</v>
      </c>
      <c r="BX73" s="2" t="s">
        <v>260</v>
      </c>
      <c r="BY73" s="2" t="s">
        <v>112</v>
      </c>
      <c r="BZ73" s="2" t="s">
        <v>100</v>
      </c>
    </row>
    <row r="74">
      <c r="A74" s="2" t="s">
        <v>408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394</v>
      </c>
      <c r="G74" s="2" t="s">
        <v>395</v>
      </c>
      <c r="H74" s="2" t="s">
        <v>396</v>
      </c>
      <c r="I74" s="2" t="s">
        <v>397</v>
      </c>
      <c r="J74" s="2" t="s">
        <v>114</v>
      </c>
      <c r="K74" s="2" t="s">
        <v>409</v>
      </c>
      <c r="L74" s="3">
        <v>66.29</v>
      </c>
      <c r="M74" s="3">
        <v>69.61</v>
      </c>
      <c r="N74" s="3">
        <v>139.99</v>
      </c>
      <c r="O74" s="2" t="s">
        <v>97</v>
      </c>
      <c r="P74" s="2" t="s">
        <v>98</v>
      </c>
      <c r="Q74" s="2" t="s">
        <v>99</v>
      </c>
      <c r="R74" s="2" t="s">
        <v>100</v>
      </c>
      <c r="S74" s="2" t="s">
        <v>410</v>
      </c>
      <c r="T74" s="2" t="s">
        <v>100</v>
      </c>
      <c r="U74" s="2" t="s">
        <v>102</v>
      </c>
      <c r="V74" s="2" t="s">
        <v>344</v>
      </c>
      <c r="W74" s="2" t="s">
        <v>104</v>
      </c>
      <c r="X74" s="2" t="s">
        <v>399</v>
      </c>
      <c r="Y74" s="2" t="s">
        <v>131</v>
      </c>
      <c r="Z74" s="4">
        <v>446</v>
      </c>
      <c r="AA74" s="4">
        <f>=ROUNDDOWN(29.7333333333333,0)</f>
      </c>
      <c r="AB74" s="5">
        <v>15</v>
      </c>
      <c r="AC74" s="2" t="s">
        <v>411</v>
      </c>
      <c r="AD74" s="4">
        <v>80</v>
      </c>
      <c r="AE74" s="4">
        <v>400</v>
      </c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>
        <v>1</v>
      </c>
      <c r="AW74" s="8">
        <v>73.79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/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>
        <v>0.1636</v>
      </c>
      <c r="BJ74" s="4">
        <v>15</v>
      </c>
      <c r="BK74" s="8">
        <v>1004.83</v>
      </c>
      <c r="BL74" s="2" t="s">
        <v>412</v>
      </c>
      <c r="BM74" s="7"/>
      <c r="BN74" s="7"/>
      <c r="BO74" s="4"/>
      <c r="BP74" s="8"/>
      <c r="BQ74" s="4"/>
      <c r="BR74" s="8"/>
      <c r="BS74" s="7"/>
      <c r="BT74" s="7"/>
      <c r="BU74" s="2" t="s">
        <v>109</v>
      </c>
      <c r="BV74" s="2" t="s">
        <v>97</v>
      </c>
      <c r="BW74" s="2" t="s">
        <v>122</v>
      </c>
      <c r="BX74" s="2" t="s">
        <v>225</v>
      </c>
      <c r="BY74" s="2" t="s">
        <v>112</v>
      </c>
      <c r="BZ74" s="2" t="s">
        <v>100</v>
      </c>
    </row>
    <row r="75">
      <c r="A75" s="2" t="s">
        <v>413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394</v>
      </c>
      <c r="G75" s="2" t="s">
        <v>395</v>
      </c>
      <c r="H75" s="2" t="s">
        <v>396</v>
      </c>
      <c r="I75" s="2" t="s">
        <v>397</v>
      </c>
      <c r="J75" s="2" t="s">
        <v>120</v>
      </c>
      <c r="K75" s="2" t="s">
        <v>409</v>
      </c>
      <c r="L75" s="3">
        <v>76.49</v>
      </c>
      <c r="M75" s="3">
        <v>80.32</v>
      </c>
      <c r="N75" s="3">
        <v>159.99</v>
      </c>
      <c r="O75" s="2" t="s">
        <v>97</v>
      </c>
      <c r="P75" s="2" t="s">
        <v>98</v>
      </c>
      <c r="Q75" s="2" t="s">
        <v>99</v>
      </c>
      <c r="R75" s="2" t="s">
        <v>100</v>
      </c>
      <c r="S75" s="2" t="s">
        <v>410</v>
      </c>
      <c r="T75" s="2" t="s">
        <v>100</v>
      </c>
      <c r="U75" s="2" t="s">
        <v>102</v>
      </c>
      <c r="V75" s="2" t="s">
        <v>344</v>
      </c>
      <c r="W75" s="2" t="s">
        <v>104</v>
      </c>
      <c r="X75" s="2" t="s">
        <v>399</v>
      </c>
      <c r="Y75" s="2" t="s">
        <v>131</v>
      </c>
      <c r="Z75" s="4">
        <v>428</v>
      </c>
      <c r="AA75" s="4">
        <f>=ROUNDDOWN(30.5714285714286,0)</f>
      </c>
      <c r="AB75" s="5">
        <v>14</v>
      </c>
      <c r="AC75" s="2" t="s">
        <v>406</v>
      </c>
      <c r="AD75" s="4">
        <v>150</v>
      </c>
      <c r="AE75" s="4">
        <v>150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/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 t="s">
        <v>100</v>
      </c>
      <c r="BJ75" s="4">
        <v>8</v>
      </c>
      <c r="BK75" s="8">
        <v>600.31</v>
      </c>
      <c r="BL75" s="2" t="s">
        <v>388</v>
      </c>
      <c r="BM75" s="7"/>
      <c r="BN75" s="7"/>
      <c r="BO75" s="4"/>
      <c r="BP75" s="8"/>
      <c r="BQ75" s="4"/>
      <c r="BR75" s="8"/>
      <c r="BS75" s="7"/>
      <c r="BT75" s="7"/>
      <c r="BU75" s="2" t="s">
        <v>109</v>
      </c>
      <c r="BV75" s="2" t="s">
        <v>97</v>
      </c>
      <c r="BW75" s="2" t="s">
        <v>122</v>
      </c>
      <c r="BX75" s="2" t="s">
        <v>166</v>
      </c>
      <c r="BY75" s="2" t="s">
        <v>112</v>
      </c>
      <c r="BZ75" s="2" t="s">
        <v>100</v>
      </c>
    </row>
    <row r="76">
      <c r="A76" s="2" t="s">
        <v>414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394</v>
      </c>
      <c r="G76" s="2" t="s">
        <v>395</v>
      </c>
      <c r="H76" s="2" t="s">
        <v>396</v>
      </c>
      <c r="I76" s="2" t="s">
        <v>397</v>
      </c>
      <c r="J76" s="2" t="s">
        <v>124</v>
      </c>
      <c r="K76" s="2" t="s">
        <v>409</v>
      </c>
      <c r="L76" s="3">
        <v>76.49</v>
      </c>
      <c r="M76" s="3">
        <v>80.32</v>
      </c>
      <c r="N76" s="3">
        <v>159.99</v>
      </c>
      <c r="O76" s="2" t="s">
        <v>97</v>
      </c>
      <c r="P76" s="2" t="s">
        <v>98</v>
      </c>
      <c r="Q76" s="2" t="s">
        <v>99</v>
      </c>
      <c r="R76" s="2" t="s">
        <v>100</v>
      </c>
      <c r="S76" s="2" t="s">
        <v>410</v>
      </c>
      <c r="T76" s="2" t="s">
        <v>100</v>
      </c>
      <c r="U76" s="2" t="s">
        <v>102</v>
      </c>
      <c r="V76" s="2" t="s">
        <v>344</v>
      </c>
      <c r="W76" s="2" t="s">
        <v>104</v>
      </c>
      <c r="X76" s="2" t="s">
        <v>399</v>
      </c>
      <c r="Y76" s="2" t="s">
        <v>131</v>
      </c>
      <c r="Z76" s="4">
        <v>220</v>
      </c>
      <c r="AA76" s="4">
        <f>=ROUNDDOWN(44,0)</f>
      </c>
      <c r="AB76" s="5">
        <v>5</v>
      </c>
      <c r="AC76" s="2" t="s">
        <v>406</v>
      </c>
      <c r="AD76" s="4">
        <v>50</v>
      </c>
      <c r="AE76" s="4">
        <v>50</v>
      </c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1</v>
      </c>
      <c r="AQ76" s="8">
        <v>73.79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1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5</v>
      </c>
      <c r="BK76" s="8">
        <v>360.49</v>
      </c>
      <c r="BL76" s="2" t="s">
        <v>354</v>
      </c>
      <c r="BM76" s="7">
        <v>0.2</v>
      </c>
      <c r="BN76" s="7">
        <v>0.2047</v>
      </c>
      <c r="BO76" s="4">
        <v>1</v>
      </c>
      <c r="BP76" s="8">
        <v>73.79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122</v>
      </c>
      <c r="BX76" s="2" t="s">
        <v>222</v>
      </c>
      <c r="BY76" s="2" t="s">
        <v>112</v>
      </c>
      <c r="BZ76" s="2" t="s">
        <v>100</v>
      </c>
    </row>
    <row r="77">
      <c r="A77" s="2" t="s">
        <v>415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394</v>
      </c>
      <c r="G77" s="2" t="s">
        <v>395</v>
      </c>
      <c r="H77" s="2" t="s">
        <v>396</v>
      </c>
      <c r="I77" s="2" t="s">
        <v>397</v>
      </c>
      <c r="J77" s="2" t="s">
        <v>114</v>
      </c>
      <c r="K77" s="2" t="s">
        <v>416</v>
      </c>
      <c r="L77" s="3">
        <v>66.29</v>
      </c>
      <c r="M77" s="3">
        <v>69.61</v>
      </c>
      <c r="N77" s="3">
        <v>139.99</v>
      </c>
      <c r="O77" s="2" t="s">
        <v>97</v>
      </c>
      <c r="P77" s="2" t="s">
        <v>98</v>
      </c>
      <c r="Q77" s="2" t="s">
        <v>99</v>
      </c>
      <c r="R77" s="2" t="s">
        <v>100</v>
      </c>
      <c r="S77" s="2" t="s">
        <v>417</v>
      </c>
      <c r="T77" s="2" t="s">
        <v>100</v>
      </c>
      <c r="U77" s="2" t="s">
        <v>102</v>
      </c>
      <c r="V77" s="2" t="s">
        <v>344</v>
      </c>
      <c r="W77" s="2" t="s">
        <v>104</v>
      </c>
      <c r="X77" s="2" t="s">
        <v>399</v>
      </c>
      <c r="Y77" s="2" t="s">
        <v>131</v>
      </c>
      <c r="Z77" s="4">
        <v>210</v>
      </c>
      <c r="AA77" s="4">
        <f>=ROUNDDOWN(13.125,0)</f>
      </c>
      <c r="AB77" s="5">
        <v>16</v>
      </c>
      <c r="AC77" s="2" t="s">
        <v>400</v>
      </c>
      <c r="AD77" s="4">
        <v>110</v>
      </c>
      <c r="AE77" s="4">
        <v>530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>
        <v>1</v>
      </c>
      <c r="AQ77" s="8">
        <v>62.64</v>
      </c>
      <c r="AR77" s="4"/>
      <c r="AS77" s="8"/>
      <c r="AT77" s="7"/>
      <c r="AU77" s="7"/>
      <c r="AV77" s="4">
        <v>1</v>
      </c>
      <c r="AW77" s="8">
        <v>62.64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1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>
        <v>0.1389</v>
      </c>
      <c r="BJ77" s="4">
        <v>8</v>
      </c>
      <c r="BK77" s="8">
        <v>516.96</v>
      </c>
      <c r="BL77" s="2" t="s">
        <v>418</v>
      </c>
      <c r="BM77" s="7">
        <v>0.125</v>
      </c>
      <c r="BN77" s="7">
        <v>0.1212</v>
      </c>
      <c r="BO77" s="4">
        <v>1</v>
      </c>
      <c r="BP77" s="8">
        <v>62.64</v>
      </c>
      <c r="BQ77" s="4"/>
      <c r="BR77" s="8"/>
      <c r="BS77" s="7"/>
      <c r="BT77" s="7"/>
      <c r="BU77" s="2" t="s">
        <v>109</v>
      </c>
      <c r="BV77" s="2" t="s">
        <v>97</v>
      </c>
      <c r="BW77" s="2" t="s">
        <v>122</v>
      </c>
      <c r="BX77" s="2" t="s">
        <v>419</v>
      </c>
      <c r="BY77" s="2" t="s">
        <v>112</v>
      </c>
      <c r="BZ77" s="2" t="s">
        <v>100</v>
      </c>
    </row>
    <row r="78">
      <c r="A78" s="2" t="s">
        <v>420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394</v>
      </c>
      <c r="G78" s="2" t="s">
        <v>395</v>
      </c>
      <c r="H78" s="2" t="s">
        <v>396</v>
      </c>
      <c r="I78" s="2" t="s">
        <v>397</v>
      </c>
      <c r="J78" s="2" t="s">
        <v>120</v>
      </c>
      <c r="K78" s="2" t="s">
        <v>416</v>
      </c>
      <c r="L78" s="3">
        <v>76.49</v>
      </c>
      <c r="M78" s="3">
        <v>80.32</v>
      </c>
      <c r="N78" s="3">
        <v>159.99</v>
      </c>
      <c r="O78" s="2" t="s">
        <v>97</v>
      </c>
      <c r="P78" s="2" t="s">
        <v>98</v>
      </c>
      <c r="Q78" s="2" t="s">
        <v>99</v>
      </c>
      <c r="R78" s="2" t="s">
        <v>100</v>
      </c>
      <c r="S78" s="2" t="s">
        <v>417</v>
      </c>
      <c r="T78" s="2" t="s">
        <v>100</v>
      </c>
      <c r="U78" s="2" t="s">
        <v>102</v>
      </c>
      <c r="V78" s="2" t="s">
        <v>344</v>
      </c>
      <c r="W78" s="2" t="s">
        <v>104</v>
      </c>
      <c r="X78" s="2" t="s">
        <v>399</v>
      </c>
      <c r="Y78" s="2" t="s">
        <v>131</v>
      </c>
      <c r="Z78" s="4">
        <v>136</v>
      </c>
      <c r="AA78" s="4">
        <f>=ROUNDDOWN(15.1111111111111,0)</f>
      </c>
      <c r="AB78" s="5">
        <v>9</v>
      </c>
      <c r="AC78" s="2" t="s">
        <v>400</v>
      </c>
      <c r="AD78" s="4">
        <v>50</v>
      </c>
      <c r="AE78" s="4">
        <v>230</v>
      </c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/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12</v>
      </c>
      <c r="BK78" s="8">
        <v>979.59</v>
      </c>
      <c r="BL78" s="2" t="s">
        <v>391</v>
      </c>
      <c r="BM78" s="7"/>
      <c r="BN78" s="7"/>
      <c r="BO78" s="4"/>
      <c r="BP78" s="8"/>
      <c r="BQ78" s="4"/>
      <c r="BR78" s="8"/>
      <c r="BS78" s="7"/>
      <c r="BT78" s="7"/>
      <c r="BU78" s="2" t="s">
        <v>109</v>
      </c>
      <c r="BV78" s="2" t="s">
        <v>97</v>
      </c>
      <c r="BW78" s="2" t="s">
        <v>122</v>
      </c>
      <c r="BX78" s="2" t="s">
        <v>421</v>
      </c>
      <c r="BY78" s="2" t="s">
        <v>112</v>
      </c>
      <c r="BZ78" s="2" t="s">
        <v>100</v>
      </c>
    </row>
    <row r="79">
      <c r="A79" s="2" t="s">
        <v>422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394</v>
      </c>
      <c r="G79" s="2" t="s">
        <v>395</v>
      </c>
      <c r="H79" s="2" t="s">
        <v>396</v>
      </c>
      <c r="I79" s="2" t="s">
        <v>397</v>
      </c>
      <c r="J79" s="2" t="s">
        <v>124</v>
      </c>
      <c r="K79" s="2" t="s">
        <v>416</v>
      </c>
      <c r="L79" s="3">
        <v>76.49</v>
      </c>
      <c r="M79" s="3">
        <v>80.32</v>
      </c>
      <c r="N79" s="3">
        <v>159.99</v>
      </c>
      <c r="O79" s="2" t="s">
        <v>97</v>
      </c>
      <c r="P79" s="2" t="s">
        <v>98</v>
      </c>
      <c r="Q79" s="2" t="s">
        <v>99</v>
      </c>
      <c r="R79" s="2" t="s">
        <v>100</v>
      </c>
      <c r="S79" s="2" t="s">
        <v>417</v>
      </c>
      <c r="T79" s="2" t="s">
        <v>100</v>
      </c>
      <c r="U79" s="2" t="s">
        <v>102</v>
      </c>
      <c r="V79" s="2" t="s">
        <v>344</v>
      </c>
      <c r="W79" s="2" t="s">
        <v>104</v>
      </c>
      <c r="X79" s="2" t="s">
        <v>399</v>
      </c>
      <c r="Y79" s="2" t="s">
        <v>131</v>
      </c>
      <c r="Z79" s="4">
        <v>193</v>
      </c>
      <c r="AA79" s="4">
        <f>=ROUNDDOWN(64.3333333333333,0)</f>
      </c>
      <c r="AB79" s="5">
        <v>3</v>
      </c>
      <c r="AC79" s="2" t="s">
        <v>100</v>
      </c>
      <c r="AD79" s="4"/>
      <c r="AE79" s="4"/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/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3</v>
      </c>
      <c r="BK79" s="8">
        <v>207.42</v>
      </c>
      <c r="BL79" s="2" t="s">
        <v>407</v>
      </c>
      <c r="BM79" s="7"/>
      <c r="BN79" s="7"/>
      <c r="BO79" s="4"/>
      <c r="BP79" s="8"/>
      <c r="BQ79" s="4"/>
      <c r="BR79" s="8"/>
      <c r="BS79" s="7"/>
      <c r="BT79" s="7"/>
      <c r="BU79" s="2" t="s">
        <v>109</v>
      </c>
      <c r="BV79" s="2" t="s">
        <v>97</v>
      </c>
      <c r="BW79" s="2" t="s">
        <v>122</v>
      </c>
      <c r="BX79" s="2" t="s">
        <v>423</v>
      </c>
      <c r="BY79" s="2" t="s">
        <v>112</v>
      </c>
      <c r="BZ79" s="2" t="s">
        <v>100</v>
      </c>
    </row>
    <row r="80">
      <c r="A80" s="2" t="s">
        <v>424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394</v>
      </c>
      <c r="G80" s="2" t="s">
        <v>395</v>
      </c>
      <c r="H80" s="2" t="s">
        <v>396</v>
      </c>
      <c r="I80" s="2" t="s">
        <v>397</v>
      </c>
      <c r="J80" s="2" t="s">
        <v>114</v>
      </c>
      <c r="K80" s="2" t="s">
        <v>163</v>
      </c>
      <c r="L80" s="3">
        <v>66.29</v>
      </c>
      <c r="M80" s="3">
        <v>69.61</v>
      </c>
      <c r="N80" s="3">
        <v>139.99</v>
      </c>
      <c r="O80" s="2" t="s">
        <v>97</v>
      </c>
      <c r="P80" s="2" t="s">
        <v>98</v>
      </c>
      <c r="Q80" s="2" t="s">
        <v>99</v>
      </c>
      <c r="R80" s="2" t="s">
        <v>100</v>
      </c>
      <c r="S80" s="2" t="s">
        <v>425</v>
      </c>
      <c r="T80" s="2" t="s">
        <v>100</v>
      </c>
      <c r="U80" s="2" t="s">
        <v>102</v>
      </c>
      <c r="V80" s="2" t="s">
        <v>344</v>
      </c>
      <c r="W80" s="2" t="s">
        <v>104</v>
      </c>
      <c r="X80" s="2" t="s">
        <v>399</v>
      </c>
      <c r="Y80" s="2" t="s">
        <v>131</v>
      </c>
      <c r="Z80" s="4">
        <v>231</v>
      </c>
      <c r="AA80" s="4">
        <f>=ROUNDDOWN(21,0)</f>
      </c>
      <c r="AB80" s="5">
        <v>11</v>
      </c>
      <c r="AC80" s="2" t="s">
        <v>411</v>
      </c>
      <c r="AD80" s="4">
        <v>80</v>
      </c>
      <c r="AE80" s="4">
        <v>320</v>
      </c>
      <c r="AF80" s="6">
        <v>64</v>
      </c>
      <c r="AG80" s="6">
        <v>47</v>
      </c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1</v>
      </c>
      <c r="AQ80" s="8">
        <v>60.76</v>
      </c>
      <c r="AR80" s="4"/>
      <c r="AS80" s="8"/>
      <c r="AT80" s="7"/>
      <c r="AU80" s="7"/>
      <c r="AV80" s="4">
        <v>1</v>
      </c>
      <c r="AW80" s="8">
        <v>60.76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1</v>
      </c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>
        <v>0.1347</v>
      </c>
      <c r="BJ80" s="4">
        <v>5</v>
      </c>
      <c r="BK80" s="8">
        <v>335.16</v>
      </c>
      <c r="BL80" s="2" t="s">
        <v>426</v>
      </c>
      <c r="BM80" s="7">
        <v>0.2</v>
      </c>
      <c r="BN80" s="7">
        <v>0.1813</v>
      </c>
      <c r="BO80" s="4">
        <v>1</v>
      </c>
      <c r="BP80" s="8">
        <v>60.76</v>
      </c>
      <c r="BQ80" s="4"/>
      <c r="BR80" s="8"/>
      <c r="BS80" s="7"/>
      <c r="BT80" s="7"/>
      <c r="BU80" s="2" t="s">
        <v>109</v>
      </c>
      <c r="BV80" s="2" t="s">
        <v>97</v>
      </c>
      <c r="BW80" s="2" t="s">
        <v>122</v>
      </c>
      <c r="BX80" s="2" t="s">
        <v>427</v>
      </c>
      <c r="BY80" s="2" t="s">
        <v>112</v>
      </c>
      <c r="BZ80" s="2" t="s">
        <v>100</v>
      </c>
    </row>
    <row r="81">
      <c r="A81" s="2" t="s">
        <v>428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394</v>
      </c>
      <c r="G81" s="2" t="s">
        <v>395</v>
      </c>
      <c r="H81" s="2" t="s">
        <v>396</v>
      </c>
      <c r="I81" s="2" t="s">
        <v>397</v>
      </c>
      <c r="J81" s="2" t="s">
        <v>120</v>
      </c>
      <c r="K81" s="2" t="s">
        <v>163</v>
      </c>
      <c r="L81" s="3">
        <v>76.49</v>
      </c>
      <c r="M81" s="3">
        <v>80.32</v>
      </c>
      <c r="N81" s="3">
        <v>159.99</v>
      </c>
      <c r="O81" s="2" t="s">
        <v>97</v>
      </c>
      <c r="P81" s="2" t="s">
        <v>98</v>
      </c>
      <c r="Q81" s="2" t="s">
        <v>99</v>
      </c>
      <c r="R81" s="2" t="s">
        <v>100</v>
      </c>
      <c r="S81" s="2" t="s">
        <v>425</v>
      </c>
      <c r="T81" s="2" t="s">
        <v>100</v>
      </c>
      <c r="U81" s="2" t="s">
        <v>102</v>
      </c>
      <c r="V81" s="2" t="s">
        <v>344</v>
      </c>
      <c r="W81" s="2" t="s">
        <v>104</v>
      </c>
      <c r="X81" s="2" t="s">
        <v>399</v>
      </c>
      <c r="Y81" s="2" t="s">
        <v>131</v>
      </c>
      <c r="Z81" s="4">
        <v>192</v>
      </c>
      <c r="AA81" s="4">
        <f>=ROUNDDOWN(21.3333333333333,0)</f>
      </c>
      <c r="AB81" s="5">
        <v>9</v>
      </c>
      <c r="AC81" s="2" t="s">
        <v>429</v>
      </c>
      <c r="AD81" s="4">
        <v>230</v>
      </c>
      <c r="AE81" s="4">
        <v>230</v>
      </c>
      <c r="AF81" s="6">
        <v>64</v>
      </c>
      <c r="AG81" s="6">
        <v>47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/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9</v>
      </c>
      <c r="BK81" s="8">
        <v>696.31</v>
      </c>
      <c r="BL81" s="2" t="s">
        <v>430</v>
      </c>
      <c r="BM81" s="7"/>
      <c r="BN81" s="7"/>
      <c r="BO81" s="4"/>
      <c r="BP81" s="8"/>
      <c r="BQ81" s="4"/>
      <c r="BR81" s="8"/>
      <c r="BS81" s="7"/>
      <c r="BT81" s="7"/>
      <c r="BU81" s="2" t="s">
        <v>109</v>
      </c>
      <c r="BV81" s="2" t="s">
        <v>97</v>
      </c>
      <c r="BW81" s="2" t="s">
        <v>122</v>
      </c>
      <c r="BX81" s="2" t="s">
        <v>225</v>
      </c>
      <c r="BY81" s="2" t="s">
        <v>112</v>
      </c>
      <c r="BZ81" s="2" t="s">
        <v>100</v>
      </c>
    </row>
    <row r="82">
      <c r="A82" s="2" t="s">
        <v>431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394</v>
      </c>
      <c r="G82" s="2" t="s">
        <v>395</v>
      </c>
      <c r="H82" s="2" t="s">
        <v>396</v>
      </c>
      <c r="I82" s="2" t="s">
        <v>397</v>
      </c>
      <c r="J82" s="2" t="s">
        <v>124</v>
      </c>
      <c r="K82" s="2" t="s">
        <v>163</v>
      </c>
      <c r="L82" s="3">
        <v>76.49</v>
      </c>
      <c r="M82" s="3">
        <v>80.32</v>
      </c>
      <c r="N82" s="3">
        <v>159.99</v>
      </c>
      <c r="O82" s="2" t="s">
        <v>97</v>
      </c>
      <c r="P82" s="2" t="s">
        <v>98</v>
      </c>
      <c r="Q82" s="2" t="s">
        <v>99</v>
      </c>
      <c r="R82" s="2" t="s">
        <v>100</v>
      </c>
      <c r="S82" s="2" t="s">
        <v>425</v>
      </c>
      <c r="T82" s="2" t="s">
        <v>100</v>
      </c>
      <c r="U82" s="2" t="s">
        <v>102</v>
      </c>
      <c r="V82" s="2" t="s">
        <v>344</v>
      </c>
      <c r="W82" s="2" t="s">
        <v>104</v>
      </c>
      <c r="X82" s="2" t="s">
        <v>399</v>
      </c>
      <c r="Y82" s="2" t="s">
        <v>131</v>
      </c>
      <c r="Z82" s="4">
        <v>180</v>
      </c>
      <c r="AA82" s="4">
        <f>=ROUNDDOWN(45,0)</f>
      </c>
      <c r="AB82" s="5">
        <v>4</v>
      </c>
      <c r="AC82" s="2" t="s">
        <v>429</v>
      </c>
      <c r="AD82" s="4">
        <v>50</v>
      </c>
      <c r="AE82" s="4">
        <v>50</v>
      </c>
      <c r="AF82" s="6">
        <v>64</v>
      </c>
      <c r="AG82" s="6">
        <v>47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/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1</v>
      </c>
      <c r="BK82" s="8">
        <v>73.79</v>
      </c>
      <c r="BL82" s="2" t="s">
        <v>210</v>
      </c>
      <c r="BM82" s="7"/>
      <c r="BN82" s="7"/>
      <c r="BO82" s="4"/>
      <c r="BP82" s="8"/>
      <c r="BQ82" s="4"/>
      <c r="BR82" s="8"/>
      <c r="BS82" s="7"/>
      <c r="BT82" s="7"/>
      <c r="BU82" s="2" t="s">
        <v>109</v>
      </c>
      <c r="BV82" s="2" t="s">
        <v>97</v>
      </c>
      <c r="BW82" s="2" t="s">
        <v>122</v>
      </c>
      <c r="BX82" s="2" t="s">
        <v>432</v>
      </c>
      <c r="BY82" s="2" t="s">
        <v>112</v>
      </c>
      <c r="BZ82" s="2" t="s">
        <v>100</v>
      </c>
    </row>
    <row r="83">
      <c r="A83" s="2" t="s">
        <v>433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394</v>
      </c>
      <c r="G83" s="2" t="s">
        <v>395</v>
      </c>
      <c r="H83" s="2" t="s">
        <v>396</v>
      </c>
      <c r="I83" s="2" t="s">
        <v>397</v>
      </c>
      <c r="J83" s="2" t="s">
        <v>114</v>
      </c>
      <c r="K83" s="2" t="s">
        <v>434</v>
      </c>
      <c r="L83" s="3">
        <v>66.29</v>
      </c>
      <c r="M83" s="3">
        <v>69.61</v>
      </c>
      <c r="N83" s="3">
        <v>139.99</v>
      </c>
      <c r="O83" s="2" t="s">
        <v>97</v>
      </c>
      <c r="P83" s="2" t="s">
        <v>98</v>
      </c>
      <c r="Q83" s="2" t="s">
        <v>99</v>
      </c>
      <c r="R83" s="2" t="s">
        <v>100</v>
      </c>
      <c r="S83" s="2" t="s">
        <v>435</v>
      </c>
      <c r="T83" s="2" t="s">
        <v>100</v>
      </c>
      <c r="U83" s="2" t="s">
        <v>102</v>
      </c>
      <c r="V83" s="2" t="s">
        <v>344</v>
      </c>
      <c r="W83" s="2" t="s">
        <v>104</v>
      </c>
      <c r="X83" s="2" t="s">
        <v>399</v>
      </c>
      <c r="Y83" s="2" t="s">
        <v>131</v>
      </c>
      <c r="Z83" s="4">
        <v>469</v>
      </c>
      <c r="AA83" s="4">
        <f>=ROUNDDOWN(24.6842105263158,0)</f>
      </c>
      <c r="AB83" s="5">
        <v>19</v>
      </c>
      <c r="AC83" s="2" t="s">
        <v>411</v>
      </c>
      <c r="AD83" s="4">
        <v>310</v>
      </c>
      <c r="AE83" s="4">
        <v>370</v>
      </c>
      <c r="AF83" s="6">
        <v>64</v>
      </c>
      <c r="AG83" s="6">
        <v>47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/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>
        <v>16</v>
      </c>
      <c r="BK83" s="8">
        <v>1065.89</v>
      </c>
      <c r="BL83" s="2" t="s">
        <v>436</v>
      </c>
      <c r="BM83" s="7"/>
      <c r="BN83" s="7"/>
      <c r="BO83" s="4"/>
      <c r="BP83" s="8"/>
      <c r="BQ83" s="4"/>
      <c r="BR83" s="8"/>
      <c r="BS83" s="7"/>
      <c r="BT83" s="7"/>
      <c r="BU83" s="2" t="s">
        <v>109</v>
      </c>
      <c r="BV83" s="2" t="s">
        <v>97</v>
      </c>
      <c r="BW83" s="2" t="s">
        <v>137</v>
      </c>
      <c r="BX83" s="2" t="s">
        <v>437</v>
      </c>
      <c r="BY83" s="2" t="s">
        <v>112</v>
      </c>
      <c r="BZ83" s="2" t="s">
        <v>100</v>
      </c>
    </row>
    <row r="84">
      <c r="A84" s="2" t="s">
        <v>438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394</v>
      </c>
      <c r="G84" s="2" t="s">
        <v>395</v>
      </c>
      <c r="H84" s="2" t="s">
        <v>396</v>
      </c>
      <c r="I84" s="2" t="s">
        <v>397</v>
      </c>
      <c r="J84" s="2" t="s">
        <v>120</v>
      </c>
      <c r="K84" s="2" t="s">
        <v>434</v>
      </c>
      <c r="L84" s="3">
        <v>76.49</v>
      </c>
      <c r="M84" s="3">
        <v>80.32</v>
      </c>
      <c r="N84" s="3">
        <v>159.99</v>
      </c>
      <c r="O84" s="2" t="s">
        <v>97</v>
      </c>
      <c r="P84" s="2" t="s">
        <v>98</v>
      </c>
      <c r="Q84" s="2" t="s">
        <v>99</v>
      </c>
      <c r="R84" s="2" t="s">
        <v>100</v>
      </c>
      <c r="S84" s="2" t="s">
        <v>435</v>
      </c>
      <c r="T84" s="2" t="s">
        <v>100</v>
      </c>
      <c r="U84" s="2" t="s">
        <v>102</v>
      </c>
      <c r="V84" s="2" t="s">
        <v>344</v>
      </c>
      <c r="W84" s="2" t="s">
        <v>104</v>
      </c>
      <c r="X84" s="2" t="s">
        <v>399</v>
      </c>
      <c r="Y84" s="2" t="s">
        <v>131</v>
      </c>
      <c r="Z84" s="4">
        <v>372</v>
      </c>
      <c r="AA84" s="4">
        <f>=ROUNDDOWN(28.6153846153846,0)</f>
      </c>
      <c r="AB84" s="5">
        <v>13</v>
      </c>
      <c r="AC84" s="2" t="s">
        <v>411</v>
      </c>
      <c r="AD84" s="4">
        <v>190</v>
      </c>
      <c r="AE84" s="4">
        <v>230</v>
      </c>
      <c r="AF84" s="6">
        <v>64</v>
      </c>
      <c r="AG84" s="6">
        <v>47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/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6</v>
      </c>
      <c r="BK84" s="8">
        <v>451.8</v>
      </c>
      <c r="BL84" s="2" t="s">
        <v>330</v>
      </c>
      <c r="BM84" s="7"/>
      <c r="BN84" s="7"/>
      <c r="BO84" s="4"/>
      <c r="BP84" s="8"/>
      <c r="BQ84" s="4"/>
      <c r="BR84" s="8"/>
      <c r="BS84" s="7"/>
      <c r="BT84" s="7"/>
      <c r="BU84" s="2" t="s">
        <v>109</v>
      </c>
      <c r="BV84" s="2" t="s">
        <v>97</v>
      </c>
      <c r="BW84" s="2" t="s">
        <v>137</v>
      </c>
      <c r="BX84" s="2" t="s">
        <v>439</v>
      </c>
      <c r="BY84" s="2" t="s">
        <v>112</v>
      </c>
      <c r="BZ84" s="2" t="s">
        <v>100</v>
      </c>
    </row>
    <row r="85">
      <c r="A85" s="2" t="s">
        <v>440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394</v>
      </c>
      <c r="G85" s="2" t="s">
        <v>395</v>
      </c>
      <c r="H85" s="2" t="s">
        <v>396</v>
      </c>
      <c r="I85" s="2" t="s">
        <v>397</v>
      </c>
      <c r="J85" s="2" t="s">
        <v>124</v>
      </c>
      <c r="K85" s="2" t="s">
        <v>434</v>
      </c>
      <c r="L85" s="3">
        <v>76.49</v>
      </c>
      <c r="M85" s="3">
        <v>80.32</v>
      </c>
      <c r="N85" s="3">
        <v>159.99</v>
      </c>
      <c r="O85" s="2" t="s">
        <v>97</v>
      </c>
      <c r="P85" s="2" t="s">
        <v>98</v>
      </c>
      <c r="Q85" s="2" t="s">
        <v>99</v>
      </c>
      <c r="R85" s="2" t="s">
        <v>100</v>
      </c>
      <c r="S85" s="2" t="s">
        <v>435</v>
      </c>
      <c r="T85" s="2" t="s">
        <v>100</v>
      </c>
      <c r="U85" s="2" t="s">
        <v>102</v>
      </c>
      <c r="V85" s="2" t="s">
        <v>344</v>
      </c>
      <c r="W85" s="2" t="s">
        <v>104</v>
      </c>
      <c r="X85" s="2" t="s">
        <v>399</v>
      </c>
      <c r="Y85" s="2" t="s">
        <v>131</v>
      </c>
      <c r="Z85" s="4">
        <v>241</v>
      </c>
      <c r="AA85" s="4">
        <f>=ROUNDDOWN(80.3333333333333,0)</f>
      </c>
      <c r="AB85" s="5">
        <v>3</v>
      </c>
      <c r="AC85" s="2" t="s">
        <v>100</v>
      </c>
      <c r="AD85" s="4"/>
      <c r="AE85" s="4"/>
      <c r="AF85" s="6">
        <v>64</v>
      </c>
      <c r="AG85" s="6">
        <v>47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/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2</v>
      </c>
      <c r="BK85" s="8">
        <v>173.82</v>
      </c>
      <c r="BL85" s="2" t="s">
        <v>441</v>
      </c>
      <c r="BM85" s="7"/>
      <c r="BN85" s="7"/>
      <c r="BO85" s="4"/>
      <c r="BP85" s="8"/>
      <c r="BQ85" s="4"/>
      <c r="BR85" s="8"/>
      <c r="BS85" s="7"/>
      <c r="BT85" s="7"/>
      <c r="BU85" s="2" t="s">
        <v>109</v>
      </c>
      <c r="BV85" s="2" t="s">
        <v>97</v>
      </c>
      <c r="BW85" s="2" t="s">
        <v>137</v>
      </c>
      <c r="BX85" s="2" t="s">
        <v>442</v>
      </c>
      <c r="BY85" s="2" t="s">
        <v>112</v>
      </c>
      <c r="BZ85" s="2" t="s">
        <v>100</v>
      </c>
    </row>
    <row r="86">
      <c r="A86" s="2" t="s">
        <v>443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444</v>
      </c>
      <c r="G86" s="2" t="s">
        <v>445</v>
      </c>
      <c r="H86" s="2" t="s">
        <v>446</v>
      </c>
      <c r="I86" s="2" t="s">
        <v>241</v>
      </c>
      <c r="J86" s="2" t="s">
        <v>114</v>
      </c>
      <c r="K86" s="2" t="s">
        <v>372</v>
      </c>
      <c r="L86" s="3">
        <v>61.96</v>
      </c>
      <c r="M86" s="3">
        <v>65.06</v>
      </c>
      <c r="N86" s="3">
        <v>124.99</v>
      </c>
      <c r="O86" s="2" t="s">
        <v>97</v>
      </c>
      <c r="P86" s="2" t="s">
        <v>447</v>
      </c>
      <c r="Q86" s="2" t="s">
        <v>99</v>
      </c>
      <c r="R86" s="2" t="s">
        <v>100</v>
      </c>
      <c r="S86" s="2" t="s">
        <v>448</v>
      </c>
      <c r="T86" s="2" t="s">
        <v>100</v>
      </c>
      <c r="U86" s="2" t="s">
        <v>102</v>
      </c>
      <c r="V86" s="2" t="s">
        <v>449</v>
      </c>
      <c r="W86" s="2" t="s">
        <v>104</v>
      </c>
      <c r="X86" s="2" t="s">
        <v>450</v>
      </c>
      <c r="Y86" s="2" t="s">
        <v>131</v>
      </c>
      <c r="Z86" s="4">
        <v>176</v>
      </c>
      <c r="AA86" s="4">
        <f>=ROUNDDOWN(14.6666666666667,0)</f>
      </c>
      <c r="AB86" s="5">
        <v>12</v>
      </c>
      <c r="AC86" s="2" t="s">
        <v>100</v>
      </c>
      <c r="AD86" s="4"/>
      <c r="AE86" s="4"/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2</v>
      </c>
      <c r="AQ86" s="8">
        <v>151.8</v>
      </c>
      <c r="AR86" s="4"/>
      <c r="AS86" s="8"/>
      <c r="AT86" s="7"/>
      <c r="AU86" s="7"/>
      <c r="AV86" s="4">
        <v>2</v>
      </c>
      <c r="AW86" s="8">
        <v>151.8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1</v>
      </c>
      <c r="BC86" s="4">
        <v>5</v>
      </c>
      <c r="BD86" s="8">
        <v>413.22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>
        <v>0.3674</v>
      </c>
      <c r="BJ86" s="4">
        <v>7</v>
      </c>
      <c r="BK86" s="8">
        <v>353.69</v>
      </c>
      <c r="BL86" s="2" t="s">
        <v>354</v>
      </c>
      <c r="BM86" s="7">
        <v>0.2857</v>
      </c>
      <c r="BN86" s="7">
        <v>0.4292</v>
      </c>
      <c r="BO86" s="4">
        <v>2</v>
      </c>
      <c r="BP86" s="8">
        <v>151.8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122</v>
      </c>
      <c r="BX86" s="2" t="s">
        <v>118</v>
      </c>
      <c r="BY86" s="2" t="s">
        <v>112</v>
      </c>
      <c r="BZ86" s="2" t="s">
        <v>100</v>
      </c>
    </row>
    <row r="87">
      <c r="A87" s="2" t="s">
        <v>451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444</v>
      </c>
      <c r="G87" s="2" t="s">
        <v>445</v>
      </c>
      <c r="H87" s="2" t="s">
        <v>446</v>
      </c>
      <c r="I87" s="2" t="s">
        <v>241</v>
      </c>
      <c r="J87" s="2" t="s">
        <v>120</v>
      </c>
      <c r="K87" s="2" t="s">
        <v>372</v>
      </c>
      <c r="L87" s="3">
        <v>71.14</v>
      </c>
      <c r="M87" s="3">
        <v>74.7</v>
      </c>
      <c r="N87" s="3">
        <v>144.99</v>
      </c>
      <c r="O87" s="2" t="s">
        <v>97</v>
      </c>
      <c r="P87" s="2" t="s">
        <v>447</v>
      </c>
      <c r="Q87" s="2" t="s">
        <v>99</v>
      </c>
      <c r="R87" s="2" t="s">
        <v>100</v>
      </c>
      <c r="S87" s="2" t="s">
        <v>448</v>
      </c>
      <c r="T87" s="2" t="s">
        <v>100</v>
      </c>
      <c r="U87" s="2" t="s">
        <v>102</v>
      </c>
      <c r="V87" s="2" t="s">
        <v>449</v>
      </c>
      <c r="W87" s="2" t="s">
        <v>104</v>
      </c>
      <c r="X87" s="2" t="s">
        <v>450</v>
      </c>
      <c r="Y87" s="2" t="s">
        <v>131</v>
      </c>
      <c r="Z87" s="4">
        <v>338</v>
      </c>
      <c r="AA87" s="4">
        <f>=ROUNDDOWN(42.25,0)</f>
      </c>
      <c r="AB87" s="5">
        <v>8</v>
      </c>
      <c r="AC87" s="2" t="s">
        <v>100</v>
      </c>
      <c r="AD87" s="4"/>
      <c r="AE87" s="4"/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/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5</v>
      </c>
      <c r="BK87" s="8">
        <v>243.11</v>
      </c>
      <c r="BL87" s="2" t="s">
        <v>374</v>
      </c>
      <c r="BM87" s="7"/>
      <c r="BN87" s="7"/>
      <c r="BO87" s="4"/>
      <c r="BP87" s="8"/>
      <c r="BQ87" s="4"/>
      <c r="BR87" s="8"/>
      <c r="BS87" s="7"/>
      <c r="BT87" s="7"/>
      <c r="BU87" s="2" t="s">
        <v>109</v>
      </c>
      <c r="BV87" s="2" t="s">
        <v>97</v>
      </c>
      <c r="BW87" s="2" t="s">
        <v>122</v>
      </c>
      <c r="BX87" s="2" t="s">
        <v>452</v>
      </c>
      <c r="BY87" s="2" t="s">
        <v>112</v>
      </c>
      <c r="BZ87" s="2" t="s">
        <v>100</v>
      </c>
    </row>
    <row r="88">
      <c r="A88" s="2" t="s">
        <v>453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444</v>
      </c>
      <c r="G88" s="2" t="s">
        <v>445</v>
      </c>
      <c r="H88" s="2" t="s">
        <v>446</v>
      </c>
      <c r="I88" s="2" t="s">
        <v>241</v>
      </c>
      <c r="J88" s="2" t="s">
        <v>124</v>
      </c>
      <c r="K88" s="2" t="s">
        <v>372</v>
      </c>
      <c r="L88" s="3">
        <v>71.14</v>
      </c>
      <c r="M88" s="3">
        <v>74.7</v>
      </c>
      <c r="N88" s="3">
        <v>144.99</v>
      </c>
      <c r="O88" s="2" t="s">
        <v>97</v>
      </c>
      <c r="P88" s="2" t="s">
        <v>447</v>
      </c>
      <c r="Q88" s="2" t="s">
        <v>99</v>
      </c>
      <c r="R88" s="2" t="s">
        <v>100</v>
      </c>
      <c r="S88" s="2" t="s">
        <v>448</v>
      </c>
      <c r="T88" s="2" t="s">
        <v>100</v>
      </c>
      <c r="U88" s="2" t="s">
        <v>102</v>
      </c>
      <c r="V88" s="2" t="s">
        <v>449</v>
      </c>
      <c r="W88" s="2" t="s">
        <v>104</v>
      </c>
      <c r="X88" s="2" t="s">
        <v>450</v>
      </c>
      <c r="Y88" s="2" t="s">
        <v>131</v>
      </c>
      <c r="Z88" s="4">
        <v>108</v>
      </c>
      <c r="AA88" s="4">
        <f>=ROUNDDOWN(18,0)</f>
      </c>
      <c r="AB88" s="5">
        <v>6</v>
      </c>
      <c r="AC88" s="2" t="s">
        <v>100</v>
      </c>
      <c r="AD88" s="4"/>
      <c r="AE88" s="4"/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/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1</v>
      </c>
      <c r="BK88" s="8">
        <v>37.61</v>
      </c>
      <c r="BL88" s="2" t="s">
        <v>133</v>
      </c>
      <c r="BM88" s="7"/>
      <c r="BN88" s="7"/>
      <c r="BO88" s="4"/>
      <c r="BP88" s="8"/>
      <c r="BQ88" s="4"/>
      <c r="BR88" s="8"/>
      <c r="BS88" s="7"/>
      <c r="BT88" s="7"/>
      <c r="BU88" s="2" t="s">
        <v>109</v>
      </c>
      <c r="BV88" s="2" t="s">
        <v>97</v>
      </c>
      <c r="BW88" s="2" t="s">
        <v>122</v>
      </c>
      <c r="BX88" s="2" t="s">
        <v>454</v>
      </c>
      <c r="BY88" s="2" t="s">
        <v>112</v>
      </c>
      <c r="BZ88" s="2" t="s">
        <v>100</v>
      </c>
    </row>
    <row r="89">
      <c r="A89" s="2" t="s">
        <v>455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444</v>
      </c>
      <c r="G89" s="2" t="s">
        <v>445</v>
      </c>
      <c r="H89" s="2" t="s">
        <v>446</v>
      </c>
      <c r="I89" s="2" t="s">
        <v>241</v>
      </c>
      <c r="J89" s="2" t="s">
        <v>95</v>
      </c>
      <c r="K89" s="2" t="s">
        <v>185</v>
      </c>
      <c r="L89" s="3">
        <v>53.99</v>
      </c>
      <c r="M89" s="3">
        <v>56.69</v>
      </c>
      <c r="N89" s="3">
        <v>109.99</v>
      </c>
      <c r="O89" s="2" t="s">
        <v>97</v>
      </c>
      <c r="P89" s="2" t="s">
        <v>447</v>
      </c>
      <c r="Q89" s="2" t="s">
        <v>99</v>
      </c>
      <c r="R89" s="2" t="s">
        <v>100</v>
      </c>
      <c r="S89" s="2" t="s">
        <v>456</v>
      </c>
      <c r="T89" s="2" t="s">
        <v>100</v>
      </c>
      <c r="U89" s="2" t="s">
        <v>102</v>
      </c>
      <c r="V89" s="2" t="s">
        <v>449</v>
      </c>
      <c r="W89" s="2" t="s">
        <v>104</v>
      </c>
      <c r="X89" s="2" t="s">
        <v>450</v>
      </c>
      <c r="Y89" s="2" t="s">
        <v>131</v>
      </c>
      <c r="Z89" s="4">
        <v>40</v>
      </c>
      <c r="AA89" s="4">
        <f>=ROUNDDOWN(13.3333333333333,0)</f>
      </c>
      <c r="AB89" s="5">
        <v>3</v>
      </c>
      <c r="AC89" s="2" t="s">
        <v>100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>
        <v>1</v>
      </c>
      <c r="AW89" s="8">
        <v>87.14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/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>
        <v>0.2109</v>
      </c>
      <c r="BJ89" s="4">
        <v>1</v>
      </c>
      <c r="BK89" s="8">
        <v>26.19</v>
      </c>
      <c r="BL89" s="2" t="s">
        <v>133</v>
      </c>
      <c r="BM89" s="7"/>
      <c r="BN89" s="7"/>
      <c r="BO89" s="4"/>
      <c r="BP89" s="8"/>
      <c r="BQ89" s="4"/>
      <c r="BR89" s="8"/>
      <c r="BS89" s="7"/>
      <c r="BT89" s="7"/>
      <c r="BU89" s="2" t="s">
        <v>109</v>
      </c>
      <c r="BV89" s="2" t="s">
        <v>97</v>
      </c>
      <c r="BW89" s="2" t="s">
        <v>122</v>
      </c>
      <c r="BX89" s="2" t="s">
        <v>457</v>
      </c>
      <c r="BY89" s="2" t="s">
        <v>112</v>
      </c>
      <c r="BZ89" s="2" t="s">
        <v>100</v>
      </c>
    </row>
    <row r="90">
      <c r="A90" s="2" t="s">
        <v>458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444</v>
      </c>
      <c r="G90" s="2" t="s">
        <v>445</v>
      </c>
      <c r="H90" s="2" t="s">
        <v>446</v>
      </c>
      <c r="I90" s="2" t="s">
        <v>241</v>
      </c>
      <c r="J90" s="2" t="s">
        <v>114</v>
      </c>
      <c r="K90" s="2" t="s">
        <v>185</v>
      </c>
      <c r="L90" s="3">
        <v>61.96</v>
      </c>
      <c r="M90" s="3">
        <v>65.06</v>
      </c>
      <c r="N90" s="3">
        <v>124.99</v>
      </c>
      <c r="O90" s="2" t="s">
        <v>97</v>
      </c>
      <c r="P90" s="2" t="s">
        <v>447</v>
      </c>
      <c r="Q90" s="2" t="s">
        <v>99</v>
      </c>
      <c r="R90" s="2" t="s">
        <v>100</v>
      </c>
      <c r="S90" s="2" t="s">
        <v>456</v>
      </c>
      <c r="T90" s="2" t="s">
        <v>100</v>
      </c>
      <c r="U90" s="2" t="s">
        <v>102</v>
      </c>
      <c r="V90" s="2" t="s">
        <v>449</v>
      </c>
      <c r="W90" s="2" t="s">
        <v>104</v>
      </c>
      <c r="X90" s="2" t="s">
        <v>450</v>
      </c>
      <c r="Y90" s="2" t="s">
        <v>131</v>
      </c>
      <c r="Z90" s="4">
        <v>213</v>
      </c>
      <c r="AA90" s="4">
        <f>=ROUNDDOWN(23.6666666666667,0)</f>
      </c>
      <c r="AB90" s="5">
        <v>9</v>
      </c>
      <c r="AC90" s="2" t="s">
        <v>100</v>
      </c>
      <c r="AD90" s="4"/>
      <c r="AE90" s="4"/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/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17</v>
      </c>
      <c r="BK90" s="8">
        <v>645.97</v>
      </c>
      <c r="BL90" s="2" t="s">
        <v>459</v>
      </c>
      <c r="BM90" s="7"/>
      <c r="BN90" s="7"/>
      <c r="BO90" s="4"/>
      <c r="BP90" s="8"/>
      <c r="BQ90" s="4"/>
      <c r="BR90" s="8"/>
      <c r="BS90" s="7"/>
      <c r="BT90" s="7"/>
      <c r="BU90" s="2" t="s">
        <v>109</v>
      </c>
      <c r="BV90" s="2" t="s">
        <v>97</v>
      </c>
      <c r="BW90" s="2" t="s">
        <v>137</v>
      </c>
      <c r="BX90" s="2" t="s">
        <v>249</v>
      </c>
      <c r="BY90" s="2" t="s">
        <v>112</v>
      </c>
      <c r="BZ90" s="2" t="s">
        <v>100</v>
      </c>
    </row>
    <row r="91">
      <c r="A91" s="2" t="s">
        <v>460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444</v>
      </c>
      <c r="G91" s="2" t="s">
        <v>445</v>
      </c>
      <c r="H91" s="2" t="s">
        <v>446</v>
      </c>
      <c r="I91" s="2" t="s">
        <v>241</v>
      </c>
      <c r="J91" s="2" t="s">
        <v>120</v>
      </c>
      <c r="K91" s="2" t="s">
        <v>185</v>
      </c>
      <c r="L91" s="3">
        <v>71.14</v>
      </c>
      <c r="M91" s="3">
        <v>74.7</v>
      </c>
      <c r="N91" s="3">
        <v>144.99</v>
      </c>
      <c r="O91" s="2" t="s">
        <v>97</v>
      </c>
      <c r="P91" s="2" t="s">
        <v>447</v>
      </c>
      <c r="Q91" s="2" t="s">
        <v>99</v>
      </c>
      <c r="R91" s="2" t="s">
        <v>100</v>
      </c>
      <c r="S91" s="2" t="s">
        <v>456</v>
      </c>
      <c r="T91" s="2" t="s">
        <v>100</v>
      </c>
      <c r="U91" s="2" t="s">
        <v>102</v>
      </c>
      <c r="V91" s="2" t="s">
        <v>449</v>
      </c>
      <c r="W91" s="2" t="s">
        <v>104</v>
      </c>
      <c r="X91" s="2" t="s">
        <v>450</v>
      </c>
      <c r="Y91" s="2" t="s">
        <v>131</v>
      </c>
      <c r="Z91" s="4">
        <v>158</v>
      </c>
      <c r="AA91" s="4">
        <f>=ROUNDDOWN(19.75,0)</f>
      </c>
      <c r="AB91" s="5">
        <v>8</v>
      </c>
      <c r="AC91" s="2" t="s">
        <v>100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6</v>
      </c>
      <c r="BK91" s="8">
        <v>286.6</v>
      </c>
      <c r="BL91" s="2" t="s">
        <v>374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97</v>
      </c>
      <c r="BW91" s="2" t="s">
        <v>137</v>
      </c>
      <c r="BX91" s="2" t="s">
        <v>134</v>
      </c>
      <c r="BY91" s="2" t="s">
        <v>112</v>
      </c>
      <c r="BZ91" s="2" t="s">
        <v>100</v>
      </c>
    </row>
    <row r="92">
      <c r="A92" s="2" t="s">
        <v>461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444</v>
      </c>
      <c r="G92" s="2" t="s">
        <v>445</v>
      </c>
      <c r="H92" s="2" t="s">
        <v>446</v>
      </c>
      <c r="I92" s="2" t="s">
        <v>241</v>
      </c>
      <c r="J92" s="2" t="s">
        <v>124</v>
      </c>
      <c r="K92" s="2" t="s">
        <v>185</v>
      </c>
      <c r="L92" s="3">
        <v>71.14</v>
      </c>
      <c r="M92" s="3">
        <v>74.7</v>
      </c>
      <c r="N92" s="3">
        <v>144.99</v>
      </c>
      <c r="O92" s="2" t="s">
        <v>97</v>
      </c>
      <c r="P92" s="2" t="s">
        <v>447</v>
      </c>
      <c r="Q92" s="2" t="s">
        <v>99</v>
      </c>
      <c r="R92" s="2" t="s">
        <v>100</v>
      </c>
      <c r="S92" s="2" t="s">
        <v>456</v>
      </c>
      <c r="T92" s="2" t="s">
        <v>100</v>
      </c>
      <c r="U92" s="2" t="s">
        <v>102</v>
      </c>
      <c r="V92" s="2" t="s">
        <v>449</v>
      </c>
      <c r="W92" s="2" t="s">
        <v>104</v>
      </c>
      <c r="X92" s="2" t="s">
        <v>450</v>
      </c>
      <c r="Y92" s="2" t="s">
        <v>131</v>
      </c>
      <c r="Z92" s="4">
        <v>42</v>
      </c>
      <c r="AA92" s="4">
        <f>=ROUNDDOWN(12,0)</f>
      </c>
      <c r="AB92" s="5">
        <v>3.5</v>
      </c>
      <c r="AC92" s="2" t="s">
        <v>100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>
        <v>0</v>
      </c>
      <c r="AP92" s="4">
        <v>1</v>
      </c>
      <c r="AQ92" s="8">
        <v>87.14</v>
      </c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1</v>
      </c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3</v>
      </c>
      <c r="BK92" s="8">
        <v>168.24</v>
      </c>
      <c r="BL92" s="2" t="s">
        <v>462</v>
      </c>
      <c r="BM92" s="7">
        <v>0.3333</v>
      </c>
      <c r="BN92" s="7">
        <v>0.518</v>
      </c>
      <c r="BO92" s="4">
        <v>1</v>
      </c>
      <c r="BP92" s="8">
        <v>87.14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137</v>
      </c>
      <c r="BX92" s="2" t="s">
        <v>463</v>
      </c>
      <c r="BY92" s="2" t="s">
        <v>112</v>
      </c>
      <c r="BZ92" s="2" t="s">
        <v>100</v>
      </c>
    </row>
    <row r="93">
      <c r="A93" s="2" t="s">
        <v>464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444</v>
      </c>
      <c r="G93" s="2" t="s">
        <v>445</v>
      </c>
      <c r="H93" s="2" t="s">
        <v>446</v>
      </c>
      <c r="I93" s="2" t="s">
        <v>241</v>
      </c>
      <c r="J93" s="2" t="s">
        <v>114</v>
      </c>
      <c r="K93" s="2" t="s">
        <v>163</v>
      </c>
      <c r="L93" s="3">
        <v>61.96</v>
      </c>
      <c r="M93" s="3">
        <v>65.06</v>
      </c>
      <c r="N93" s="3">
        <v>124.99</v>
      </c>
      <c r="O93" s="2" t="s">
        <v>97</v>
      </c>
      <c r="P93" s="2" t="s">
        <v>447</v>
      </c>
      <c r="Q93" s="2" t="s">
        <v>99</v>
      </c>
      <c r="R93" s="2" t="s">
        <v>100</v>
      </c>
      <c r="S93" s="2" t="s">
        <v>465</v>
      </c>
      <c r="T93" s="2" t="s">
        <v>100</v>
      </c>
      <c r="U93" s="2" t="s">
        <v>102</v>
      </c>
      <c r="V93" s="2" t="s">
        <v>449</v>
      </c>
      <c r="W93" s="2" t="s">
        <v>104</v>
      </c>
      <c r="X93" s="2" t="s">
        <v>450</v>
      </c>
      <c r="Y93" s="2" t="s">
        <v>131</v>
      </c>
      <c r="Z93" s="4">
        <v>67</v>
      </c>
      <c r="AA93" s="4">
        <f>=ROUNDDOWN(5.15384615384615,0)</f>
      </c>
      <c r="AB93" s="5">
        <v>13</v>
      </c>
      <c r="AC93" s="2" t="s">
        <v>100</v>
      </c>
      <c r="AD93" s="4"/>
      <c r="AE93" s="4"/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>
        <v>1</v>
      </c>
      <c r="AW93" s="8">
        <v>87.14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/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>
        <v>0.2109</v>
      </c>
      <c r="BJ93" s="4">
        <v>38</v>
      </c>
      <c r="BK93" s="8">
        <v>1503.21</v>
      </c>
      <c r="BL93" s="2" t="s">
        <v>466</v>
      </c>
      <c r="BM93" s="7"/>
      <c r="BN93" s="7"/>
      <c r="BO93" s="4"/>
      <c r="BP93" s="8"/>
      <c r="BQ93" s="4"/>
      <c r="BR93" s="8"/>
      <c r="BS93" s="7"/>
      <c r="BT93" s="7"/>
      <c r="BU93" s="2" t="s">
        <v>109</v>
      </c>
      <c r="BV93" s="2" t="s">
        <v>97</v>
      </c>
      <c r="BW93" s="2" t="s">
        <v>122</v>
      </c>
      <c r="BX93" s="2" t="s">
        <v>216</v>
      </c>
      <c r="BY93" s="2" t="s">
        <v>112</v>
      </c>
      <c r="BZ93" s="2" t="s">
        <v>100</v>
      </c>
    </row>
    <row r="94">
      <c r="A94" s="2" t="s">
        <v>467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444</v>
      </c>
      <c r="G94" s="2" t="s">
        <v>445</v>
      </c>
      <c r="H94" s="2" t="s">
        <v>446</v>
      </c>
      <c r="I94" s="2" t="s">
        <v>241</v>
      </c>
      <c r="J94" s="2" t="s">
        <v>120</v>
      </c>
      <c r="K94" s="2" t="s">
        <v>163</v>
      </c>
      <c r="L94" s="3">
        <v>71.14</v>
      </c>
      <c r="M94" s="3">
        <v>74.7</v>
      </c>
      <c r="N94" s="3">
        <v>144.99</v>
      </c>
      <c r="O94" s="2" t="s">
        <v>97</v>
      </c>
      <c r="P94" s="2" t="s">
        <v>447</v>
      </c>
      <c r="Q94" s="2" t="s">
        <v>99</v>
      </c>
      <c r="R94" s="2" t="s">
        <v>100</v>
      </c>
      <c r="S94" s="2" t="s">
        <v>465</v>
      </c>
      <c r="T94" s="2" t="s">
        <v>100</v>
      </c>
      <c r="U94" s="2" t="s">
        <v>102</v>
      </c>
      <c r="V94" s="2" t="s">
        <v>449</v>
      </c>
      <c r="W94" s="2" t="s">
        <v>104</v>
      </c>
      <c r="X94" s="2" t="s">
        <v>450</v>
      </c>
      <c r="Y94" s="2" t="s">
        <v>131</v>
      </c>
      <c r="Z94" s="4"/>
      <c r="AA94" s="4">
        <f>=ROUNDDOWN({0},0)</f>
      </c>
      <c r="AB94" s="5">
        <v>20</v>
      </c>
      <c r="AC94" s="2" t="s">
        <v>100</v>
      </c>
      <c r="AD94" s="4"/>
      <c r="AE94" s="4"/>
      <c r="AF94" s="6">
        <v>65</v>
      </c>
      <c r="AG94" s="6">
        <v>48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1</v>
      </c>
      <c r="AQ94" s="8">
        <v>87.14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1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27</v>
      </c>
      <c r="BK94" s="8">
        <v>1367.99</v>
      </c>
      <c r="BL94" s="2" t="s">
        <v>468</v>
      </c>
      <c r="BM94" s="7">
        <v>0.037</v>
      </c>
      <c r="BN94" s="7">
        <v>0.0637</v>
      </c>
      <c r="BO94" s="4">
        <v>1</v>
      </c>
      <c r="BP94" s="8">
        <v>87.14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122</v>
      </c>
      <c r="BX94" s="2" t="s">
        <v>469</v>
      </c>
      <c r="BY94" s="2" t="s">
        <v>112</v>
      </c>
      <c r="BZ94" s="2" t="s">
        <v>100</v>
      </c>
    </row>
    <row r="95">
      <c r="A95" s="2" t="s">
        <v>470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444</v>
      </c>
      <c r="G95" s="2" t="s">
        <v>445</v>
      </c>
      <c r="H95" s="2" t="s">
        <v>446</v>
      </c>
      <c r="I95" s="2" t="s">
        <v>241</v>
      </c>
      <c r="J95" s="2" t="s">
        <v>124</v>
      </c>
      <c r="K95" s="2" t="s">
        <v>163</v>
      </c>
      <c r="L95" s="3">
        <v>71.14</v>
      </c>
      <c r="M95" s="3">
        <v>74.7</v>
      </c>
      <c r="N95" s="3">
        <v>144.99</v>
      </c>
      <c r="O95" s="2" t="s">
        <v>97</v>
      </c>
      <c r="P95" s="2" t="s">
        <v>447</v>
      </c>
      <c r="Q95" s="2" t="s">
        <v>99</v>
      </c>
      <c r="R95" s="2" t="s">
        <v>100</v>
      </c>
      <c r="S95" s="2" t="s">
        <v>465</v>
      </c>
      <c r="T95" s="2" t="s">
        <v>100</v>
      </c>
      <c r="U95" s="2" t="s">
        <v>102</v>
      </c>
      <c r="V95" s="2" t="s">
        <v>449</v>
      </c>
      <c r="W95" s="2" t="s">
        <v>104</v>
      </c>
      <c r="X95" s="2" t="s">
        <v>450</v>
      </c>
      <c r="Y95" s="2" t="s">
        <v>131</v>
      </c>
      <c r="Z95" s="4">
        <v>165</v>
      </c>
      <c r="AA95" s="4">
        <f>=ROUNDDOWN(27.5,0)</f>
      </c>
      <c r="AB95" s="5">
        <v>6</v>
      </c>
      <c r="AC95" s="2" t="s">
        <v>100</v>
      </c>
      <c r="AD95" s="4"/>
      <c r="AE95" s="4"/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/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10</v>
      </c>
      <c r="BK95" s="8">
        <v>469.5</v>
      </c>
      <c r="BL95" s="2" t="s">
        <v>471</v>
      </c>
      <c r="BM95" s="7"/>
      <c r="BN95" s="7"/>
      <c r="BO95" s="4"/>
      <c r="BP95" s="8"/>
      <c r="BQ95" s="4"/>
      <c r="BR95" s="8"/>
      <c r="BS95" s="7"/>
      <c r="BT95" s="7"/>
      <c r="BU95" s="2" t="s">
        <v>109</v>
      </c>
      <c r="BV95" s="2" t="s">
        <v>97</v>
      </c>
      <c r="BW95" s="2" t="s">
        <v>122</v>
      </c>
      <c r="BX95" s="2" t="s">
        <v>173</v>
      </c>
      <c r="BY95" s="2" t="s">
        <v>112</v>
      </c>
      <c r="BZ95" s="2" t="s">
        <v>100</v>
      </c>
    </row>
    <row r="96">
      <c r="A96" s="2" t="s">
        <v>472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444</v>
      </c>
      <c r="G96" s="2" t="s">
        <v>445</v>
      </c>
      <c r="H96" s="2" t="s">
        <v>446</v>
      </c>
      <c r="I96" s="2" t="s">
        <v>241</v>
      </c>
      <c r="J96" s="2" t="s">
        <v>114</v>
      </c>
      <c r="K96" s="2" t="s">
        <v>357</v>
      </c>
      <c r="L96" s="3">
        <v>61.96</v>
      </c>
      <c r="M96" s="3">
        <v>65.06</v>
      </c>
      <c r="N96" s="3">
        <v>124.99</v>
      </c>
      <c r="O96" s="2" t="s">
        <v>473</v>
      </c>
      <c r="P96" s="2" t="s">
        <v>447</v>
      </c>
      <c r="Q96" s="2" t="s">
        <v>99</v>
      </c>
      <c r="R96" s="2" t="s">
        <v>100</v>
      </c>
      <c r="S96" s="2" t="s">
        <v>474</v>
      </c>
      <c r="T96" s="2" t="s">
        <v>100</v>
      </c>
      <c r="U96" s="2" t="s">
        <v>102</v>
      </c>
      <c r="V96" s="2" t="s">
        <v>449</v>
      </c>
      <c r="W96" s="2" t="s">
        <v>104</v>
      </c>
      <c r="X96" s="2" t="s">
        <v>450</v>
      </c>
      <c r="Y96" s="2" t="s">
        <v>131</v>
      </c>
      <c r="Z96" s="4">
        <v>3</v>
      </c>
      <c r="AA96" s="4">
        <f>=ROUNDDOWN(0.25,0)</f>
      </c>
      <c r="AB96" s="5">
        <v>12</v>
      </c>
      <c r="AC96" s="2" t="s">
        <v>100</v>
      </c>
      <c r="AD96" s="4"/>
      <c r="AE96" s="4"/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>
        <v>1</v>
      </c>
      <c r="AW96" s="8">
        <v>87.14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/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>
        <v>0.2109</v>
      </c>
      <c r="BJ96" s="4">
        <v>18</v>
      </c>
      <c r="BK96" s="8">
        <v>639</v>
      </c>
      <c r="BL96" s="2" t="s">
        <v>475</v>
      </c>
      <c r="BM96" s="7"/>
      <c r="BN96" s="7"/>
      <c r="BO96" s="4"/>
      <c r="BP96" s="8"/>
      <c r="BQ96" s="4"/>
      <c r="BR96" s="8"/>
      <c r="BS96" s="7"/>
      <c r="BT96" s="7"/>
      <c r="BU96" s="2" t="s">
        <v>109</v>
      </c>
      <c r="BV96" s="2" t="s">
        <v>97</v>
      </c>
      <c r="BW96" s="2" t="s">
        <v>122</v>
      </c>
      <c r="BX96" s="2" t="s">
        <v>117</v>
      </c>
      <c r="BY96" s="2" t="s">
        <v>112</v>
      </c>
      <c r="BZ96" s="2" t="s">
        <v>100</v>
      </c>
    </row>
    <row r="97">
      <c r="A97" s="2" t="s">
        <v>476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444</v>
      </c>
      <c r="G97" s="2" t="s">
        <v>445</v>
      </c>
      <c r="H97" s="2" t="s">
        <v>446</v>
      </c>
      <c r="I97" s="2" t="s">
        <v>241</v>
      </c>
      <c r="J97" s="2" t="s">
        <v>120</v>
      </c>
      <c r="K97" s="2" t="s">
        <v>357</v>
      </c>
      <c r="L97" s="3">
        <v>71.14</v>
      </c>
      <c r="M97" s="3">
        <v>74.7</v>
      </c>
      <c r="N97" s="3">
        <v>144.99</v>
      </c>
      <c r="O97" s="2" t="s">
        <v>473</v>
      </c>
      <c r="P97" s="2" t="s">
        <v>447</v>
      </c>
      <c r="Q97" s="2" t="s">
        <v>99</v>
      </c>
      <c r="R97" s="2" t="s">
        <v>100</v>
      </c>
      <c r="S97" s="2" t="s">
        <v>474</v>
      </c>
      <c r="T97" s="2" t="s">
        <v>100</v>
      </c>
      <c r="U97" s="2" t="s">
        <v>102</v>
      </c>
      <c r="V97" s="2" t="s">
        <v>449</v>
      </c>
      <c r="W97" s="2" t="s">
        <v>104</v>
      </c>
      <c r="X97" s="2" t="s">
        <v>450</v>
      </c>
      <c r="Y97" s="2" t="s">
        <v>131</v>
      </c>
      <c r="Z97" s="4">
        <v>47</v>
      </c>
      <c r="AA97" s="4">
        <f>=ROUNDDOWN(3.91666666666667,0)</f>
      </c>
      <c r="AB97" s="5">
        <v>12</v>
      </c>
      <c r="AC97" s="2" t="s">
        <v>100</v>
      </c>
      <c r="AD97" s="4"/>
      <c r="AE97" s="4"/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/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12</v>
      </c>
      <c r="BK97" s="8">
        <v>529.79</v>
      </c>
      <c r="BL97" s="2" t="s">
        <v>477</v>
      </c>
      <c r="BM97" s="7"/>
      <c r="BN97" s="7"/>
      <c r="BO97" s="4"/>
      <c r="BP97" s="8"/>
      <c r="BQ97" s="4"/>
      <c r="BR97" s="8"/>
      <c r="BS97" s="7"/>
      <c r="BT97" s="7"/>
      <c r="BU97" s="2" t="s">
        <v>109</v>
      </c>
      <c r="BV97" s="2" t="s">
        <v>97</v>
      </c>
      <c r="BW97" s="2" t="s">
        <v>122</v>
      </c>
      <c r="BX97" s="2" t="s">
        <v>170</v>
      </c>
      <c r="BY97" s="2" t="s">
        <v>112</v>
      </c>
      <c r="BZ97" s="2" t="s">
        <v>100</v>
      </c>
    </row>
    <row r="98">
      <c r="A98" s="2" t="s">
        <v>478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444</v>
      </c>
      <c r="G98" s="2" t="s">
        <v>445</v>
      </c>
      <c r="H98" s="2" t="s">
        <v>446</v>
      </c>
      <c r="I98" s="2" t="s">
        <v>241</v>
      </c>
      <c r="J98" s="2" t="s">
        <v>124</v>
      </c>
      <c r="K98" s="2" t="s">
        <v>357</v>
      </c>
      <c r="L98" s="3">
        <v>71.14</v>
      </c>
      <c r="M98" s="3">
        <v>74.7</v>
      </c>
      <c r="N98" s="3">
        <v>144.99</v>
      </c>
      <c r="O98" s="2" t="s">
        <v>473</v>
      </c>
      <c r="P98" s="2" t="s">
        <v>447</v>
      </c>
      <c r="Q98" s="2" t="s">
        <v>99</v>
      </c>
      <c r="R98" s="2" t="s">
        <v>100</v>
      </c>
      <c r="S98" s="2" t="s">
        <v>474</v>
      </c>
      <c r="T98" s="2" t="s">
        <v>100</v>
      </c>
      <c r="U98" s="2" t="s">
        <v>102</v>
      </c>
      <c r="V98" s="2" t="s">
        <v>449</v>
      </c>
      <c r="W98" s="2" t="s">
        <v>104</v>
      </c>
      <c r="X98" s="2" t="s">
        <v>450</v>
      </c>
      <c r="Y98" s="2" t="s">
        <v>131</v>
      </c>
      <c r="Z98" s="4">
        <v>59</v>
      </c>
      <c r="AA98" s="4">
        <f>=ROUNDDOWN(11.8,0)</f>
      </c>
      <c r="AB98" s="5">
        <v>5</v>
      </c>
      <c r="AC98" s="2" t="s">
        <v>100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1</v>
      </c>
      <c r="AQ98" s="8">
        <v>87.14</v>
      </c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1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 t="s">
        <v>100</v>
      </c>
      <c r="BJ98" s="4">
        <v>5</v>
      </c>
      <c r="BK98" s="8">
        <v>284.38</v>
      </c>
      <c r="BL98" s="2" t="s">
        <v>479</v>
      </c>
      <c r="BM98" s="7">
        <v>0.2</v>
      </c>
      <c r="BN98" s="7">
        <v>0.3064</v>
      </c>
      <c r="BO98" s="4">
        <v>1</v>
      </c>
      <c r="BP98" s="8">
        <v>87.14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122</v>
      </c>
      <c r="BX98" s="2" t="s">
        <v>457</v>
      </c>
      <c r="BY98" s="2" t="s">
        <v>112</v>
      </c>
      <c r="BZ98" s="2" t="s">
        <v>100</v>
      </c>
    </row>
    <row r="99">
      <c r="A99" s="2" t="s">
        <v>480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444</v>
      </c>
      <c r="G99" s="2" t="s">
        <v>445</v>
      </c>
      <c r="H99" s="2" t="s">
        <v>446</v>
      </c>
      <c r="I99" s="2" t="s">
        <v>241</v>
      </c>
      <c r="J99" s="2" t="s">
        <v>114</v>
      </c>
      <c r="K99" s="2" t="s">
        <v>340</v>
      </c>
      <c r="L99" s="3">
        <v>61.96</v>
      </c>
      <c r="M99" s="3">
        <v>65.06</v>
      </c>
      <c r="N99" s="3">
        <v>124.99</v>
      </c>
      <c r="O99" s="2" t="s">
        <v>97</v>
      </c>
      <c r="P99" s="2" t="s">
        <v>447</v>
      </c>
      <c r="Q99" s="2" t="s">
        <v>99</v>
      </c>
      <c r="R99" s="2" t="s">
        <v>100</v>
      </c>
      <c r="S99" s="2" t="s">
        <v>481</v>
      </c>
      <c r="T99" s="2" t="s">
        <v>100</v>
      </c>
      <c r="U99" s="2" t="s">
        <v>102</v>
      </c>
      <c r="V99" s="2" t="s">
        <v>449</v>
      </c>
      <c r="W99" s="2" t="s">
        <v>104</v>
      </c>
      <c r="X99" s="2" t="s">
        <v>450</v>
      </c>
      <c r="Y99" s="2" t="s">
        <v>131</v>
      </c>
      <c r="Z99" s="4">
        <v>438</v>
      </c>
      <c r="AA99" s="4">
        <f>=ROUNDDOWN(27.375,0)</f>
      </c>
      <c r="AB99" s="5">
        <v>16</v>
      </c>
      <c r="AC99" s="2" t="s">
        <v>482</v>
      </c>
      <c r="AD99" s="4">
        <v>16</v>
      </c>
      <c r="AE99" s="4">
        <v>190</v>
      </c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/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24</v>
      </c>
      <c r="BK99" s="8">
        <v>909.97</v>
      </c>
      <c r="BL99" s="2" t="s">
        <v>483</v>
      </c>
      <c r="BM99" s="7"/>
      <c r="BN99" s="7"/>
      <c r="BO99" s="4"/>
      <c r="BP99" s="8"/>
      <c r="BQ99" s="4"/>
      <c r="BR99" s="8"/>
      <c r="BS99" s="7"/>
      <c r="BT99" s="7"/>
      <c r="BU99" s="2" t="s">
        <v>109</v>
      </c>
      <c r="BV99" s="2" t="s">
        <v>97</v>
      </c>
      <c r="BW99" s="2" t="s">
        <v>122</v>
      </c>
      <c r="BX99" s="2" t="s">
        <v>154</v>
      </c>
      <c r="BY99" s="2" t="s">
        <v>112</v>
      </c>
      <c r="BZ99" s="2" t="s">
        <v>100</v>
      </c>
    </row>
    <row r="100">
      <c r="A100" s="2" t="s">
        <v>484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444</v>
      </c>
      <c r="G100" s="2" t="s">
        <v>445</v>
      </c>
      <c r="H100" s="2" t="s">
        <v>446</v>
      </c>
      <c r="I100" s="2" t="s">
        <v>241</v>
      </c>
      <c r="J100" s="2" t="s">
        <v>120</v>
      </c>
      <c r="K100" s="2" t="s">
        <v>340</v>
      </c>
      <c r="L100" s="3">
        <v>71.14</v>
      </c>
      <c r="M100" s="3">
        <v>74.7</v>
      </c>
      <c r="N100" s="3">
        <v>144.99</v>
      </c>
      <c r="O100" s="2" t="s">
        <v>97</v>
      </c>
      <c r="P100" s="2" t="s">
        <v>447</v>
      </c>
      <c r="Q100" s="2" t="s">
        <v>99</v>
      </c>
      <c r="R100" s="2" t="s">
        <v>100</v>
      </c>
      <c r="S100" s="2" t="s">
        <v>481</v>
      </c>
      <c r="T100" s="2" t="s">
        <v>100</v>
      </c>
      <c r="U100" s="2" t="s">
        <v>102</v>
      </c>
      <c r="V100" s="2" t="s">
        <v>449</v>
      </c>
      <c r="W100" s="2" t="s">
        <v>104</v>
      </c>
      <c r="X100" s="2" t="s">
        <v>450</v>
      </c>
      <c r="Y100" s="2" t="s">
        <v>131</v>
      </c>
      <c r="Z100" s="4">
        <v>410</v>
      </c>
      <c r="AA100" s="4">
        <f>=ROUNDDOWN(31.5384615384615,0)</f>
      </c>
      <c r="AB100" s="5">
        <v>13</v>
      </c>
      <c r="AC100" s="2" t="s">
        <v>482</v>
      </c>
      <c r="AD100" s="4">
        <v>8</v>
      </c>
      <c r="AE100" s="4">
        <v>170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8</v>
      </c>
      <c r="BK100" s="8">
        <v>380.32</v>
      </c>
      <c r="BL100" s="2" t="s">
        <v>485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97</v>
      </c>
      <c r="BW100" s="2" t="s">
        <v>122</v>
      </c>
      <c r="BX100" s="2" t="s">
        <v>246</v>
      </c>
      <c r="BY100" s="2" t="s">
        <v>112</v>
      </c>
      <c r="BZ100" s="2" t="s">
        <v>100</v>
      </c>
    </row>
    <row r="101">
      <c r="A101" s="2" t="s">
        <v>486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444</v>
      </c>
      <c r="G101" s="2" t="s">
        <v>445</v>
      </c>
      <c r="H101" s="2" t="s">
        <v>446</v>
      </c>
      <c r="I101" s="2" t="s">
        <v>241</v>
      </c>
      <c r="J101" s="2" t="s">
        <v>124</v>
      </c>
      <c r="K101" s="2" t="s">
        <v>340</v>
      </c>
      <c r="L101" s="3">
        <v>71.14</v>
      </c>
      <c r="M101" s="3">
        <v>74.7</v>
      </c>
      <c r="N101" s="3">
        <v>144.99</v>
      </c>
      <c r="O101" s="2" t="s">
        <v>97</v>
      </c>
      <c r="P101" s="2" t="s">
        <v>447</v>
      </c>
      <c r="Q101" s="2" t="s">
        <v>99</v>
      </c>
      <c r="R101" s="2" t="s">
        <v>100</v>
      </c>
      <c r="S101" s="2" t="s">
        <v>481</v>
      </c>
      <c r="T101" s="2" t="s">
        <v>100</v>
      </c>
      <c r="U101" s="2" t="s">
        <v>102</v>
      </c>
      <c r="V101" s="2" t="s">
        <v>449</v>
      </c>
      <c r="W101" s="2" t="s">
        <v>104</v>
      </c>
      <c r="X101" s="2" t="s">
        <v>450</v>
      </c>
      <c r="Y101" s="2" t="s">
        <v>131</v>
      </c>
      <c r="Z101" s="4">
        <v>311</v>
      </c>
      <c r="AA101" s="4">
        <f>=ROUNDDOWN(51.8333333333333,0)</f>
      </c>
      <c r="AB101" s="5">
        <v>6</v>
      </c>
      <c r="AC101" s="2" t="s">
        <v>482</v>
      </c>
      <c r="AD101" s="4">
        <v>18</v>
      </c>
      <c r="AE101" s="4">
        <v>90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/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4</v>
      </c>
      <c r="BK101" s="8">
        <v>213.88</v>
      </c>
      <c r="BL101" s="2" t="s">
        <v>487</v>
      </c>
      <c r="BM101" s="7"/>
      <c r="BN101" s="7"/>
      <c r="BO101" s="4"/>
      <c r="BP101" s="8"/>
      <c r="BQ101" s="4"/>
      <c r="BR101" s="8"/>
      <c r="BS101" s="7"/>
      <c r="BT101" s="7"/>
      <c r="BU101" s="2" t="s">
        <v>109</v>
      </c>
      <c r="BV101" s="2" t="s">
        <v>97</v>
      </c>
      <c r="BW101" s="2" t="s">
        <v>122</v>
      </c>
      <c r="BX101" s="2" t="s">
        <v>432</v>
      </c>
      <c r="BY101" s="2" t="s">
        <v>112</v>
      </c>
      <c r="BZ101" s="2" t="s">
        <v>100</v>
      </c>
    </row>
    <row r="102">
      <c r="A102" s="2" t="s">
        <v>488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444</v>
      </c>
      <c r="G102" s="2" t="s">
        <v>445</v>
      </c>
      <c r="H102" s="2" t="s">
        <v>446</v>
      </c>
      <c r="I102" s="2" t="s">
        <v>241</v>
      </c>
      <c r="J102" s="2" t="s">
        <v>114</v>
      </c>
      <c r="K102" s="2" t="s">
        <v>253</v>
      </c>
      <c r="L102" s="3">
        <v>61.96</v>
      </c>
      <c r="M102" s="3">
        <v>65.06</v>
      </c>
      <c r="N102" s="3">
        <v>124.99</v>
      </c>
      <c r="O102" s="2" t="s">
        <v>97</v>
      </c>
      <c r="P102" s="2" t="s">
        <v>447</v>
      </c>
      <c r="Q102" s="2" t="s">
        <v>99</v>
      </c>
      <c r="R102" s="2" t="s">
        <v>100</v>
      </c>
      <c r="S102" s="2" t="s">
        <v>489</v>
      </c>
      <c r="T102" s="2" t="s">
        <v>100</v>
      </c>
      <c r="U102" s="2" t="s">
        <v>102</v>
      </c>
      <c r="V102" s="2" t="s">
        <v>449</v>
      </c>
      <c r="W102" s="2" t="s">
        <v>104</v>
      </c>
      <c r="X102" s="2" t="s">
        <v>450</v>
      </c>
      <c r="Y102" s="2" t="s">
        <v>131</v>
      </c>
      <c r="Z102" s="4">
        <v>220</v>
      </c>
      <c r="AA102" s="4">
        <f>=ROUNDDOWN(13.75,0)</f>
      </c>
      <c r="AB102" s="5">
        <v>16</v>
      </c>
      <c r="AC102" s="2" t="s">
        <v>100</v>
      </c>
      <c r="AD102" s="4"/>
      <c r="AE102" s="4"/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/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7</v>
      </c>
      <c r="BK102" s="8">
        <v>236.35</v>
      </c>
      <c r="BL102" s="2" t="s">
        <v>391</v>
      </c>
      <c r="BM102" s="7"/>
      <c r="BN102" s="7"/>
      <c r="BO102" s="4"/>
      <c r="BP102" s="8"/>
      <c r="BQ102" s="4"/>
      <c r="BR102" s="8"/>
      <c r="BS102" s="7"/>
      <c r="BT102" s="7"/>
      <c r="BU102" s="2" t="s">
        <v>109</v>
      </c>
      <c r="BV102" s="2" t="s">
        <v>97</v>
      </c>
      <c r="BW102" s="2" t="s">
        <v>122</v>
      </c>
      <c r="BX102" s="2" t="s">
        <v>490</v>
      </c>
      <c r="BY102" s="2" t="s">
        <v>112</v>
      </c>
      <c r="BZ102" s="2" t="s">
        <v>100</v>
      </c>
    </row>
    <row r="103">
      <c r="A103" s="2" t="s">
        <v>491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444</v>
      </c>
      <c r="G103" s="2" t="s">
        <v>445</v>
      </c>
      <c r="H103" s="2" t="s">
        <v>446</v>
      </c>
      <c r="I103" s="2" t="s">
        <v>241</v>
      </c>
      <c r="J103" s="2" t="s">
        <v>120</v>
      </c>
      <c r="K103" s="2" t="s">
        <v>253</v>
      </c>
      <c r="L103" s="3">
        <v>71.14</v>
      </c>
      <c r="M103" s="3">
        <v>74.7</v>
      </c>
      <c r="N103" s="3">
        <v>144.99</v>
      </c>
      <c r="O103" s="2" t="s">
        <v>97</v>
      </c>
      <c r="P103" s="2" t="s">
        <v>447</v>
      </c>
      <c r="Q103" s="2" t="s">
        <v>99</v>
      </c>
      <c r="R103" s="2" t="s">
        <v>100</v>
      </c>
      <c r="S103" s="2" t="s">
        <v>489</v>
      </c>
      <c r="T103" s="2" t="s">
        <v>100</v>
      </c>
      <c r="U103" s="2" t="s">
        <v>102</v>
      </c>
      <c r="V103" s="2" t="s">
        <v>449</v>
      </c>
      <c r="W103" s="2" t="s">
        <v>104</v>
      </c>
      <c r="X103" s="2" t="s">
        <v>450</v>
      </c>
      <c r="Y103" s="2" t="s">
        <v>131</v>
      </c>
      <c r="Z103" s="4">
        <v>224</v>
      </c>
      <c r="AA103" s="4">
        <f>=ROUNDDOWN(24.8888888888889,0)</f>
      </c>
      <c r="AB103" s="5">
        <v>9</v>
      </c>
      <c r="AC103" s="2" t="s">
        <v>100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/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9</v>
      </c>
      <c r="BK103" s="8">
        <v>381.59</v>
      </c>
      <c r="BL103" s="2" t="s">
        <v>492</v>
      </c>
      <c r="BM103" s="7"/>
      <c r="BN103" s="7"/>
      <c r="BO103" s="4"/>
      <c r="BP103" s="8"/>
      <c r="BQ103" s="4"/>
      <c r="BR103" s="8"/>
      <c r="BS103" s="7"/>
      <c r="BT103" s="7"/>
      <c r="BU103" s="2" t="s">
        <v>109</v>
      </c>
      <c r="BV103" s="2" t="s">
        <v>97</v>
      </c>
      <c r="BW103" s="2" t="s">
        <v>122</v>
      </c>
      <c r="BX103" s="2" t="s">
        <v>493</v>
      </c>
      <c r="BY103" s="2" t="s">
        <v>112</v>
      </c>
      <c r="BZ103" s="2" t="s">
        <v>100</v>
      </c>
    </row>
    <row r="104">
      <c r="A104" s="2" t="s">
        <v>494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444</v>
      </c>
      <c r="G104" s="2" t="s">
        <v>445</v>
      </c>
      <c r="H104" s="2" t="s">
        <v>446</v>
      </c>
      <c r="I104" s="2" t="s">
        <v>241</v>
      </c>
      <c r="J104" s="2" t="s">
        <v>124</v>
      </c>
      <c r="K104" s="2" t="s">
        <v>253</v>
      </c>
      <c r="L104" s="3">
        <v>71.14</v>
      </c>
      <c r="M104" s="3">
        <v>74.7</v>
      </c>
      <c r="N104" s="3">
        <v>144.99</v>
      </c>
      <c r="O104" s="2" t="s">
        <v>97</v>
      </c>
      <c r="P104" s="2" t="s">
        <v>447</v>
      </c>
      <c r="Q104" s="2" t="s">
        <v>99</v>
      </c>
      <c r="R104" s="2" t="s">
        <v>100</v>
      </c>
      <c r="S104" s="2" t="s">
        <v>489</v>
      </c>
      <c r="T104" s="2" t="s">
        <v>100</v>
      </c>
      <c r="U104" s="2" t="s">
        <v>102</v>
      </c>
      <c r="V104" s="2" t="s">
        <v>449</v>
      </c>
      <c r="W104" s="2" t="s">
        <v>104</v>
      </c>
      <c r="X104" s="2" t="s">
        <v>450</v>
      </c>
      <c r="Y104" s="2" t="s">
        <v>131</v>
      </c>
      <c r="Z104" s="4">
        <v>82</v>
      </c>
      <c r="AA104" s="4">
        <f>=ROUNDDOWN(20.5,0)</f>
      </c>
      <c r="AB104" s="5">
        <v>4</v>
      </c>
      <c r="AC104" s="2" t="s">
        <v>100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100</v>
      </c>
      <c r="AW104" s="8" t="s">
        <v>100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/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 t="s">
        <v>100</v>
      </c>
      <c r="BJ104" s="4">
        <v>2</v>
      </c>
      <c r="BK104" s="8">
        <v>83.39</v>
      </c>
      <c r="BL104" s="2" t="s">
        <v>391</v>
      </c>
      <c r="BM104" s="7"/>
      <c r="BN104" s="7"/>
      <c r="BO104" s="4"/>
      <c r="BP104" s="8"/>
      <c r="BQ104" s="4"/>
      <c r="BR104" s="8"/>
      <c r="BS104" s="7"/>
      <c r="BT104" s="7"/>
      <c r="BU104" s="2" t="s">
        <v>109</v>
      </c>
      <c r="BV104" s="2" t="s">
        <v>97</v>
      </c>
      <c r="BW104" s="2" t="s">
        <v>122</v>
      </c>
      <c r="BX104" s="2" t="s">
        <v>495</v>
      </c>
      <c r="BY104" s="2" t="s">
        <v>112</v>
      </c>
      <c r="BZ104" s="2" t="s">
        <v>100</v>
      </c>
    </row>
    <row r="105">
      <c r="A105" s="2" t="s">
        <v>496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444</v>
      </c>
      <c r="G105" s="2" t="s">
        <v>445</v>
      </c>
      <c r="H105" s="2" t="s">
        <v>446</v>
      </c>
      <c r="I105" s="2" t="s">
        <v>241</v>
      </c>
      <c r="J105" s="2" t="s">
        <v>114</v>
      </c>
      <c r="K105" s="2" t="s">
        <v>497</v>
      </c>
      <c r="L105" s="3">
        <v>61.96</v>
      </c>
      <c r="M105" s="3">
        <v>65.06</v>
      </c>
      <c r="N105" s="3">
        <v>124.99</v>
      </c>
      <c r="O105" s="2" t="s">
        <v>97</v>
      </c>
      <c r="P105" s="2" t="s">
        <v>447</v>
      </c>
      <c r="Q105" s="2" t="s">
        <v>99</v>
      </c>
      <c r="R105" s="2" t="s">
        <v>100</v>
      </c>
      <c r="S105" s="2" t="s">
        <v>498</v>
      </c>
      <c r="T105" s="2" t="s">
        <v>100</v>
      </c>
      <c r="U105" s="2" t="s">
        <v>102</v>
      </c>
      <c r="V105" s="2" t="s">
        <v>449</v>
      </c>
      <c r="W105" s="2" t="s">
        <v>104</v>
      </c>
      <c r="X105" s="2" t="s">
        <v>499</v>
      </c>
      <c r="Y105" s="2" t="s">
        <v>500</v>
      </c>
      <c r="Z105" s="4">
        <v>153</v>
      </c>
      <c r="AA105" s="4">
        <f>=ROUNDDOWN(17,0)</f>
      </c>
      <c r="AB105" s="5">
        <v>9</v>
      </c>
      <c r="AC105" s="2" t="s">
        <v>100</v>
      </c>
      <c r="AD105" s="4"/>
      <c r="AE105" s="4"/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/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9</v>
      </c>
      <c r="BK105" s="8">
        <v>494.77</v>
      </c>
      <c r="BL105" s="2" t="s">
        <v>501</v>
      </c>
      <c r="BM105" s="7"/>
      <c r="BN105" s="7"/>
      <c r="BO105" s="4"/>
      <c r="BP105" s="8"/>
      <c r="BQ105" s="4"/>
      <c r="BR105" s="8"/>
      <c r="BS105" s="7"/>
      <c r="BT105" s="7"/>
      <c r="BU105" s="2" t="s">
        <v>109</v>
      </c>
      <c r="BV105" s="2" t="s">
        <v>97</v>
      </c>
      <c r="BW105" s="2" t="s">
        <v>266</v>
      </c>
      <c r="BX105" s="2" t="s">
        <v>502</v>
      </c>
      <c r="BY105" s="2" t="s">
        <v>112</v>
      </c>
      <c r="BZ105" s="2" t="s">
        <v>100</v>
      </c>
    </row>
    <row r="106">
      <c r="A106" s="2" t="s">
        <v>503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444</v>
      </c>
      <c r="G106" s="2" t="s">
        <v>445</v>
      </c>
      <c r="H106" s="2" t="s">
        <v>446</v>
      </c>
      <c r="I106" s="2" t="s">
        <v>241</v>
      </c>
      <c r="J106" s="2" t="s">
        <v>120</v>
      </c>
      <c r="K106" s="2" t="s">
        <v>497</v>
      </c>
      <c r="L106" s="3">
        <v>71.14</v>
      </c>
      <c r="M106" s="3">
        <v>74.7</v>
      </c>
      <c r="N106" s="3">
        <v>144.99</v>
      </c>
      <c r="O106" s="2" t="s">
        <v>97</v>
      </c>
      <c r="P106" s="2" t="s">
        <v>447</v>
      </c>
      <c r="Q106" s="2" t="s">
        <v>99</v>
      </c>
      <c r="R106" s="2" t="s">
        <v>100</v>
      </c>
      <c r="S106" s="2" t="s">
        <v>498</v>
      </c>
      <c r="T106" s="2" t="s">
        <v>100</v>
      </c>
      <c r="U106" s="2" t="s">
        <v>102</v>
      </c>
      <c r="V106" s="2" t="s">
        <v>449</v>
      </c>
      <c r="W106" s="2" t="s">
        <v>104</v>
      </c>
      <c r="X106" s="2" t="s">
        <v>499</v>
      </c>
      <c r="Y106" s="2" t="s">
        <v>500</v>
      </c>
      <c r="Z106" s="4">
        <v>270</v>
      </c>
      <c r="AA106" s="4">
        <f>=ROUNDDOWN(38.5714285714286,0)</f>
      </c>
      <c r="AB106" s="5">
        <v>7</v>
      </c>
      <c r="AC106" s="2" t="s">
        <v>100</v>
      </c>
      <c r="AD106" s="4"/>
      <c r="AE106" s="4"/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/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3</v>
      </c>
      <c r="BK106" s="8">
        <v>120.65</v>
      </c>
      <c r="BL106" s="2" t="s">
        <v>504</v>
      </c>
      <c r="BM106" s="7"/>
      <c r="BN106" s="7"/>
      <c r="BO106" s="4"/>
      <c r="BP106" s="8"/>
      <c r="BQ106" s="4"/>
      <c r="BR106" s="8"/>
      <c r="BS106" s="7"/>
      <c r="BT106" s="7"/>
      <c r="BU106" s="2" t="s">
        <v>109</v>
      </c>
      <c r="BV106" s="2" t="s">
        <v>97</v>
      </c>
      <c r="BW106" s="2" t="s">
        <v>266</v>
      </c>
      <c r="BX106" s="2" t="s">
        <v>505</v>
      </c>
      <c r="BY106" s="2" t="s">
        <v>112</v>
      </c>
      <c r="BZ106" s="2" t="s">
        <v>100</v>
      </c>
    </row>
    <row r="107">
      <c r="A107" s="2" t="s">
        <v>506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444</v>
      </c>
      <c r="G107" s="2" t="s">
        <v>445</v>
      </c>
      <c r="H107" s="2" t="s">
        <v>446</v>
      </c>
      <c r="I107" s="2" t="s">
        <v>241</v>
      </c>
      <c r="J107" s="2" t="s">
        <v>124</v>
      </c>
      <c r="K107" s="2" t="s">
        <v>497</v>
      </c>
      <c r="L107" s="3">
        <v>71.14</v>
      </c>
      <c r="M107" s="3">
        <v>74.7</v>
      </c>
      <c r="N107" s="3">
        <v>144.99</v>
      </c>
      <c r="O107" s="2" t="s">
        <v>97</v>
      </c>
      <c r="P107" s="2" t="s">
        <v>447</v>
      </c>
      <c r="Q107" s="2" t="s">
        <v>99</v>
      </c>
      <c r="R107" s="2" t="s">
        <v>100</v>
      </c>
      <c r="S107" s="2" t="s">
        <v>498</v>
      </c>
      <c r="T107" s="2" t="s">
        <v>100</v>
      </c>
      <c r="U107" s="2" t="s">
        <v>102</v>
      </c>
      <c r="V107" s="2" t="s">
        <v>449</v>
      </c>
      <c r="W107" s="2" t="s">
        <v>104</v>
      </c>
      <c r="X107" s="2" t="s">
        <v>499</v>
      </c>
      <c r="Y107" s="2" t="s">
        <v>500</v>
      </c>
      <c r="Z107" s="4">
        <v>40</v>
      </c>
      <c r="AA107" s="4">
        <f>=ROUNDDOWN(13.3333333333333,0)</f>
      </c>
      <c r="AB107" s="5">
        <v>3</v>
      </c>
      <c r="AC107" s="2" t="s">
        <v>100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/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3</v>
      </c>
      <c r="BK107" s="8">
        <v>128.47</v>
      </c>
      <c r="BL107" s="2" t="s">
        <v>507</v>
      </c>
      <c r="BM107" s="7"/>
      <c r="BN107" s="7"/>
      <c r="BO107" s="4"/>
      <c r="BP107" s="8"/>
      <c r="BQ107" s="4"/>
      <c r="BR107" s="8"/>
      <c r="BS107" s="7"/>
      <c r="BT107" s="7"/>
      <c r="BU107" s="2" t="s">
        <v>109</v>
      </c>
      <c r="BV107" s="2" t="s">
        <v>97</v>
      </c>
      <c r="BW107" s="2" t="s">
        <v>508</v>
      </c>
      <c r="BX107" s="2" t="s">
        <v>509</v>
      </c>
      <c r="BY107" s="2" t="s">
        <v>112</v>
      </c>
      <c r="BZ107" s="2" t="s">
        <v>100</v>
      </c>
    </row>
    <row r="108">
      <c r="A108" s="2" t="s">
        <v>510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444</v>
      </c>
      <c r="G108" s="2" t="s">
        <v>445</v>
      </c>
      <c r="H108" s="2" t="s">
        <v>446</v>
      </c>
      <c r="I108" s="2" t="s">
        <v>241</v>
      </c>
      <c r="J108" s="2" t="s">
        <v>95</v>
      </c>
      <c r="K108" s="2" t="s">
        <v>409</v>
      </c>
      <c r="L108" s="3">
        <v>53.99</v>
      </c>
      <c r="M108" s="3">
        <v>56.69</v>
      </c>
      <c r="N108" s="3">
        <v>109.99</v>
      </c>
      <c r="O108" s="2" t="s">
        <v>97</v>
      </c>
      <c r="P108" s="2" t="s">
        <v>447</v>
      </c>
      <c r="Q108" s="2" t="s">
        <v>99</v>
      </c>
      <c r="R108" s="2" t="s">
        <v>100</v>
      </c>
      <c r="S108" s="2" t="s">
        <v>489</v>
      </c>
      <c r="T108" s="2" t="s">
        <v>100</v>
      </c>
      <c r="U108" s="2" t="s">
        <v>102</v>
      </c>
      <c r="V108" s="2" t="s">
        <v>449</v>
      </c>
      <c r="W108" s="2" t="s">
        <v>104</v>
      </c>
      <c r="X108" s="2" t="s">
        <v>450</v>
      </c>
      <c r="Y108" s="2" t="s">
        <v>131</v>
      </c>
      <c r="Z108" s="4">
        <v>224</v>
      </c>
      <c r="AA108" s="4">
        <f>=ROUNDDOWN(32,0)</f>
      </c>
      <c r="AB108" s="5">
        <v>7</v>
      </c>
      <c r="AC108" s="2" t="s">
        <v>100</v>
      </c>
      <c r="AD108" s="4"/>
      <c r="AE108" s="4"/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/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14</v>
      </c>
      <c r="BK108" s="8">
        <v>520.17</v>
      </c>
      <c r="BL108" s="2" t="s">
        <v>511</v>
      </c>
      <c r="BM108" s="7"/>
      <c r="BN108" s="7"/>
      <c r="BO108" s="4"/>
      <c r="BP108" s="8"/>
      <c r="BQ108" s="4"/>
      <c r="BR108" s="8"/>
      <c r="BS108" s="7"/>
      <c r="BT108" s="7"/>
      <c r="BU108" s="2" t="s">
        <v>109</v>
      </c>
      <c r="BV108" s="2" t="s">
        <v>97</v>
      </c>
      <c r="BW108" s="2" t="s">
        <v>122</v>
      </c>
      <c r="BX108" s="2" t="s">
        <v>512</v>
      </c>
      <c r="BY108" s="2" t="s">
        <v>112</v>
      </c>
      <c r="BZ108" s="2" t="s">
        <v>100</v>
      </c>
    </row>
    <row r="109">
      <c r="A109" s="2" t="s">
        <v>513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444</v>
      </c>
      <c r="G109" s="2" t="s">
        <v>445</v>
      </c>
      <c r="H109" s="2" t="s">
        <v>446</v>
      </c>
      <c r="I109" s="2" t="s">
        <v>241</v>
      </c>
      <c r="J109" s="2" t="s">
        <v>114</v>
      </c>
      <c r="K109" s="2" t="s">
        <v>409</v>
      </c>
      <c r="L109" s="3">
        <v>61.96</v>
      </c>
      <c r="M109" s="3">
        <v>65.06</v>
      </c>
      <c r="N109" s="3">
        <v>124.99</v>
      </c>
      <c r="O109" s="2" t="s">
        <v>97</v>
      </c>
      <c r="P109" s="2" t="s">
        <v>447</v>
      </c>
      <c r="Q109" s="2" t="s">
        <v>99</v>
      </c>
      <c r="R109" s="2" t="s">
        <v>100</v>
      </c>
      <c r="S109" s="2" t="s">
        <v>514</v>
      </c>
      <c r="T109" s="2" t="s">
        <v>100</v>
      </c>
      <c r="U109" s="2" t="s">
        <v>102</v>
      </c>
      <c r="V109" s="2" t="s">
        <v>449</v>
      </c>
      <c r="W109" s="2" t="s">
        <v>104</v>
      </c>
      <c r="X109" s="2" t="s">
        <v>450</v>
      </c>
      <c r="Y109" s="2" t="s">
        <v>131</v>
      </c>
      <c r="Z109" s="4">
        <v>464</v>
      </c>
      <c r="AA109" s="4">
        <f>=ROUNDDOWN(30.9333333333333,0)</f>
      </c>
      <c r="AB109" s="5">
        <v>15</v>
      </c>
      <c r="AC109" s="2" t="s">
        <v>100</v>
      </c>
      <c r="AD109" s="4"/>
      <c r="AE109" s="4"/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12</v>
      </c>
      <c r="BK109" s="8">
        <v>431.54</v>
      </c>
      <c r="BL109" s="2" t="s">
        <v>126</v>
      </c>
      <c r="BM109" s="7"/>
      <c r="BN109" s="7"/>
      <c r="BO109" s="4"/>
      <c r="BP109" s="8"/>
      <c r="BQ109" s="4"/>
      <c r="BR109" s="8"/>
      <c r="BS109" s="7"/>
      <c r="BT109" s="7"/>
      <c r="BU109" s="2" t="s">
        <v>109</v>
      </c>
      <c r="BV109" s="2" t="s">
        <v>97</v>
      </c>
      <c r="BW109" s="2" t="s">
        <v>122</v>
      </c>
      <c r="BX109" s="2" t="s">
        <v>515</v>
      </c>
      <c r="BY109" s="2" t="s">
        <v>112</v>
      </c>
      <c r="BZ109" s="2" t="s">
        <v>100</v>
      </c>
    </row>
    <row r="110">
      <c r="A110" s="2" t="s">
        <v>516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444</v>
      </c>
      <c r="G110" s="2" t="s">
        <v>445</v>
      </c>
      <c r="H110" s="2" t="s">
        <v>446</v>
      </c>
      <c r="I110" s="2" t="s">
        <v>241</v>
      </c>
      <c r="J110" s="2" t="s">
        <v>120</v>
      </c>
      <c r="K110" s="2" t="s">
        <v>409</v>
      </c>
      <c r="L110" s="3">
        <v>71.14</v>
      </c>
      <c r="M110" s="3">
        <v>74.7</v>
      </c>
      <c r="N110" s="3">
        <v>144.99</v>
      </c>
      <c r="O110" s="2" t="s">
        <v>97</v>
      </c>
      <c r="P110" s="2" t="s">
        <v>447</v>
      </c>
      <c r="Q110" s="2" t="s">
        <v>99</v>
      </c>
      <c r="R110" s="2" t="s">
        <v>100</v>
      </c>
      <c r="S110" s="2" t="s">
        <v>489</v>
      </c>
      <c r="T110" s="2" t="s">
        <v>100</v>
      </c>
      <c r="U110" s="2" t="s">
        <v>102</v>
      </c>
      <c r="V110" s="2" t="s">
        <v>449</v>
      </c>
      <c r="W110" s="2" t="s">
        <v>104</v>
      </c>
      <c r="X110" s="2" t="s">
        <v>450</v>
      </c>
      <c r="Y110" s="2" t="s">
        <v>131</v>
      </c>
      <c r="Z110" s="4">
        <v>360</v>
      </c>
      <c r="AA110" s="4">
        <f>=ROUNDDOWN(32.7272727272727,0)</f>
      </c>
      <c r="AB110" s="5">
        <v>11</v>
      </c>
      <c r="AC110" s="2" t="s">
        <v>100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/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 t="s">
        <v>100</v>
      </c>
      <c r="BJ110" s="4">
        <v>7</v>
      </c>
      <c r="BK110" s="8">
        <v>312.59</v>
      </c>
      <c r="BL110" s="2" t="s">
        <v>517</v>
      </c>
      <c r="BM110" s="7"/>
      <c r="BN110" s="7"/>
      <c r="BO110" s="4"/>
      <c r="BP110" s="8"/>
      <c r="BQ110" s="4"/>
      <c r="BR110" s="8"/>
      <c r="BS110" s="7"/>
      <c r="BT110" s="7"/>
      <c r="BU110" s="2" t="s">
        <v>109</v>
      </c>
      <c r="BV110" s="2" t="s">
        <v>97</v>
      </c>
      <c r="BW110" s="2" t="s">
        <v>122</v>
      </c>
      <c r="BX110" s="2" t="s">
        <v>166</v>
      </c>
      <c r="BY110" s="2" t="s">
        <v>112</v>
      </c>
      <c r="BZ110" s="2" t="s">
        <v>100</v>
      </c>
    </row>
    <row r="111">
      <c r="A111" s="2" t="s">
        <v>518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444</v>
      </c>
      <c r="G111" s="2" t="s">
        <v>445</v>
      </c>
      <c r="H111" s="2" t="s">
        <v>446</v>
      </c>
      <c r="I111" s="2" t="s">
        <v>241</v>
      </c>
      <c r="J111" s="2" t="s">
        <v>124</v>
      </c>
      <c r="K111" s="2" t="s">
        <v>409</v>
      </c>
      <c r="L111" s="3">
        <v>71.14</v>
      </c>
      <c r="M111" s="3">
        <v>74.7</v>
      </c>
      <c r="N111" s="3">
        <v>144.99</v>
      </c>
      <c r="O111" s="2" t="s">
        <v>473</v>
      </c>
      <c r="P111" s="2" t="s">
        <v>447</v>
      </c>
      <c r="Q111" s="2" t="s">
        <v>99</v>
      </c>
      <c r="R111" s="2" t="s">
        <v>100</v>
      </c>
      <c r="S111" s="2" t="s">
        <v>489</v>
      </c>
      <c r="T111" s="2" t="s">
        <v>100</v>
      </c>
      <c r="U111" s="2" t="s">
        <v>102</v>
      </c>
      <c r="V111" s="2" t="s">
        <v>449</v>
      </c>
      <c r="W111" s="2" t="s">
        <v>104</v>
      </c>
      <c r="X111" s="2" t="s">
        <v>450</v>
      </c>
      <c r="Y111" s="2" t="s">
        <v>131</v>
      </c>
      <c r="Z111" s="4">
        <v>270</v>
      </c>
      <c r="AA111" s="4">
        <f>=ROUNDDOWN(45,0)</f>
      </c>
      <c r="AB111" s="5">
        <v>6</v>
      </c>
      <c r="AC111" s="2" t="s">
        <v>100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/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/>
      <c r="BK111" s="8"/>
      <c r="BL111" s="2" t="s">
        <v>100</v>
      </c>
      <c r="BM111" s="7"/>
      <c r="BN111" s="7"/>
      <c r="BO111" s="4"/>
      <c r="BP111" s="8"/>
      <c r="BQ111" s="4"/>
      <c r="BR111" s="8"/>
      <c r="BS111" s="7"/>
      <c r="BT111" s="7"/>
      <c r="BU111" s="2" t="s">
        <v>109</v>
      </c>
      <c r="BV111" s="2" t="s">
        <v>97</v>
      </c>
      <c r="BW111" s="2" t="s">
        <v>122</v>
      </c>
      <c r="BX111" s="2" t="s">
        <v>519</v>
      </c>
      <c r="BY111" s="2" t="s">
        <v>112</v>
      </c>
      <c r="BZ111" s="2" t="s">
        <v>100</v>
      </c>
    </row>
    <row r="112">
      <c r="A112" s="2" t="s">
        <v>520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444</v>
      </c>
      <c r="G112" s="2" t="s">
        <v>445</v>
      </c>
      <c r="H112" s="2" t="s">
        <v>446</v>
      </c>
      <c r="I112" s="2" t="s">
        <v>241</v>
      </c>
      <c r="J112" s="2" t="s">
        <v>95</v>
      </c>
      <c r="K112" s="2" t="s">
        <v>521</v>
      </c>
      <c r="L112" s="3">
        <v>53.99</v>
      </c>
      <c r="M112" s="3">
        <v>56.69</v>
      </c>
      <c r="N112" s="3">
        <v>109.99</v>
      </c>
      <c r="O112" s="2" t="s">
        <v>97</v>
      </c>
      <c r="P112" s="2" t="s">
        <v>447</v>
      </c>
      <c r="Q112" s="2" t="s">
        <v>99</v>
      </c>
      <c r="R112" s="2" t="s">
        <v>100</v>
      </c>
      <c r="S112" s="2" t="s">
        <v>522</v>
      </c>
      <c r="T112" s="2" t="s">
        <v>100</v>
      </c>
      <c r="U112" s="2" t="s">
        <v>102</v>
      </c>
      <c r="V112" s="2" t="s">
        <v>449</v>
      </c>
      <c r="W112" s="2" t="s">
        <v>104</v>
      </c>
      <c r="X112" s="2" t="s">
        <v>450</v>
      </c>
      <c r="Y112" s="2" t="s">
        <v>131</v>
      </c>
      <c r="Z112" s="4">
        <v>89</v>
      </c>
      <c r="AA112" s="4">
        <f>=ROUNDDOWN(29.6666666666667,0)</f>
      </c>
      <c r="AB112" s="5">
        <v>3</v>
      </c>
      <c r="AC112" s="2" t="s">
        <v>100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4</v>
      </c>
      <c r="BK112" s="8">
        <v>186.53</v>
      </c>
      <c r="BL112" s="2" t="s">
        <v>523</v>
      </c>
      <c r="BM112" s="7"/>
      <c r="BN112" s="7"/>
      <c r="BO112" s="4"/>
      <c r="BP112" s="8"/>
      <c r="BQ112" s="4"/>
      <c r="BR112" s="8"/>
      <c r="BS112" s="7"/>
      <c r="BT112" s="7"/>
      <c r="BU112" s="2" t="s">
        <v>109</v>
      </c>
      <c r="BV112" s="2" t="s">
        <v>97</v>
      </c>
      <c r="BW112" s="2" t="s">
        <v>122</v>
      </c>
      <c r="BX112" s="2" t="s">
        <v>100</v>
      </c>
      <c r="BY112" s="2" t="s">
        <v>112</v>
      </c>
      <c r="BZ112" s="2" t="s">
        <v>100</v>
      </c>
    </row>
    <row r="113">
      <c r="A113" s="2" t="s">
        <v>524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444</v>
      </c>
      <c r="G113" s="2" t="s">
        <v>445</v>
      </c>
      <c r="H113" s="2" t="s">
        <v>446</v>
      </c>
      <c r="I113" s="2" t="s">
        <v>241</v>
      </c>
      <c r="J113" s="2" t="s">
        <v>114</v>
      </c>
      <c r="K113" s="2" t="s">
        <v>521</v>
      </c>
      <c r="L113" s="3">
        <v>61.96</v>
      </c>
      <c r="M113" s="3">
        <v>65.06</v>
      </c>
      <c r="N113" s="3">
        <v>124.99</v>
      </c>
      <c r="O113" s="2" t="s">
        <v>473</v>
      </c>
      <c r="P113" s="2" t="s">
        <v>447</v>
      </c>
      <c r="Q113" s="2" t="s">
        <v>99</v>
      </c>
      <c r="R113" s="2" t="s">
        <v>100</v>
      </c>
      <c r="S113" s="2" t="s">
        <v>522</v>
      </c>
      <c r="T113" s="2" t="s">
        <v>100</v>
      </c>
      <c r="U113" s="2" t="s">
        <v>102</v>
      </c>
      <c r="V113" s="2" t="s">
        <v>449</v>
      </c>
      <c r="W113" s="2" t="s">
        <v>104</v>
      </c>
      <c r="X113" s="2" t="s">
        <v>450</v>
      </c>
      <c r="Y113" s="2" t="s">
        <v>131</v>
      </c>
      <c r="Z113" s="4">
        <v>390</v>
      </c>
      <c r="AA113" s="4">
        <f>=ROUNDDOWN(43.3333333333333,0)</f>
      </c>
      <c r="AB113" s="5">
        <v>9</v>
      </c>
      <c r="AC113" s="2" t="s">
        <v>100</v>
      </c>
      <c r="AD113" s="4"/>
      <c r="AE113" s="4"/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/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4</v>
      </c>
      <c r="BK113" s="8">
        <v>140.68</v>
      </c>
      <c r="BL113" s="2" t="s">
        <v>391</v>
      </c>
      <c r="BM113" s="7"/>
      <c r="BN113" s="7"/>
      <c r="BO113" s="4"/>
      <c r="BP113" s="8"/>
      <c r="BQ113" s="4"/>
      <c r="BR113" s="8"/>
      <c r="BS113" s="7"/>
      <c r="BT113" s="7"/>
      <c r="BU113" s="2" t="s">
        <v>109</v>
      </c>
      <c r="BV113" s="2" t="s">
        <v>97</v>
      </c>
      <c r="BW113" s="2" t="s">
        <v>137</v>
      </c>
      <c r="BX113" s="2" t="s">
        <v>525</v>
      </c>
      <c r="BY113" s="2" t="s">
        <v>112</v>
      </c>
      <c r="BZ113" s="2" t="s">
        <v>100</v>
      </c>
    </row>
    <row r="114">
      <c r="A114" s="2" t="s">
        <v>526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444</v>
      </c>
      <c r="G114" s="2" t="s">
        <v>445</v>
      </c>
      <c r="H114" s="2" t="s">
        <v>446</v>
      </c>
      <c r="I114" s="2" t="s">
        <v>241</v>
      </c>
      <c r="J114" s="2" t="s">
        <v>120</v>
      </c>
      <c r="K114" s="2" t="s">
        <v>521</v>
      </c>
      <c r="L114" s="3">
        <v>71.14</v>
      </c>
      <c r="M114" s="3">
        <v>74.7</v>
      </c>
      <c r="N114" s="3">
        <v>144.99</v>
      </c>
      <c r="O114" s="2" t="s">
        <v>473</v>
      </c>
      <c r="P114" s="2" t="s">
        <v>447</v>
      </c>
      <c r="Q114" s="2" t="s">
        <v>99</v>
      </c>
      <c r="R114" s="2" t="s">
        <v>100</v>
      </c>
      <c r="S114" s="2" t="s">
        <v>522</v>
      </c>
      <c r="T114" s="2" t="s">
        <v>100</v>
      </c>
      <c r="U114" s="2" t="s">
        <v>102</v>
      </c>
      <c r="V114" s="2" t="s">
        <v>449</v>
      </c>
      <c r="W114" s="2" t="s">
        <v>104</v>
      </c>
      <c r="X114" s="2" t="s">
        <v>450</v>
      </c>
      <c r="Y114" s="2" t="s">
        <v>131</v>
      </c>
      <c r="Z114" s="4">
        <v>382</v>
      </c>
      <c r="AA114" s="4">
        <f>=ROUNDDOWN(54.5714285714286,0)</f>
      </c>
      <c r="AB114" s="5">
        <v>7</v>
      </c>
      <c r="AC114" s="2" t="s">
        <v>100</v>
      </c>
      <c r="AD114" s="4"/>
      <c r="AE114" s="4"/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/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 t="s">
        <v>100</v>
      </c>
      <c r="BJ114" s="4">
        <v>3</v>
      </c>
      <c r="BK114" s="8">
        <v>124.59</v>
      </c>
      <c r="BL114" s="2" t="s">
        <v>391</v>
      </c>
      <c r="BM114" s="7"/>
      <c r="BN114" s="7"/>
      <c r="BO114" s="4"/>
      <c r="BP114" s="8"/>
      <c r="BQ114" s="4"/>
      <c r="BR114" s="8"/>
      <c r="BS114" s="7"/>
      <c r="BT114" s="7"/>
      <c r="BU114" s="2" t="s">
        <v>109</v>
      </c>
      <c r="BV114" s="2" t="s">
        <v>97</v>
      </c>
      <c r="BW114" s="2" t="s">
        <v>137</v>
      </c>
      <c r="BX114" s="2" t="s">
        <v>525</v>
      </c>
      <c r="BY114" s="2" t="s">
        <v>112</v>
      </c>
      <c r="BZ114" s="2" t="s">
        <v>100</v>
      </c>
    </row>
    <row r="115">
      <c r="A115" s="2" t="s">
        <v>527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444</v>
      </c>
      <c r="G115" s="2" t="s">
        <v>445</v>
      </c>
      <c r="H115" s="2" t="s">
        <v>446</v>
      </c>
      <c r="I115" s="2" t="s">
        <v>241</v>
      </c>
      <c r="J115" s="2" t="s">
        <v>124</v>
      </c>
      <c r="K115" s="2" t="s">
        <v>521</v>
      </c>
      <c r="L115" s="3">
        <v>71.14</v>
      </c>
      <c r="M115" s="3">
        <v>74.7</v>
      </c>
      <c r="N115" s="3">
        <v>144.99</v>
      </c>
      <c r="O115" s="2" t="s">
        <v>473</v>
      </c>
      <c r="P115" s="2" t="s">
        <v>447</v>
      </c>
      <c r="Q115" s="2" t="s">
        <v>99</v>
      </c>
      <c r="R115" s="2" t="s">
        <v>100</v>
      </c>
      <c r="S115" s="2" t="s">
        <v>522</v>
      </c>
      <c r="T115" s="2" t="s">
        <v>100</v>
      </c>
      <c r="U115" s="2" t="s">
        <v>102</v>
      </c>
      <c r="V115" s="2" t="s">
        <v>449</v>
      </c>
      <c r="W115" s="2" t="s">
        <v>104</v>
      </c>
      <c r="X115" s="2" t="s">
        <v>450</v>
      </c>
      <c r="Y115" s="2" t="s">
        <v>131</v>
      </c>
      <c r="Z115" s="4">
        <v>264</v>
      </c>
      <c r="AA115" s="4">
        <f>=ROUNDDOWN(52.8,0)</f>
      </c>
      <c r="AB115" s="5">
        <v>5</v>
      </c>
      <c r="AC115" s="2" t="s">
        <v>100</v>
      </c>
      <c r="AD115" s="4"/>
      <c r="AE115" s="4"/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/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/>
      <c r="BK115" s="8"/>
      <c r="BL115" s="2" t="s">
        <v>100</v>
      </c>
      <c r="BM115" s="7"/>
      <c r="BN115" s="7"/>
      <c r="BO115" s="4"/>
      <c r="BP115" s="8"/>
      <c r="BQ115" s="4"/>
      <c r="BR115" s="8"/>
      <c r="BS115" s="7"/>
      <c r="BT115" s="7"/>
      <c r="BU115" s="2" t="s">
        <v>109</v>
      </c>
      <c r="BV115" s="2" t="s">
        <v>97</v>
      </c>
      <c r="BW115" s="2" t="s">
        <v>137</v>
      </c>
      <c r="BX115" s="2" t="s">
        <v>100</v>
      </c>
      <c r="BY115" s="2" t="s">
        <v>112</v>
      </c>
      <c r="BZ115" s="2" t="s">
        <v>100</v>
      </c>
    </row>
    <row r="116">
      <c r="A116" s="2" t="s">
        <v>528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444</v>
      </c>
      <c r="G116" s="2" t="s">
        <v>445</v>
      </c>
      <c r="H116" s="2" t="s">
        <v>446</v>
      </c>
      <c r="I116" s="2" t="s">
        <v>241</v>
      </c>
      <c r="J116" s="2" t="s">
        <v>114</v>
      </c>
      <c r="K116" s="2" t="s">
        <v>416</v>
      </c>
      <c r="L116" s="3">
        <v>61.96</v>
      </c>
      <c r="M116" s="3">
        <v>65.06</v>
      </c>
      <c r="N116" s="3">
        <v>124.99</v>
      </c>
      <c r="O116" s="2" t="s">
        <v>97</v>
      </c>
      <c r="P116" s="2" t="s">
        <v>447</v>
      </c>
      <c r="Q116" s="2" t="s">
        <v>99</v>
      </c>
      <c r="R116" s="2" t="s">
        <v>100</v>
      </c>
      <c r="S116" s="2" t="s">
        <v>529</v>
      </c>
      <c r="T116" s="2" t="s">
        <v>100</v>
      </c>
      <c r="U116" s="2" t="s">
        <v>102</v>
      </c>
      <c r="V116" s="2" t="s">
        <v>449</v>
      </c>
      <c r="W116" s="2" t="s">
        <v>104</v>
      </c>
      <c r="X116" s="2" t="s">
        <v>450</v>
      </c>
      <c r="Y116" s="2" t="s">
        <v>131</v>
      </c>
      <c r="Z116" s="4">
        <v>188</v>
      </c>
      <c r="AA116" s="4">
        <f>=ROUNDDOWN(23.5,0)</f>
      </c>
      <c r="AB116" s="5">
        <v>8</v>
      </c>
      <c r="AC116" s="2" t="s">
        <v>100</v>
      </c>
      <c r="AD116" s="4"/>
      <c r="AE116" s="4"/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/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5</v>
      </c>
      <c r="BK116" s="8">
        <v>181.16</v>
      </c>
      <c r="BL116" s="2" t="s">
        <v>530</v>
      </c>
      <c r="BM116" s="7"/>
      <c r="BN116" s="7"/>
      <c r="BO116" s="4"/>
      <c r="BP116" s="8"/>
      <c r="BQ116" s="4"/>
      <c r="BR116" s="8"/>
      <c r="BS116" s="7"/>
      <c r="BT116" s="7"/>
      <c r="BU116" s="2" t="s">
        <v>109</v>
      </c>
      <c r="BV116" s="2" t="s">
        <v>97</v>
      </c>
      <c r="BW116" s="2" t="s">
        <v>137</v>
      </c>
      <c r="BX116" s="2" t="s">
        <v>166</v>
      </c>
      <c r="BY116" s="2" t="s">
        <v>112</v>
      </c>
      <c r="BZ116" s="2" t="s">
        <v>100</v>
      </c>
    </row>
    <row r="117">
      <c r="A117" s="2" t="s">
        <v>531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444</v>
      </c>
      <c r="G117" s="2" t="s">
        <v>445</v>
      </c>
      <c r="H117" s="2" t="s">
        <v>446</v>
      </c>
      <c r="I117" s="2" t="s">
        <v>241</v>
      </c>
      <c r="J117" s="2" t="s">
        <v>120</v>
      </c>
      <c r="K117" s="2" t="s">
        <v>416</v>
      </c>
      <c r="L117" s="3">
        <v>71.14</v>
      </c>
      <c r="M117" s="3">
        <v>74.7</v>
      </c>
      <c r="N117" s="3">
        <v>144.99</v>
      </c>
      <c r="O117" s="2" t="s">
        <v>97</v>
      </c>
      <c r="P117" s="2" t="s">
        <v>447</v>
      </c>
      <c r="Q117" s="2" t="s">
        <v>99</v>
      </c>
      <c r="R117" s="2" t="s">
        <v>100</v>
      </c>
      <c r="S117" s="2" t="s">
        <v>529</v>
      </c>
      <c r="T117" s="2" t="s">
        <v>100</v>
      </c>
      <c r="U117" s="2" t="s">
        <v>102</v>
      </c>
      <c r="V117" s="2" t="s">
        <v>449</v>
      </c>
      <c r="W117" s="2" t="s">
        <v>104</v>
      </c>
      <c r="X117" s="2" t="s">
        <v>450</v>
      </c>
      <c r="Y117" s="2" t="s">
        <v>131</v>
      </c>
      <c r="Z117" s="4">
        <v>100</v>
      </c>
      <c r="AA117" s="4">
        <f>=ROUNDDOWN(14.2857142857143,0)</f>
      </c>
      <c r="AB117" s="5">
        <v>7</v>
      </c>
      <c r="AC117" s="2" t="s">
        <v>100</v>
      </c>
      <c r="AD117" s="4"/>
      <c r="AE117" s="4"/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/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4</v>
      </c>
      <c r="BK117" s="8">
        <v>223.96</v>
      </c>
      <c r="BL117" s="2" t="s">
        <v>532</v>
      </c>
      <c r="BM117" s="7"/>
      <c r="BN117" s="7"/>
      <c r="BO117" s="4"/>
      <c r="BP117" s="8"/>
      <c r="BQ117" s="4"/>
      <c r="BR117" s="8"/>
      <c r="BS117" s="7"/>
      <c r="BT117" s="7"/>
      <c r="BU117" s="2" t="s">
        <v>109</v>
      </c>
      <c r="BV117" s="2" t="s">
        <v>97</v>
      </c>
      <c r="BW117" s="2" t="s">
        <v>137</v>
      </c>
      <c r="BX117" s="2" t="s">
        <v>378</v>
      </c>
      <c r="BY117" s="2" t="s">
        <v>112</v>
      </c>
      <c r="BZ117" s="2" t="s">
        <v>100</v>
      </c>
    </row>
    <row r="118">
      <c r="A118" s="2" t="s">
        <v>533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444</v>
      </c>
      <c r="G118" s="2" t="s">
        <v>445</v>
      </c>
      <c r="H118" s="2" t="s">
        <v>446</v>
      </c>
      <c r="I118" s="2" t="s">
        <v>241</v>
      </c>
      <c r="J118" s="2" t="s">
        <v>124</v>
      </c>
      <c r="K118" s="2" t="s">
        <v>416</v>
      </c>
      <c r="L118" s="3">
        <v>71.14</v>
      </c>
      <c r="M118" s="3">
        <v>74.7</v>
      </c>
      <c r="N118" s="3">
        <v>144.99</v>
      </c>
      <c r="O118" s="2" t="s">
        <v>97</v>
      </c>
      <c r="P118" s="2" t="s">
        <v>447</v>
      </c>
      <c r="Q118" s="2" t="s">
        <v>99</v>
      </c>
      <c r="R118" s="2" t="s">
        <v>100</v>
      </c>
      <c r="S118" s="2" t="s">
        <v>529</v>
      </c>
      <c r="T118" s="2" t="s">
        <v>100</v>
      </c>
      <c r="U118" s="2" t="s">
        <v>102</v>
      </c>
      <c r="V118" s="2" t="s">
        <v>449</v>
      </c>
      <c r="W118" s="2" t="s">
        <v>104</v>
      </c>
      <c r="X118" s="2" t="s">
        <v>450</v>
      </c>
      <c r="Y118" s="2" t="s">
        <v>131</v>
      </c>
      <c r="Z118" s="4">
        <v>103</v>
      </c>
      <c r="AA118" s="4">
        <f>=ROUNDDOWN(25.75,0)</f>
      </c>
      <c r="AB118" s="5">
        <v>4</v>
      </c>
      <c r="AC118" s="2" t="s">
        <v>100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/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 t="s">
        <v>100</v>
      </c>
      <c r="BJ118" s="4">
        <v>4</v>
      </c>
      <c r="BK118" s="8">
        <v>173.9</v>
      </c>
      <c r="BL118" s="2" t="s">
        <v>534</v>
      </c>
      <c r="BM118" s="7"/>
      <c r="BN118" s="7"/>
      <c r="BO118" s="4"/>
      <c r="BP118" s="8"/>
      <c r="BQ118" s="4"/>
      <c r="BR118" s="8"/>
      <c r="BS118" s="7"/>
      <c r="BT118" s="7"/>
      <c r="BU118" s="2" t="s">
        <v>109</v>
      </c>
      <c r="BV118" s="2" t="s">
        <v>97</v>
      </c>
      <c r="BW118" s="2" t="s">
        <v>137</v>
      </c>
      <c r="BX118" s="2" t="s">
        <v>535</v>
      </c>
      <c r="BY118" s="2" t="s">
        <v>112</v>
      </c>
      <c r="BZ118" s="2" t="s">
        <v>100</v>
      </c>
    </row>
    <row r="119">
      <c r="A119" s="2" t="s">
        <v>536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444</v>
      </c>
      <c r="G119" s="2" t="s">
        <v>445</v>
      </c>
      <c r="H119" s="2" t="s">
        <v>446</v>
      </c>
      <c r="I119" s="2" t="s">
        <v>241</v>
      </c>
      <c r="J119" s="2" t="s">
        <v>114</v>
      </c>
      <c r="K119" s="2" t="s">
        <v>434</v>
      </c>
      <c r="L119" s="3">
        <v>61.96</v>
      </c>
      <c r="M119" s="3">
        <v>65.06</v>
      </c>
      <c r="N119" s="3">
        <v>124.99</v>
      </c>
      <c r="O119" s="2" t="s">
        <v>473</v>
      </c>
      <c r="P119" s="2" t="s">
        <v>447</v>
      </c>
      <c r="Q119" s="2" t="s">
        <v>99</v>
      </c>
      <c r="R119" s="2" t="s">
        <v>100</v>
      </c>
      <c r="S119" s="2" t="s">
        <v>489</v>
      </c>
      <c r="T119" s="2" t="s">
        <v>100</v>
      </c>
      <c r="U119" s="2" t="s">
        <v>102</v>
      </c>
      <c r="V119" s="2" t="s">
        <v>449</v>
      </c>
      <c r="W119" s="2" t="s">
        <v>104</v>
      </c>
      <c r="X119" s="2" t="s">
        <v>450</v>
      </c>
      <c r="Y119" s="2" t="s">
        <v>131</v>
      </c>
      <c r="Z119" s="4">
        <v>186</v>
      </c>
      <c r="AA119" s="4">
        <f>=ROUNDDOWN(20.6666666666667,0)</f>
      </c>
      <c r="AB119" s="5">
        <v>9</v>
      </c>
      <c r="AC119" s="2" t="s">
        <v>100</v>
      </c>
      <c r="AD119" s="4"/>
      <c r="AE119" s="4"/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/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11</v>
      </c>
      <c r="BK119" s="8">
        <v>432.67</v>
      </c>
      <c r="BL119" s="2" t="s">
        <v>537</v>
      </c>
      <c r="BM119" s="7"/>
      <c r="BN119" s="7"/>
      <c r="BO119" s="4"/>
      <c r="BP119" s="8"/>
      <c r="BQ119" s="4"/>
      <c r="BR119" s="8"/>
      <c r="BS119" s="7"/>
      <c r="BT119" s="7"/>
      <c r="BU119" s="2" t="s">
        <v>109</v>
      </c>
      <c r="BV119" s="2" t="s">
        <v>97</v>
      </c>
      <c r="BW119" s="2" t="s">
        <v>137</v>
      </c>
      <c r="BX119" s="2" t="s">
        <v>538</v>
      </c>
      <c r="BY119" s="2" t="s">
        <v>112</v>
      </c>
      <c r="BZ119" s="2" t="s">
        <v>100</v>
      </c>
    </row>
    <row r="120">
      <c r="A120" s="2" t="s">
        <v>539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444</v>
      </c>
      <c r="G120" s="2" t="s">
        <v>445</v>
      </c>
      <c r="H120" s="2" t="s">
        <v>446</v>
      </c>
      <c r="I120" s="2" t="s">
        <v>241</v>
      </c>
      <c r="J120" s="2" t="s">
        <v>120</v>
      </c>
      <c r="K120" s="2" t="s">
        <v>434</v>
      </c>
      <c r="L120" s="3">
        <v>71.14</v>
      </c>
      <c r="M120" s="3">
        <v>74.7</v>
      </c>
      <c r="N120" s="3">
        <v>144.99</v>
      </c>
      <c r="O120" s="2" t="s">
        <v>473</v>
      </c>
      <c r="P120" s="2" t="s">
        <v>447</v>
      </c>
      <c r="Q120" s="2" t="s">
        <v>99</v>
      </c>
      <c r="R120" s="2" t="s">
        <v>100</v>
      </c>
      <c r="S120" s="2" t="s">
        <v>489</v>
      </c>
      <c r="T120" s="2" t="s">
        <v>100</v>
      </c>
      <c r="U120" s="2" t="s">
        <v>102</v>
      </c>
      <c r="V120" s="2" t="s">
        <v>449</v>
      </c>
      <c r="W120" s="2" t="s">
        <v>104</v>
      </c>
      <c r="X120" s="2" t="s">
        <v>450</v>
      </c>
      <c r="Y120" s="2" t="s">
        <v>131</v>
      </c>
      <c r="Z120" s="4">
        <v>112</v>
      </c>
      <c r="AA120" s="4">
        <f>=ROUNDDOWN(16,0)</f>
      </c>
      <c r="AB120" s="5">
        <v>7</v>
      </c>
      <c r="AC120" s="2" t="s">
        <v>100</v>
      </c>
      <c r="AD120" s="4"/>
      <c r="AE120" s="4"/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/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6</v>
      </c>
      <c r="BK120" s="8">
        <v>282.66</v>
      </c>
      <c r="BL120" s="2" t="s">
        <v>540</v>
      </c>
      <c r="BM120" s="7"/>
      <c r="BN120" s="7"/>
      <c r="BO120" s="4"/>
      <c r="BP120" s="8"/>
      <c r="BQ120" s="4"/>
      <c r="BR120" s="8"/>
      <c r="BS120" s="7"/>
      <c r="BT120" s="7"/>
      <c r="BU120" s="2" t="s">
        <v>109</v>
      </c>
      <c r="BV120" s="2" t="s">
        <v>97</v>
      </c>
      <c r="BW120" s="2" t="s">
        <v>137</v>
      </c>
      <c r="BX120" s="2" t="s">
        <v>541</v>
      </c>
      <c r="BY120" s="2" t="s">
        <v>112</v>
      </c>
      <c r="BZ120" s="2" t="s">
        <v>100</v>
      </c>
    </row>
    <row r="121">
      <c r="A121" s="2" t="s">
        <v>542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444</v>
      </c>
      <c r="G121" s="2" t="s">
        <v>445</v>
      </c>
      <c r="H121" s="2" t="s">
        <v>446</v>
      </c>
      <c r="I121" s="2" t="s">
        <v>241</v>
      </c>
      <c r="J121" s="2" t="s">
        <v>124</v>
      </c>
      <c r="K121" s="2" t="s">
        <v>434</v>
      </c>
      <c r="L121" s="3">
        <v>71.14</v>
      </c>
      <c r="M121" s="3">
        <v>74.7</v>
      </c>
      <c r="N121" s="3">
        <v>144.99</v>
      </c>
      <c r="O121" s="2" t="s">
        <v>473</v>
      </c>
      <c r="P121" s="2" t="s">
        <v>447</v>
      </c>
      <c r="Q121" s="2" t="s">
        <v>99</v>
      </c>
      <c r="R121" s="2" t="s">
        <v>100</v>
      </c>
      <c r="S121" s="2" t="s">
        <v>489</v>
      </c>
      <c r="T121" s="2" t="s">
        <v>100</v>
      </c>
      <c r="U121" s="2" t="s">
        <v>102</v>
      </c>
      <c r="V121" s="2" t="s">
        <v>449</v>
      </c>
      <c r="W121" s="2" t="s">
        <v>104</v>
      </c>
      <c r="X121" s="2" t="s">
        <v>450</v>
      </c>
      <c r="Y121" s="2" t="s">
        <v>131</v>
      </c>
      <c r="Z121" s="4">
        <v>28</v>
      </c>
      <c r="AA121" s="4">
        <f>=ROUNDDOWN(9.33333333333333,0)</f>
      </c>
      <c r="AB121" s="5">
        <v>3</v>
      </c>
      <c r="AC121" s="2" t="s">
        <v>100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100</v>
      </c>
      <c r="AW121" s="8" t="s">
        <v>100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/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 t="s">
        <v>100</v>
      </c>
      <c r="BJ121" s="4">
        <v>3</v>
      </c>
      <c r="BK121" s="8">
        <v>169.59</v>
      </c>
      <c r="BL121" s="2" t="s">
        <v>543</v>
      </c>
      <c r="BM121" s="7"/>
      <c r="BN121" s="7"/>
      <c r="BO121" s="4"/>
      <c r="BP121" s="8"/>
      <c r="BQ121" s="4"/>
      <c r="BR121" s="8"/>
      <c r="BS121" s="7"/>
      <c r="BT121" s="7"/>
      <c r="BU121" s="2" t="s">
        <v>109</v>
      </c>
      <c r="BV121" s="2" t="s">
        <v>97</v>
      </c>
      <c r="BW121" s="2" t="s">
        <v>137</v>
      </c>
      <c r="BX121" s="2" t="s">
        <v>544</v>
      </c>
      <c r="BY121" s="2" t="s">
        <v>112</v>
      </c>
      <c r="BZ121" s="2" t="s">
        <v>100</v>
      </c>
    </row>
    <row r="122">
      <c r="A122" s="2" t="s">
        <v>545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546</v>
      </c>
      <c r="G122" s="2" t="s">
        <v>547</v>
      </c>
      <c r="H122" s="2" t="s">
        <v>548</v>
      </c>
      <c r="I122" s="2" t="s">
        <v>549</v>
      </c>
      <c r="J122" s="2" t="s">
        <v>114</v>
      </c>
      <c r="K122" s="2" t="s">
        <v>372</v>
      </c>
      <c r="L122" s="3">
        <v>75</v>
      </c>
      <c r="M122" s="3">
        <v>78.74</v>
      </c>
      <c r="N122" s="3">
        <v>149.99</v>
      </c>
      <c r="O122" s="2" t="s">
        <v>97</v>
      </c>
      <c r="P122" s="2" t="s">
        <v>98</v>
      </c>
      <c r="Q122" s="2" t="s">
        <v>99</v>
      </c>
      <c r="R122" s="2" t="s">
        <v>100</v>
      </c>
      <c r="S122" s="2" t="s">
        <v>550</v>
      </c>
      <c r="T122" s="2" t="s">
        <v>359</v>
      </c>
      <c r="U122" s="2" t="s">
        <v>102</v>
      </c>
      <c r="V122" s="2" t="s">
        <v>551</v>
      </c>
      <c r="W122" s="2" t="s">
        <v>551</v>
      </c>
      <c r="X122" s="2" t="s">
        <v>552</v>
      </c>
      <c r="Y122" s="2" t="s">
        <v>131</v>
      </c>
      <c r="Z122" s="4">
        <v>483</v>
      </c>
      <c r="AA122" s="4">
        <f>=ROUNDDOWN(24.15,0)</f>
      </c>
      <c r="AB122" s="5">
        <v>20</v>
      </c>
      <c r="AC122" s="2" t="s">
        <v>553</v>
      </c>
      <c r="AD122" s="4">
        <v>60</v>
      </c>
      <c r="AE122" s="4">
        <v>430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>
        <v>1</v>
      </c>
      <c r="AQ122" s="8">
        <v>76.54</v>
      </c>
      <c r="AR122" s="4"/>
      <c r="AS122" s="8"/>
      <c r="AT122" s="7"/>
      <c r="AU122" s="7"/>
      <c r="AV122" s="4">
        <v>3</v>
      </c>
      <c r="AW122" s="8">
        <v>256.88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>
        <v>0.298</v>
      </c>
      <c r="BC122" s="4">
        <v>4</v>
      </c>
      <c r="BD122" s="8">
        <v>350.59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>
        <v>0.7327</v>
      </c>
      <c r="BJ122" s="4">
        <v>19</v>
      </c>
      <c r="BK122" s="8">
        <v>1474.57</v>
      </c>
      <c r="BL122" s="2" t="s">
        <v>554</v>
      </c>
      <c r="BM122" s="7">
        <v>0.0526</v>
      </c>
      <c r="BN122" s="7">
        <v>0.0519</v>
      </c>
      <c r="BO122" s="4">
        <v>1</v>
      </c>
      <c r="BP122" s="8">
        <v>76.54</v>
      </c>
      <c r="BQ122" s="4"/>
      <c r="BR122" s="8"/>
      <c r="BS122" s="7"/>
      <c r="BT122" s="7"/>
      <c r="BU122" s="2" t="s">
        <v>109</v>
      </c>
      <c r="BV122" s="2" t="s">
        <v>97</v>
      </c>
      <c r="BW122" s="2" t="s">
        <v>555</v>
      </c>
      <c r="BX122" s="2" t="s">
        <v>512</v>
      </c>
      <c r="BY122" s="2" t="s">
        <v>112</v>
      </c>
      <c r="BZ122" s="2" t="s">
        <v>100</v>
      </c>
    </row>
    <row r="123">
      <c r="A123" s="2" t="s">
        <v>556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546</v>
      </c>
      <c r="G123" s="2" t="s">
        <v>547</v>
      </c>
      <c r="H123" s="2" t="s">
        <v>548</v>
      </c>
      <c r="I123" s="2" t="s">
        <v>549</v>
      </c>
      <c r="J123" s="2" t="s">
        <v>120</v>
      </c>
      <c r="K123" s="2" t="s">
        <v>372</v>
      </c>
      <c r="L123" s="3">
        <v>85</v>
      </c>
      <c r="M123" s="3">
        <v>89.24</v>
      </c>
      <c r="N123" s="3">
        <v>169.99</v>
      </c>
      <c r="O123" s="2" t="s">
        <v>97</v>
      </c>
      <c r="P123" s="2" t="s">
        <v>98</v>
      </c>
      <c r="Q123" s="2" t="s">
        <v>99</v>
      </c>
      <c r="R123" s="2" t="s">
        <v>100</v>
      </c>
      <c r="S123" s="2" t="s">
        <v>550</v>
      </c>
      <c r="T123" s="2" t="s">
        <v>359</v>
      </c>
      <c r="U123" s="2" t="s">
        <v>102</v>
      </c>
      <c r="V123" s="2" t="s">
        <v>551</v>
      </c>
      <c r="W123" s="2" t="s">
        <v>551</v>
      </c>
      <c r="X123" s="2" t="s">
        <v>552</v>
      </c>
      <c r="Y123" s="2" t="s">
        <v>131</v>
      </c>
      <c r="Z123" s="4">
        <v>254</v>
      </c>
      <c r="AA123" s="4">
        <f>=ROUNDDOWN(21.1666666666667,0)</f>
      </c>
      <c r="AB123" s="5">
        <v>12</v>
      </c>
      <c r="AC123" s="2" t="s">
        <v>553</v>
      </c>
      <c r="AD123" s="4">
        <v>70</v>
      </c>
      <c r="AE123" s="4">
        <v>290</v>
      </c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2</v>
      </c>
      <c r="AQ123" s="8">
        <v>180.34</v>
      </c>
      <c r="AR123" s="4"/>
      <c r="AS123" s="8"/>
      <c r="AT123" s="7"/>
      <c r="AU123" s="7"/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0.702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 t="s">
        <v>100</v>
      </c>
      <c r="BJ123" s="4">
        <v>8</v>
      </c>
      <c r="BK123" s="8">
        <v>722.54</v>
      </c>
      <c r="BL123" s="2" t="s">
        <v>557</v>
      </c>
      <c r="BM123" s="7">
        <v>0.25</v>
      </c>
      <c r="BN123" s="7">
        <v>0.2496</v>
      </c>
      <c r="BO123" s="4">
        <v>2</v>
      </c>
      <c r="BP123" s="8">
        <v>180.34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555</v>
      </c>
      <c r="BX123" s="2" t="s">
        <v>515</v>
      </c>
      <c r="BY123" s="2" t="s">
        <v>112</v>
      </c>
      <c r="BZ123" s="2" t="s">
        <v>100</v>
      </c>
    </row>
    <row r="124">
      <c r="A124" s="2" t="s">
        <v>558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546</v>
      </c>
      <c r="G124" s="2" t="s">
        <v>547</v>
      </c>
      <c r="H124" s="2" t="s">
        <v>548</v>
      </c>
      <c r="I124" s="2" t="s">
        <v>549</v>
      </c>
      <c r="J124" s="2" t="s">
        <v>124</v>
      </c>
      <c r="K124" s="2" t="s">
        <v>372</v>
      </c>
      <c r="L124" s="3">
        <v>85</v>
      </c>
      <c r="M124" s="3">
        <v>89.24</v>
      </c>
      <c r="N124" s="3">
        <v>169.99</v>
      </c>
      <c r="O124" s="2" t="s">
        <v>97</v>
      </c>
      <c r="P124" s="2" t="s">
        <v>98</v>
      </c>
      <c r="Q124" s="2" t="s">
        <v>99</v>
      </c>
      <c r="R124" s="2" t="s">
        <v>100</v>
      </c>
      <c r="S124" s="2" t="s">
        <v>550</v>
      </c>
      <c r="T124" s="2" t="s">
        <v>359</v>
      </c>
      <c r="U124" s="2" t="s">
        <v>102</v>
      </c>
      <c r="V124" s="2" t="s">
        <v>551</v>
      </c>
      <c r="W124" s="2" t="s">
        <v>551</v>
      </c>
      <c r="X124" s="2" t="s">
        <v>552</v>
      </c>
      <c r="Y124" s="2" t="s">
        <v>131</v>
      </c>
      <c r="Z124" s="4">
        <v>164</v>
      </c>
      <c r="AA124" s="4">
        <f>=ROUNDDOWN(27.3333333333333,0)</f>
      </c>
      <c r="AB124" s="5">
        <v>6</v>
      </c>
      <c r="AC124" s="2" t="s">
        <v>559</v>
      </c>
      <c r="AD124" s="4">
        <v>100</v>
      </c>
      <c r="AE124" s="4">
        <v>100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100</v>
      </c>
      <c r="AW124" s="8" t="s">
        <v>100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/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 t="s">
        <v>100</v>
      </c>
      <c r="BJ124" s="4">
        <v>3</v>
      </c>
      <c r="BK124" s="8">
        <v>279.96</v>
      </c>
      <c r="BL124" s="2" t="s">
        <v>560</v>
      </c>
      <c r="BM124" s="7"/>
      <c r="BN124" s="7"/>
      <c r="BO124" s="4"/>
      <c r="BP124" s="8"/>
      <c r="BQ124" s="4"/>
      <c r="BR124" s="8"/>
      <c r="BS124" s="7"/>
      <c r="BT124" s="7"/>
      <c r="BU124" s="2" t="s">
        <v>109</v>
      </c>
      <c r="BV124" s="2" t="s">
        <v>97</v>
      </c>
      <c r="BW124" s="2" t="s">
        <v>555</v>
      </c>
      <c r="BX124" s="2" t="s">
        <v>192</v>
      </c>
      <c r="BY124" s="2" t="s">
        <v>112</v>
      </c>
      <c r="BZ124" s="2" t="s">
        <v>100</v>
      </c>
    </row>
    <row r="125">
      <c r="A125" s="2" t="s">
        <v>561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546</v>
      </c>
      <c r="G125" s="2" t="s">
        <v>547</v>
      </c>
      <c r="H125" s="2" t="s">
        <v>548</v>
      </c>
      <c r="I125" s="2" t="s">
        <v>549</v>
      </c>
      <c r="J125" s="2" t="s">
        <v>114</v>
      </c>
      <c r="K125" s="2" t="s">
        <v>340</v>
      </c>
      <c r="L125" s="3">
        <v>75</v>
      </c>
      <c r="M125" s="3">
        <v>78.75</v>
      </c>
      <c r="N125" s="3">
        <v>149.99</v>
      </c>
      <c r="O125" s="2" t="s">
        <v>97</v>
      </c>
      <c r="P125" s="2" t="s">
        <v>98</v>
      </c>
      <c r="Q125" s="2" t="s">
        <v>99</v>
      </c>
      <c r="R125" s="2" t="s">
        <v>100</v>
      </c>
      <c r="S125" s="2" t="s">
        <v>562</v>
      </c>
      <c r="T125" s="2" t="s">
        <v>359</v>
      </c>
      <c r="U125" s="2" t="s">
        <v>102</v>
      </c>
      <c r="V125" s="2" t="s">
        <v>551</v>
      </c>
      <c r="W125" s="2" t="s">
        <v>551</v>
      </c>
      <c r="X125" s="2" t="s">
        <v>563</v>
      </c>
      <c r="Y125" s="2" t="s">
        <v>564</v>
      </c>
      <c r="Z125" s="4">
        <v>403</v>
      </c>
      <c r="AA125" s="4">
        <f>=ROUNDDOWN(13.8965517241379,0)</f>
      </c>
      <c r="AB125" s="5">
        <v>29</v>
      </c>
      <c r="AC125" s="2" t="s">
        <v>553</v>
      </c>
      <c r="AD125" s="4">
        <v>50</v>
      </c>
      <c r="AE125" s="4">
        <v>790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>
        <v>1</v>
      </c>
      <c r="AW125" s="8">
        <v>93.71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/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>
        <v>0.2673</v>
      </c>
      <c r="BJ125" s="4">
        <v>17</v>
      </c>
      <c r="BK125" s="8">
        <v>1200.74</v>
      </c>
      <c r="BL125" s="2" t="s">
        <v>565</v>
      </c>
      <c r="BM125" s="7"/>
      <c r="BN125" s="7"/>
      <c r="BO125" s="4"/>
      <c r="BP125" s="8"/>
      <c r="BQ125" s="4"/>
      <c r="BR125" s="8"/>
      <c r="BS125" s="7"/>
      <c r="BT125" s="7"/>
      <c r="BU125" s="2" t="s">
        <v>109</v>
      </c>
      <c r="BV125" s="2" t="s">
        <v>97</v>
      </c>
      <c r="BW125" s="2" t="s">
        <v>566</v>
      </c>
      <c r="BX125" s="2" t="s">
        <v>567</v>
      </c>
      <c r="BY125" s="2" t="s">
        <v>112</v>
      </c>
      <c r="BZ125" s="2" t="s">
        <v>100</v>
      </c>
    </row>
    <row r="126">
      <c r="A126" s="2" t="s">
        <v>568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546</v>
      </c>
      <c r="G126" s="2" t="s">
        <v>547</v>
      </c>
      <c r="H126" s="2" t="s">
        <v>548</v>
      </c>
      <c r="I126" s="2" t="s">
        <v>549</v>
      </c>
      <c r="J126" s="2" t="s">
        <v>120</v>
      </c>
      <c r="K126" s="2" t="s">
        <v>340</v>
      </c>
      <c r="L126" s="3">
        <v>85</v>
      </c>
      <c r="M126" s="3">
        <v>89.25</v>
      </c>
      <c r="N126" s="3">
        <v>169.99</v>
      </c>
      <c r="O126" s="2" t="s">
        <v>97</v>
      </c>
      <c r="P126" s="2" t="s">
        <v>98</v>
      </c>
      <c r="Q126" s="2" t="s">
        <v>99</v>
      </c>
      <c r="R126" s="2" t="s">
        <v>100</v>
      </c>
      <c r="S126" s="2" t="s">
        <v>562</v>
      </c>
      <c r="T126" s="2" t="s">
        <v>359</v>
      </c>
      <c r="U126" s="2" t="s">
        <v>102</v>
      </c>
      <c r="V126" s="2" t="s">
        <v>551</v>
      </c>
      <c r="W126" s="2" t="s">
        <v>551</v>
      </c>
      <c r="X126" s="2" t="s">
        <v>563</v>
      </c>
      <c r="Y126" s="2" t="s">
        <v>564</v>
      </c>
      <c r="Z126" s="4">
        <v>425</v>
      </c>
      <c r="AA126" s="4">
        <f>=ROUNDDOWN(25,0)</f>
      </c>
      <c r="AB126" s="5">
        <v>17</v>
      </c>
      <c r="AC126" s="2" t="s">
        <v>569</v>
      </c>
      <c r="AD126" s="4">
        <v>170</v>
      </c>
      <c r="AE126" s="4">
        <v>330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1</v>
      </c>
      <c r="AQ126" s="8">
        <v>93.71</v>
      </c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1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19</v>
      </c>
      <c r="BK126" s="8">
        <v>1557.72</v>
      </c>
      <c r="BL126" s="2" t="s">
        <v>570</v>
      </c>
      <c r="BM126" s="7">
        <v>0.0526</v>
      </c>
      <c r="BN126" s="7">
        <v>0.0602</v>
      </c>
      <c r="BO126" s="4">
        <v>1</v>
      </c>
      <c r="BP126" s="8">
        <v>93.71</v>
      </c>
      <c r="BQ126" s="4"/>
      <c r="BR126" s="8"/>
      <c r="BS126" s="7"/>
      <c r="BT126" s="7"/>
      <c r="BU126" s="2" t="s">
        <v>109</v>
      </c>
      <c r="BV126" s="2" t="s">
        <v>97</v>
      </c>
      <c r="BW126" s="2" t="s">
        <v>571</v>
      </c>
      <c r="BX126" s="2" t="s">
        <v>572</v>
      </c>
      <c r="BY126" s="2" t="s">
        <v>112</v>
      </c>
      <c r="BZ126" s="2" t="s">
        <v>100</v>
      </c>
    </row>
    <row r="127">
      <c r="A127" s="2" t="s">
        <v>573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546</v>
      </c>
      <c r="G127" s="2" t="s">
        <v>547</v>
      </c>
      <c r="H127" s="2" t="s">
        <v>548</v>
      </c>
      <c r="I127" s="2" t="s">
        <v>549</v>
      </c>
      <c r="J127" s="2" t="s">
        <v>124</v>
      </c>
      <c r="K127" s="2" t="s">
        <v>340</v>
      </c>
      <c r="L127" s="3">
        <v>85</v>
      </c>
      <c r="M127" s="3">
        <v>89.25</v>
      </c>
      <c r="N127" s="3">
        <v>169.99</v>
      </c>
      <c r="O127" s="2" t="s">
        <v>97</v>
      </c>
      <c r="P127" s="2" t="s">
        <v>98</v>
      </c>
      <c r="Q127" s="2" t="s">
        <v>99</v>
      </c>
      <c r="R127" s="2" t="s">
        <v>100</v>
      </c>
      <c r="S127" s="2" t="s">
        <v>562</v>
      </c>
      <c r="T127" s="2" t="s">
        <v>359</v>
      </c>
      <c r="U127" s="2" t="s">
        <v>102</v>
      </c>
      <c r="V127" s="2" t="s">
        <v>551</v>
      </c>
      <c r="W127" s="2" t="s">
        <v>551</v>
      </c>
      <c r="X127" s="2" t="s">
        <v>563</v>
      </c>
      <c r="Y127" s="2" t="s">
        <v>564</v>
      </c>
      <c r="Z127" s="4">
        <v>228</v>
      </c>
      <c r="AA127" s="4">
        <f>=ROUNDDOWN(28.5,0)</f>
      </c>
      <c r="AB127" s="5">
        <v>8</v>
      </c>
      <c r="AC127" s="2" t="s">
        <v>559</v>
      </c>
      <c r="AD127" s="4">
        <v>140</v>
      </c>
      <c r="AE127" s="4">
        <v>140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/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6</v>
      </c>
      <c r="BK127" s="8">
        <v>524.51</v>
      </c>
      <c r="BL127" s="2" t="s">
        <v>574</v>
      </c>
      <c r="BM127" s="7"/>
      <c r="BN127" s="7"/>
      <c r="BO127" s="4"/>
      <c r="BP127" s="8"/>
      <c r="BQ127" s="4"/>
      <c r="BR127" s="8"/>
      <c r="BS127" s="7"/>
      <c r="BT127" s="7"/>
      <c r="BU127" s="2" t="s">
        <v>109</v>
      </c>
      <c r="BV127" s="2" t="s">
        <v>97</v>
      </c>
      <c r="BW127" s="2" t="s">
        <v>566</v>
      </c>
      <c r="BX127" s="2" t="s">
        <v>575</v>
      </c>
      <c r="BY127" s="2" t="s">
        <v>112</v>
      </c>
      <c r="BZ127" s="2" t="s">
        <v>100</v>
      </c>
    </row>
    <row r="128">
      <c r="A128" s="2" t="s">
        <v>576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577</v>
      </c>
      <c r="G128" s="2" t="s">
        <v>578</v>
      </c>
      <c r="H128" s="2" t="s">
        <v>579</v>
      </c>
      <c r="I128" s="2" t="s">
        <v>241</v>
      </c>
      <c r="J128" s="2" t="s">
        <v>114</v>
      </c>
      <c r="K128" s="2" t="s">
        <v>163</v>
      </c>
      <c r="L128" s="3">
        <v>63.17</v>
      </c>
      <c r="M128" s="3">
        <v>66.33</v>
      </c>
      <c r="N128" s="3">
        <v>124.99</v>
      </c>
      <c r="O128" s="2" t="s">
        <v>97</v>
      </c>
      <c r="P128" s="2" t="s">
        <v>98</v>
      </c>
      <c r="Q128" s="2" t="s">
        <v>99</v>
      </c>
      <c r="R128" s="2" t="s">
        <v>100</v>
      </c>
      <c r="S128" s="2" t="s">
        <v>580</v>
      </c>
      <c r="T128" s="2" t="s">
        <v>100</v>
      </c>
      <c r="U128" s="2" t="s">
        <v>102</v>
      </c>
      <c r="V128" s="2" t="s">
        <v>344</v>
      </c>
      <c r="W128" s="2" t="s">
        <v>104</v>
      </c>
      <c r="X128" s="2" t="s">
        <v>581</v>
      </c>
      <c r="Y128" s="2" t="s">
        <v>582</v>
      </c>
      <c r="Z128" s="4">
        <v>344</v>
      </c>
      <c r="AA128" s="4">
        <f>=ROUNDDOWN(31.2727272727273,0)</f>
      </c>
      <c r="AB128" s="5">
        <v>11</v>
      </c>
      <c r="AC128" s="2" t="s">
        <v>583</v>
      </c>
      <c r="AD128" s="4">
        <v>160</v>
      </c>
      <c r="AE128" s="4">
        <v>160</v>
      </c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1</v>
      </c>
      <c r="AQ128" s="8">
        <v>68.34</v>
      </c>
      <c r="AR128" s="4"/>
      <c r="AS128" s="8"/>
      <c r="AT128" s="7"/>
      <c r="AU128" s="7"/>
      <c r="AV128" s="4">
        <v>4</v>
      </c>
      <c r="AW128" s="8">
        <v>314.94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0.217</v>
      </c>
      <c r="BC128" s="4">
        <v>4</v>
      </c>
      <c r="BD128" s="8">
        <v>314.94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>
        <v>1</v>
      </c>
      <c r="BJ128" s="4">
        <v>9</v>
      </c>
      <c r="BK128" s="8">
        <v>606.03</v>
      </c>
      <c r="BL128" s="2" t="s">
        <v>584</v>
      </c>
      <c r="BM128" s="7">
        <v>0.1111</v>
      </c>
      <c r="BN128" s="7">
        <v>0.1128</v>
      </c>
      <c r="BO128" s="4">
        <v>1</v>
      </c>
      <c r="BP128" s="8">
        <v>68.34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122</v>
      </c>
      <c r="BX128" s="2" t="s">
        <v>585</v>
      </c>
      <c r="BY128" s="2" t="s">
        <v>112</v>
      </c>
      <c r="BZ128" s="2" t="s">
        <v>100</v>
      </c>
    </row>
    <row r="129">
      <c r="A129" s="2" t="s">
        <v>586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577</v>
      </c>
      <c r="G129" s="2" t="s">
        <v>578</v>
      </c>
      <c r="H129" s="2" t="s">
        <v>579</v>
      </c>
      <c r="I129" s="2" t="s">
        <v>241</v>
      </c>
      <c r="J129" s="2" t="s">
        <v>120</v>
      </c>
      <c r="K129" s="2" t="s">
        <v>163</v>
      </c>
      <c r="L129" s="3">
        <v>72.53</v>
      </c>
      <c r="M129" s="3">
        <v>76.16</v>
      </c>
      <c r="N129" s="3">
        <v>144.99</v>
      </c>
      <c r="O129" s="2" t="s">
        <v>97</v>
      </c>
      <c r="P129" s="2" t="s">
        <v>587</v>
      </c>
      <c r="Q129" s="2" t="s">
        <v>99</v>
      </c>
      <c r="R129" s="2" t="s">
        <v>100</v>
      </c>
      <c r="S129" s="2" t="s">
        <v>580</v>
      </c>
      <c r="T129" s="2" t="s">
        <v>100</v>
      </c>
      <c r="U129" s="2" t="s">
        <v>102</v>
      </c>
      <c r="V129" s="2" t="s">
        <v>344</v>
      </c>
      <c r="W129" s="2" t="s">
        <v>104</v>
      </c>
      <c r="X129" s="2" t="s">
        <v>581</v>
      </c>
      <c r="Y129" s="2" t="s">
        <v>582</v>
      </c>
      <c r="Z129" s="4">
        <v>304</v>
      </c>
      <c r="AA129" s="4">
        <f>=ROUNDDOWN(30.4,0)</f>
      </c>
      <c r="AB129" s="5">
        <v>10</v>
      </c>
      <c r="AC129" s="2" t="s">
        <v>583</v>
      </c>
      <c r="AD129" s="4">
        <v>120</v>
      </c>
      <c r="AE129" s="4">
        <v>120</v>
      </c>
      <c r="AF129" s="6">
        <v>64</v>
      </c>
      <c r="AG129" s="6"/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>
        <v>3</v>
      </c>
      <c r="AQ129" s="8">
        <v>246.6</v>
      </c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>
        <v>0.783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12</v>
      </c>
      <c r="BK129" s="8">
        <v>955.11</v>
      </c>
      <c r="BL129" s="2" t="s">
        <v>588</v>
      </c>
      <c r="BM129" s="7">
        <v>0.25</v>
      </c>
      <c r="BN129" s="7">
        <v>0.2582</v>
      </c>
      <c r="BO129" s="4">
        <v>3</v>
      </c>
      <c r="BP129" s="8">
        <v>246.6</v>
      </c>
      <c r="BQ129" s="4"/>
      <c r="BR129" s="8"/>
      <c r="BS129" s="7"/>
      <c r="BT129" s="7"/>
      <c r="BU129" s="2" t="s">
        <v>109</v>
      </c>
      <c r="BV129" s="2" t="s">
        <v>97</v>
      </c>
      <c r="BW129" s="2" t="s">
        <v>122</v>
      </c>
      <c r="BX129" s="2" t="s">
        <v>249</v>
      </c>
      <c r="BY129" s="2" t="s">
        <v>112</v>
      </c>
      <c r="BZ129" s="2" t="s">
        <v>100</v>
      </c>
    </row>
    <row r="130">
      <c r="A130" s="2" t="s">
        <v>589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577</v>
      </c>
      <c r="G130" s="2" t="s">
        <v>578</v>
      </c>
      <c r="H130" s="2" t="s">
        <v>579</v>
      </c>
      <c r="I130" s="2" t="s">
        <v>241</v>
      </c>
      <c r="J130" s="2" t="s">
        <v>124</v>
      </c>
      <c r="K130" s="2" t="s">
        <v>163</v>
      </c>
      <c r="L130" s="3">
        <v>72.53</v>
      </c>
      <c r="M130" s="3">
        <v>76.16</v>
      </c>
      <c r="N130" s="3">
        <v>144.99</v>
      </c>
      <c r="O130" s="2" t="s">
        <v>97</v>
      </c>
      <c r="P130" s="2" t="s">
        <v>587</v>
      </c>
      <c r="Q130" s="2" t="s">
        <v>99</v>
      </c>
      <c r="R130" s="2" t="s">
        <v>100</v>
      </c>
      <c r="S130" s="2" t="s">
        <v>580</v>
      </c>
      <c r="T130" s="2" t="s">
        <v>100</v>
      </c>
      <c r="U130" s="2" t="s">
        <v>102</v>
      </c>
      <c r="V130" s="2" t="s">
        <v>344</v>
      </c>
      <c r="W130" s="2" t="s">
        <v>104</v>
      </c>
      <c r="X130" s="2" t="s">
        <v>581</v>
      </c>
      <c r="Y130" s="2" t="s">
        <v>582</v>
      </c>
      <c r="Z130" s="4">
        <v>186</v>
      </c>
      <c r="AA130" s="4">
        <f>=ROUNDDOWN(62,0)</f>
      </c>
      <c r="AB130" s="5">
        <v>3</v>
      </c>
      <c r="AC130" s="2" t="s">
        <v>583</v>
      </c>
      <c r="AD130" s="4">
        <v>30</v>
      </c>
      <c r="AE130" s="4">
        <v>30</v>
      </c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/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1</v>
      </c>
      <c r="BK130" s="8">
        <v>83.12</v>
      </c>
      <c r="BL130" s="2" t="s">
        <v>210</v>
      </c>
      <c r="BM130" s="7"/>
      <c r="BN130" s="7"/>
      <c r="BO130" s="4"/>
      <c r="BP130" s="8"/>
      <c r="BQ130" s="4"/>
      <c r="BR130" s="8"/>
      <c r="BS130" s="7"/>
      <c r="BT130" s="7"/>
      <c r="BU130" s="2" t="s">
        <v>109</v>
      </c>
      <c r="BV130" s="2" t="s">
        <v>97</v>
      </c>
      <c r="BW130" s="2" t="s">
        <v>122</v>
      </c>
      <c r="BX130" s="2" t="s">
        <v>590</v>
      </c>
      <c r="BY130" s="2" t="s">
        <v>112</v>
      </c>
      <c r="BZ130" s="2" t="s">
        <v>100</v>
      </c>
    </row>
    <row r="131">
      <c r="A131" s="2" t="s">
        <v>591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577</v>
      </c>
      <c r="G131" s="2" t="s">
        <v>578</v>
      </c>
      <c r="H131" s="2" t="s">
        <v>579</v>
      </c>
      <c r="I131" s="2" t="s">
        <v>241</v>
      </c>
      <c r="J131" s="2" t="s">
        <v>114</v>
      </c>
      <c r="K131" s="2" t="s">
        <v>146</v>
      </c>
      <c r="L131" s="3">
        <v>63.17</v>
      </c>
      <c r="M131" s="3">
        <v>66.33</v>
      </c>
      <c r="N131" s="3">
        <v>124.99</v>
      </c>
      <c r="O131" s="2" t="s">
        <v>97</v>
      </c>
      <c r="P131" s="2" t="s">
        <v>98</v>
      </c>
      <c r="Q131" s="2" t="s">
        <v>99</v>
      </c>
      <c r="R131" s="2" t="s">
        <v>100</v>
      </c>
      <c r="S131" s="2" t="s">
        <v>592</v>
      </c>
      <c r="T131" s="2" t="s">
        <v>100</v>
      </c>
      <c r="U131" s="2" t="s">
        <v>102</v>
      </c>
      <c r="V131" s="2" t="s">
        <v>344</v>
      </c>
      <c r="W131" s="2" t="s">
        <v>104</v>
      </c>
      <c r="X131" s="2" t="s">
        <v>581</v>
      </c>
      <c r="Y131" s="2" t="s">
        <v>131</v>
      </c>
      <c r="Z131" s="4">
        <v>361</v>
      </c>
      <c r="AA131" s="4">
        <f>=ROUNDDOWN(32.8181818181818,0)</f>
      </c>
      <c r="AB131" s="5">
        <v>11</v>
      </c>
      <c r="AC131" s="2" t="s">
        <v>593</v>
      </c>
      <c r="AD131" s="4">
        <v>400</v>
      </c>
      <c r="AE131" s="4">
        <v>400</v>
      </c>
      <c r="AF131" s="6">
        <v>64</v>
      </c>
      <c r="AG131" s="6"/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/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9</v>
      </c>
      <c r="BK131" s="8">
        <v>652.43</v>
      </c>
      <c r="BL131" s="2" t="s">
        <v>594</v>
      </c>
      <c r="BM131" s="7"/>
      <c r="BN131" s="7"/>
      <c r="BO131" s="4"/>
      <c r="BP131" s="8"/>
      <c r="BQ131" s="4"/>
      <c r="BR131" s="8"/>
      <c r="BS131" s="7"/>
      <c r="BT131" s="7"/>
      <c r="BU131" s="2" t="s">
        <v>109</v>
      </c>
      <c r="BV131" s="2" t="s">
        <v>97</v>
      </c>
      <c r="BW131" s="2" t="s">
        <v>122</v>
      </c>
      <c r="BX131" s="2" t="s">
        <v>595</v>
      </c>
      <c r="BY131" s="2" t="s">
        <v>112</v>
      </c>
      <c r="BZ131" s="2" t="s">
        <v>100</v>
      </c>
    </row>
    <row r="132">
      <c r="A132" s="2" t="s">
        <v>596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577</v>
      </c>
      <c r="G132" s="2" t="s">
        <v>578</v>
      </c>
      <c r="H132" s="2" t="s">
        <v>579</v>
      </c>
      <c r="I132" s="2" t="s">
        <v>241</v>
      </c>
      <c r="J132" s="2" t="s">
        <v>120</v>
      </c>
      <c r="K132" s="2" t="s">
        <v>146</v>
      </c>
      <c r="L132" s="3">
        <v>72.53</v>
      </c>
      <c r="M132" s="3">
        <v>76.16</v>
      </c>
      <c r="N132" s="3">
        <v>144.99</v>
      </c>
      <c r="O132" s="2" t="s">
        <v>97</v>
      </c>
      <c r="P132" s="2" t="s">
        <v>98</v>
      </c>
      <c r="Q132" s="2" t="s">
        <v>99</v>
      </c>
      <c r="R132" s="2" t="s">
        <v>100</v>
      </c>
      <c r="S132" s="2" t="s">
        <v>592</v>
      </c>
      <c r="T132" s="2" t="s">
        <v>100</v>
      </c>
      <c r="U132" s="2" t="s">
        <v>102</v>
      </c>
      <c r="V132" s="2" t="s">
        <v>344</v>
      </c>
      <c r="W132" s="2" t="s">
        <v>104</v>
      </c>
      <c r="X132" s="2" t="s">
        <v>581</v>
      </c>
      <c r="Y132" s="2" t="s">
        <v>131</v>
      </c>
      <c r="Z132" s="4">
        <v>416</v>
      </c>
      <c r="AA132" s="4">
        <f>=ROUNDDOWN(46.2222222222222,0)</f>
      </c>
      <c r="AB132" s="5">
        <v>9</v>
      </c>
      <c r="AC132" s="2" t="s">
        <v>593</v>
      </c>
      <c r="AD132" s="4">
        <v>170</v>
      </c>
      <c r="AE132" s="4">
        <v>170</v>
      </c>
      <c r="AF132" s="6">
        <v>64</v>
      </c>
      <c r="AG132" s="6"/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100</v>
      </c>
      <c r="AW132" s="8" t="s">
        <v>100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 t="s">
        <v>100</v>
      </c>
      <c r="BJ132" s="4">
        <v>8</v>
      </c>
      <c r="BK132" s="8">
        <v>603.76</v>
      </c>
      <c r="BL132" s="2" t="s">
        <v>597</v>
      </c>
      <c r="BM132" s="7"/>
      <c r="BN132" s="7"/>
      <c r="BO132" s="4"/>
      <c r="BP132" s="8"/>
      <c r="BQ132" s="4"/>
      <c r="BR132" s="8"/>
      <c r="BS132" s="7"/>
      <c r="BT132" s="7"/>
      <c r="BU132" s="2" t="s">
        <v>109</v>
      </c>
      <c r="BV132" s="2" t="s">
        <v>97</v>
      </c>
      <c r="BW132" s="2" t="s">
        <v>122</v>
      </c>
      <c r="BX132" s="2" t="s">
        <v>590</v>
      </c>
      <c r="BY132" s="2" t="s">
        <v>112</v>
      </c>
      <c r="BZ132" s="2" t="s">
        <v>100</v>
      </c>
    </row>
    <row r="133">
      <c r="A133" s="2" t="s">
        <v>598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577</v>
      </c>
      <c r="G133" s="2" t="s">
        <v>578</v>
      </c>
      <c r="H133" s="2" t="s">
        <v>579</v>
      </c>
      <c r="I133" s="2" t="s">
        <v>241</v>
      </c>
      <c r="J133" s="2" t="s">
        <v>124</v>
      </c>
      <c r="K133" s="2" t="s">
        <v>146</v>
      </c>
      <c r="L133" s="3">
        <v>72.53</v>
      </c>
      <c r="M133" s="3">
        <v>76.16</v>
      </c>
      <c r="N133" s="3">
        <v>144.99</v>
      </c>
      <c r="O133" s="2" t="s">
        <v>97</v>
      </c>
      <c r="P133" s="2" t="s">
        <v>98</v>
      </c>
      <c r="Q133" s="2" t="s">
        <v>99</v>
      </c>
      <c r="R133" s="2" t="s">
        <v>100</v>
      </c>
      <c r="S133" s="2" t="s">
        <v>592</v>
      </c>
      <c r="T133" s="2" t="s">
        <v>100</v>
      </c>
      <c r="U133" s="2" t="s">
        <v>102</v>
      </c>
      <c r="V133" s="2" t="s">
        <v>344</v>
      </c>
      <c r="W133" s="2" t="s">
        <v>104</v>
      </c>
      <c r="X133" s="2" t="s">
        <v>581</v>
      </c>
      <c r="Y133" s="2" t="s">
        <v>131</v>
      </c>
      <c r="Z133" s="4">
        <v>185</v>
      </c>
      <c r="AA133" s="4">
        <f>=ROUNDDOWN(46.25,0)</f>
      </c>
      <c r="AB133" s="5">
        <v>4</v>
      </c>
      <c r="AC133" s="2" t="s">
        <v>593</v>
      </c>
      <c r="AD133" s="4">
        <v>30</v>
      </c>
      <c r="AE133" s="4">
        <v>30</v>
      </c>
      <c r="AF133" s="6">
        <v>64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4</v>
      </c>
      <c r="BK133" s="8">
        <v>304.54</v>
      </c>
      <c r="BL133" s="2" t="s">
        <v>599</v>
      </c>
      <c r="BM133" s="7"/>
      <c r="BN133" s="7"/>
      <c r="BO133" s="4"/>
      <c r="BP133" s="8"/>
      <c r="BQ133" s="4"/>
      <c r="BR133" s="8"/>
      <c r="BS133" s="7"/>
      <c r="BT133" s="7"/>
      <c r="BU133" s="2" t="s">
        <v>109</v>
      </c>
      <c r="BV133" s="2" t="s">
        <v>97</v>
      </c>
      <c r="BW133" s="2" t="s">
        <v>122</v>
      </c>
      <c r="BX133" s="2" t="s">
        <v>600</v>
      </c>
      <c r="BY133" s="2" t="s">
        <v>112</v>
      </c>
      <c r="BZ133" s="2" t="s">
        <v>100</v>
      </c>
    </row>
    <row r="134">
      <c r="A134" s="2" t="s">
        <v>601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602</v>
      </c>
      <c r="G134" s="2" t="s">
        <v>603</v>
      </c>
      <c r="H134" s="2" t="s">
        <v>604</v>
      </c>
      <c r="I134" s="2" t="s">
        <v>605</v>
      </c>
      <c r="J134" s="2" t="s">
        <v>114</v>
      </c>
      <c r="K134" s="2" t="s">
        <v>606</v>
      </c>
      <c r="L134" s="3">
        <v>67.2</v>
      </c>
      <c r="M134" s="3">
        <v>70.55</v>
      </c>
      <c r="N134" s="3">
        <v>139.99</v>
      </c>
      <c r="O134" s="2" t="s">
        <v>97</v>
      </c>
      <c r="P134" s="2" t="s">
        <v>341</v>
      </c>
      <c r="Q134" s="2" t="s">
        <v>99</v>
      </c>
      <c r="R134" s="2" t="s">
        <v>100</v>
      </c>
      <c r="S134" s="2" t="s">
        <v>607</v>
      </c>
      <c r="T134" s="2" t="s">
        <v>100</v>
      </c>
      <c r="U134" s="2" t="s">
        <v>102</v>
      </c>
      <c r="V134" s="2" t="s">
        <v>608</v>
      </c>
      <c r="W134" s="2" t="s">
        <v>244</v>
      </c>
      <c r="X134" s="2" t="s">
        <v>609</v>
      </c>
      <c r="Y134" s="2" t="s">
        <v>610</v>
      </c>
      <c r="Z134" s="4">
        <v>832</v>
      </c>
      <c r="AA134" s="4">
        <f>=ROUNDDOWN(19.8095238095238,0)</f>
      </c>
      <c r="AB134" s="5">
        <v>42</v>
      </c>
      <c r="AC134" s="2" t="s">
        <v>287</v>
      </c>
      <c r="AD134" s="4">
        <v>170</v>
      </c>
      <c r="AE134" s="4">
        <v>1270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>
        <v>4</v>
      </c>
      <c r="AW134" s="8">
        <v>279.04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/>
      <c r="BC134" s="4">
        <v>4</v>
      </c>
      <c r="BD134" s="8">
        <v>279.04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>
        <v>1</v>
      </c>
      <c r="BJ134" s="4">
        <v>21</v>
      </c>
      <c r="BK134" s="8">
        <v>1317.45</v>
      </c>
      <c r="BL134" s="2" t="s">
        <v>611</v>
      </c>
      <c r="BM134" s="7"/>
      <c r="BN134" s="7"/>
      <c r="BO134" s="4"/>
      <c r="BP134" s="8"/>
      <c r="BQ134" s="4"/>
      <c r="BR134" s="8"/>
      <c r="BS134" s="7"/>
      <c r="BT134" s="7"/>
      <c r="BU134" s="2" t="s">
        <v>109</v>
      </c>
      <c r="BV134" s="2" t="s">
        <v>97</v>
      </c>
      <c r="BW134" s="2" t="s">
        <v>122</v>
      </c>
      <c r="BX134" s="2" t="s">
        <v>118</v>
      </c>
      <c r="BY134" s="2" t="s">
        <v>112</v>
      </c>
      <c r="BZ134" s="2" t="s">
        <v>100</v>
      </c>
    </row>
    <row r="135">
      <c r="A135" s="2" t="s">
        <v>612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602</v>
      </c>
      <c r="G135" s="2" t="s">
        <v>603</v>
      </c>
      <c r="H135" s="2" t="s">
        <v>604</v>
      </c>
      <c r="I135" s="2" t="s">
        <v>605</v>
      </c>
      <c r="J135" s="2" t="s">
        <v>120</v>
      </c>
      <c r="K135" s="2" t="s">
        <v>606</v>
      </c>
      <c r="L135" s="3">
        <v>76.8</v>
      </c>
      <c r="M135" s="3">
        <v>80.63</v>
      </c>
      <c r="N135" s="3">
        <v>159.99</v>
      </c>
      <c r="O135" s="2" t="s">
        <v>97</v>
      </c>
      <c r="P135" s="2" t="s">
        <v>341</v>
      </c>
      <c r="Q135" s="2" t="s">
        <v>99</v>
      </c>
      <c r="R135" s="2" t="s">
        <v>100</v>
      </c>
      <c r="S135" s="2" t="s">
        <v>607</v>
      </c>
      <c r="T135" s="2" t="s">
        <v>100</v>
      </c>
      <c r="U135" s="2" t="s">
        <v>102</v>
      </c>
      <c r="V135" s="2" t="s">
        <v>608</v>
      </c>
      <c r="W135" s="2" t="s">
        <v>244</v>
      </c>
      <c r="X135" s="2" t="s">
        <v>609</v>
      </c>
      <c r="Y135" s="2" t="s">
        <v>610</v>
      </c>
      <c r="Z135" s="4">
        <v>587</v>
      </c>
      <c r="AA135" s="4">
        <f>=ROUNDDOWN(16.3055555555556,0)</f>
      </c>
      <c r="AB135" s="5">
        <v>36</v>
      </c>
      <c r="AC135" s="2" t="s">
        <v>553</v>
      </c>
      <c r="AD135" s="4">
        <v>80</v>
      </c>
      <c r="AE135" s="4">
        <v>950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>
        <v>0</v>
      </c>
      <c r="AP135" s="4">
        <v>2</v>
      </c>
      <c r="AQ135" s="8">
        <v>139.52</v>
      </c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>
        <v>0.5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20</v>
      </c>
      <c r="BK135" s="8">
        <v>1413.87</v>
      </c>
      <c r="BL135" s="2" t="s">
        <v>613</v>
      </c>
      <c r="BM135" s="7">
        <v>0.1</v>
      </c>
      <c r="BN135" s="7">
        <v>0.0987</v>
      </c>
      <c r="BO135" s="4">
        <v>2</v>
      </c>
      <c r="BP135" s="8">
        <v>139.52</v>
      </c>
      <c r="BQ135" s="4"/>
      <c r="BR135" s="8"/>
      <c r="BS135" s="7"/>
      <c r="BT135" s="7"/>
      <c r="BU135" s="2" t="s">
        <v>109</v>
      </c>
      <c r="BV135" s="2" t="s">
        <v>97</v>
      </c>
      <c r="BW135" s="2" t="s">
        <v>122</v>
      </c>
      <c r="BX135" s="2" t="s">
        <v>585</v>
      </c>
      <c r="BY135" s="2" t="s">
        <v>112</v>
      </c>
      <c r="BZ135" s="2" t="s">
        <v>100</v>
      </c>
    </row>
    <row r="136">
      <c r="A136" s="2" t="s">
        <v>614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602</v>
      </c>
      <c r="G136" s="2" t="s">
        <v>603</v>
      </c>
      <c r="H136" s="2" t="s">
        <v>604</v>
      </c>
      <c r="I136" s="2" t="s">
        <v>605</v>
      </c>
      <c r="J136" s="2" t="s">
        <v>124</v>
      </c>
      <c r="K136" s="2" t="s">
        <v>606</v>
      </c>
      <c r="L136" s="3">
        <v>76.8</v>
      </c>
      <c r="M136" s="3">
        <v>80.63</v>
      </c>
      <c r="N136" s="3">
        <v>159.99</v>
      </c>
      <c r="O136" s="2" t="s">
        <v>97</v>
      </c>
      <c r="P136" s="2" t="s">
        <v>341</v>
      </c>
      <c r="Q136" s="2" t="s">
        <v>99</v>
      </c>
      <c r="R136" s="2" t="s">
        <v>100</v>
      </c>
      <c r="S136" s="2" t="s">
        <v>607</v>
      </c>
      <c r="T136" s="2" t="s">
        <v>100</v>
      </c>
      <c r="U136" s="2" t="s">
        <v>102</v>
      </c>
      <c r="V136" s="2" t="s">
        <v>608</v>
      </c>
      <c r="W136" s="2" t="s">
        <v>244</v>
      </c>
      <c r="X136" s="2" t="s">
        <v>609</v>
      </c>
      <c r="Y136" s="2" t="s">
        <v>610</v>
      </c>
      <c r="Z136" s="4">
        <v>327</v>
      </c>
      <c r="AA136" s="4">
        <f>=ROUNDDOWN(16.35,0)</f>
      </c>
      <c r="AB136" s="5">
        <v>20</v>
      </c>
      <c r="AC136" s="2" t="s">
        <v>615</v>
      </c>
      <c r="AD136" s="4">
        <v>70</v>
      </c>
      <c r="AE136" s="4">
        <v>630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</v>
      </c>
      <c r="AP136" s="4">
        <v>2</v>
      </c>
      <c r="AQ136" s="8">
        <v>139.52</v>
      </c>
      <c r="AR136" s="4"/>
      <c r="AS136" s="8"/>
      <c r="AT136" s="7"/>
      <c r="AU136" s="7"/>
      <c r="AV136" s="4" t="s">
        <v>100</v>
      </c>
      <c r="AW136" s="8" t="s">
        <v>100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0.5</v>
      </c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 t="s">
        <v>100</v>
      </c>
      <c r="BJ136" s="4">
        <v>12</v>
      </c>
      <c r="BK136" s="8">
        <v>934.99</v>
      </c>
      <c r="BL136" s="2" t="s">
        <v>616</v>
      </c>
      <c r="BM136" s="7">
        <v>0.1667</v>
      </c>
      <c r="BN136" s="7">
        <v>0.1492</v>
      </c>
      <c r="BO136" s="4">
        <v>2</v>
      </c>
      <c r="BP136" s="8">
        <v>139.52</v>
      </c>
      <c r="BQ136" s="4"/>
      <c r="BR136" s="8"/>
      <c r="BS136" s="7"/>
      <c r="BT136" s="7"/>
      <c r="BU136" s="2" t="s">
        <v>109</v>
      </c>
      <c r="BV136" s="2" t="s">
        <v>97</v>
      </c>
      <c r="BW136" s="2" t="s">
        <v>122</v>
      </c>
      <c r="BX136" s="2" t="s">
        <v>225</v>
      </c>
      <c r="BY136" s="2" t="s">
        <v>112</v>
      </c>
      <c r="BZ136" s="2" t="s">
        <v>100</v>
      </c>
    </row>
    <row r="137">
      <c r="A137" s="2" t="s">
        <v>617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602</v>
      </c>
      <c r="G137" s="2" t="s">
        <v>603</v>
      </c>
      <c r="H137" s="2" t="s">
        <v>604</v>
      </c>
      <c r="I137" s="2" t="s">
        <v>605</v>
      </c>
      <c r="J137" s="2" t="s">
        <v>114</v>
      </c>
      <c r="K137" s="2" t="s">
        <v>146</v>
      </c>
      <c r="L137" s="3">
        <v>67.2</v>
      </c>
      <c r="M137" s="3">
        <v>70.55</v>
      </c>
      <c r="N137" s="3">
        <v>139.99</v>
      </c>
      <c r="O137" s="2" t="s">
        <v>97</v>
      </c>
      <c r="P137" s="2" t="s">
        <v>98</v>
      </c>
      <c r="Q137" s="2" t="s">
        <v>99</v>
      </c>
      <c r="R137" s="2" t="s">
        <v>100</v>
      </c>
      <c r="S137" s="2" t="s">
        <v>618</v>
      </c>
      <c r="T137" s="2" t="s">
        <v>100</v>
      </c>
      <c r="U137" s="2" t="s">
        <v>102</v>
      </c>
      <c r="V137" s="2" t="s">
        <v>608</v>
      </c>
      <c r="W137" s="2" t="s">
        <v>244</v>
      </c>
      <c r="X137" s="2" t="s">
        <v>609</v>
      </c>
      <c r="Y137" s="2" t="s">
        <v>619</v>
      </c>
      <c r="Z137" s="4">
        <v>147</v>
      </c>
      <c r="AA137" s="4">
        <f>=ROUNDDOWN(9.8,0)</f>
      </c>
      <c r="AB137" s="5">
        <v>15</v>
      </c>
      <c r="AC137" s="2" t="s">
        <v>583</v>
      </c>
      <c r="AD137" s="4">
        <v>70</v>
      </c>
      <c r="AE137" s="4">
        <v>400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8</v>
      </c>
      <c r="BK137" s="8">
        <v>507.88</v>
      </c>
      <c r="BL137" s="2" t="s">
        <v>620</v>
      </c>
      <c r="BM137" s="7"/>
      <c r="BN137" s="7"/>
      <c r="BO137" s="4"/>
      <c r="BP137" s="8"/>
      <c r="BQ137" s="4"/>
      <c r="BR137" s="8"/>
      <c r="BS137" s="7"/>
      <c r="BT137" s="7"/>
      <c r="BU137" s="2" t="s">
        <v>109</v>
      </c>
      <c r="BV137" s="2" t="s">
        <v>97</v>
      </c>
      <c r="BW137" s="2" t="s">
        <v>122</v>
      </c>
      <c r="BX137" s="2" t="s">
        <v>621</v>
      </c>
      <c r="BY137" s="2" t="s">
        <v>112</v>
      </c>
      <c r="BZ137" s="2" t="s">
        <v>100</v>
      </c>
    </row>
    <row r="138">
      <c r="A138" s="2" t="s">
        <v>622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602</v>
      </c>
      <c r="G138" s="2" t="s">
        <v>603</v>
      </c>
      <c r="H138" s="2" t="s">
        <v>604</v>
      </c>
      <c r="I138" s="2" t="s">
        <v>605</v>
      </c>
      <c r="J138" s="2" t="s">
        <v>120</v>
      </c>
      <c r="K138" s="2" t="s">
        <v>146</v>
      </c>
      <c r="L138" s="3">
        <v>76.8</v>
      </c>
      <c r="M138" s="3">
        <v>80.63</v>
      </c>
      <c r="N138" s="3">
        <v>159.99</v>
      </c>
      <c r="O138" s="2" t="s">
        <v>97</v>
      </c>
      <c r="P138" s="2" t="s">
        <v>98</v>
      </c>
      <c r="Q138" s="2" t="s">
        <v>99</v>
      </c>
      <c r="R138" s="2" t="s">
        <v>100</v>
      </c>
      <c r="S138" s="2" t="s">
        <v>618</v>
      </c>
      <c r="T138" s="2" t="s">
        <v>100</v>
      </c>
      <c r="U138" s="2" t="s">
        <v>102</v>
      </c>
      <c r="V138" s="2" t="s">
        <v>608</v>
      </c>
      <c r="W138" s="2" t="s">
        <v>244</v>
      </c>
      <c r="X138" s="2" t="s">
        <v>609</v>
      </c>
      <c r="Y138" s="2" t="s">
        <v>619</v>
      </c>
      <c r="Z138" s="4">
        <v>411</v>
      </c>
      <c r="AA138" s="4">
        <f>=ROUNDDOWN(31.6153846153846,0)</f>
      </c>
      <c r="AB138" s="5">
        <v>13</v>
      </c>
      <c r="AC138" s="2" t="s">
        <v>583</v>
      </c>
      <c r="AD138" s="4">
        <v>96</v>
      </c>
      <c r="AE138" s="4">
        <v>256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12</v>
      </c>
      <c r="BK138" s="8">
        <v>915.73</v>
      </c>
      <c r="BL138" s="2" t="s">
        <v>623</v>
      </c>
      <c r="BM138" s="7"/>
      <c r="BN138" s="7"/>
      <c r="BO138" s="4"/>
      <c r="BP138" s="8"/>
      <c r="BQ138" s="4"/>
      <c r="BR138" s="8"/>
      <c r="BS138" s="7"/>
      <c r="BT138" s="7"/>
      <c r="BU138" s="2" t="s">
        <v>109</v>
      </c>
      <c r="BV138" s="2" t="s">
        <v>97</v>
      </c>
      <c r="BW138" s="2" t="s">
        <v>122</v>
      </c>
      <c r="BX138" s="2" t="s">
        <v>118</v>
      </c>
      <c r="BY138" s="2" t="s">
        <v>112</v>
      </c>
      <c r="BZ138" s="2" t="s">
        <v>100</v>
      </c>
    </row>
    <row r="139">
      <c r="A139" s="2" t="s">
        <v>624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602</v>
      </c>
      <c r="G139" s="2" t="s">
        <v>603</v>
      </c>
      <c r="H139" s="2" t="s">
        <v>604</v>
      </c>
      <c r="I139" s="2" t="s">
        <v>605</v>
      </c>
      <c r="J139" s="2" t="s">
        <v>124</v>
      </c>
      <c r="K139" s="2" t="s">
        <v>146</v>
      </c>
      <c r="L139" s="3">
        <v>76.8</v>
      </c>
      <c r="M139" s="3">
        <v>80.63</v>
      </c>
      <c r="N139" s="3">
        <v>159.99</v>
      </c>
      <c r="O139" s="2" t="s">
        <v>97</v>
      </c>
      <c r="P139" s="2" t="s">
        <v>98</v>
      </c>
      <c r="Q139" s="2" t="s">
        <v>99</v>
      </c>
      <c r="R139" s="2" t="s">
        <v>100</v>
      </c>
      <c r="S139" s="2" t="s">
        <v>618</v>
      </c>
      <c r="T139" s="2" t="s">
        <v>100</v>
      </c>
      <c r="U139" s="2" t="s">
        <v>102</v>
      </c>
      <c r="V139" s="2" t="s">
        <v>608</v>
      </c>
      <c r="W139" s="2" t="s">
        <v>244</v>
      </c>
      <c r="X139" s="2" t="s">
        <v>609</v>
      </c>
      <c r="Y139" s="2" t="s">
        <v>619</v>
      </c>
      <c r="Z139" s="4">
        <v>119</v>
      </c>
      <c r="AA139" s="4">
        <f>=ROUNDDOWN(19.8333333333333,0)</f>
      </c>
      <c r="AB139" s="5">
        <v>6</v>
      </c>
      <c r="AC139" s="2" t="s">
        <v>583</v>
      </c>
      <c r="AD139" s="4">
        <v>50</v>
      </c>
      <c r="AE139" s="4">
        <v>160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/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1</v>
      </c>
      <c r="BK139" s="8">
        <v>77.22</v>
      </c>
      <c r="BL139" s="2" t="s">
        <v>625</v>
      </c>
      <c r="BM139" s="7"/>
      <c r="BN139" s="7"/>
      <c r="BO139" s="4"/>
      <c r="BP139" s="8"/>
      <c r="BQ139" s="4"/>
      <c r="BR139" s="8"/>
      <c r="BS139" s="7"/>
      <c r="BT139" s="7"/>
      <c r="BU139" s="2" t="s">
        <v>109</v>
      </c>
      <c r="BV139" s="2" t="s">
        <v>97</v>
      </c>
      <c r="BW139" s="2" t="s">
        <v>122</v>
      </c>
      <c r="BX139" s="2" t="s">
        <v>381</v>
      </c>
      <c r="BY139" s="2" t="s">
        <v>112</v>
      </c>
      <c r="BZ139" s="2" t="s">
        <v>100</v>
      </c>
    </row>
    <row r="140">
      <c r="A140" s="2" t="s">
        <v>626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627</v>
      </c>
      <c r="G140" s="2" t="s">
        <v>628</v>
      </c>
      <c r="H140" s="2" t="s">
        <v>629</v>
      </c>
      <c r="I140" s="2" t="s">
        <v>630</v>
      </c>
      <c r="J140" s="2" t="s">
        <v>114</v>
      </c>
      <c r="K140" s="2" t="s">
        <v>253</v>
      </c>
      <c r="L140" s="3">
        <v>56.7</v>
      </c>
      <c r="M140" s="3">
        <v>59.54</v>
      </c>
      <c r="N140" s="3">
        <v>129.99</v>
      </c>
      <c r="O140" s="2" t="s">
        <v>97</v>
      </c>
      <c r="P140" s="2" t="s">
        <v>98</v>
      </c>
      <c r="Q140" s="2" t="s">
        <v>99</v>
      </c>
      <c r="R140" s="2" t="s">
        <v>100</v>
      </c>
      <c r="S140" s="2" t="s">
        <v>631</v>
      </c>
      <c r="T140" s="2" t="s">
        <v>100</v>
      </c>
      <c r="U140" s="2" t="s">
        <v>102</v>
      </c>
      <c r="V140" s="2" t="s">
        <v>632</v>
      </c>
      <c r="W140" s="2" t="s">
        <v>244</v>
      </c>
      <c r="X140" s="2" t="s">
        <v>609</v>
      </c>
      <c r="Y140" s="2" t="s">
        <v>633</v>
      </c>
      <c r="Z140" s="4">
        <v>449</v>
      </c>
      <c r="AA140" s="4">
        <f>=ROUNDDOWN(40.8181818181818,0)</f>
      </c>
      <c r="AB140" s="5">
        <v>11</v>
      </c>
      <c r="AC140" s="2" t="s">
        <v>287</v>
      </c>
      <c r="AD140" s="4">
        <v>140</v>
      </c>
      <c r="AE140" s="4">
        <v>390</v>
      </c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>
        <v>0</v>
      </c>
      <c r="AP140" s="4">
        <v>2</v>
      </c>
      <c r="AQ140" s="8">
        <v>135.26</v>
      </c>
      <c r="AR140" s="4"/>
      <c r="AS140" s="8"/>
      <c r="AT140" s="7"/>
      <c r="AU140" s="7"/>
      <c r="AV140" s="4">
        <v>3</v>
      </c>
      <c r="AW140" s="8">
        <v>214.17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0.6316</v>
      </c>
      <c r="BC140" s="4">
        <v>3</v>
      </c>
      <c r="BD140" s="8">
        <v>214.17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>
        <v>1</v>
      </c>
      <c r="BJ140" s="4">
        <v>9</v>
      </c>
      <c r="BK140" s="8">
        <v>585.04</v>
      </c>
      <c r="BL140" s="2" t="s">
        <v>288</v>
      </c>
      <c r="BM140" s="7">
        <v>0.2222</v>
      </c>
      <c r="BN140" s="7">
        <v>0.2312</v>
      </c>
      <c r="BO140" s="4">
        <v>2</v>
      </c>
      <c r="BP140" s="8">
        <v>135.26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122</v>
      </c>
      <c r="BX140" s="2" t="s">
        <v>634</v>
      </c>
      <c r="BY140" s="2" t="s">
        <v>112</v>
      </c>
      <c r="BZ140" s="2" t="s">
        <v>100</v>
      </c>
    </row>
    <row r="141">
      <c r="A141" s="2" t="s">
        <v>635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627</v>
      </c>
      <c r="G141" s="2" t="s">
        <v>628</v>
      </c>
      <c r="H141" s="2" t="s">
        <v>629</v>
      </c>
      <c r="I141" s="2" t="s">
        <v>630</v>
      </c>
      <c r="J141" s="2" t="s">
        <v>120</v>
      </c>
      <c r="K141" s="2" t="s">
        <v>253</v>
      </c>
      <c r="L141" s="3">
        <v>66.24</v>
      </c>
      <c r="M141" s="3">
        <v>69.55</v>
      </c>
      <c r="N141" s="3">
        <v>149.99</v>
      </c>
      <c r="O141" s="2" t="s">
        <v>97</v>
      </c>
      <c r="P141" s="2" t="s">
        <v>98</v>
      </c>
      <c r="Q141" s="2" t="s">
        <v>99</v>
      </c>
      <c r="R141" s="2" t="s">
        <v>100</v>
      </c>
      <c r="S141" s="2" t="s">
        <v>631</v>
      </c>
      <c r="T141" s="2" t="s">
        <v>100</v>
      </c>
      <c r="U141" s="2" t="s">
        <v>102</v>
      </c>
      <c r="V141" s="2" t="s">
        <v>632</v>
      </c>
      <c r="W141" s="2" t="s">
        <v>244</v>
      </c>
      <c r="X141" s="2" t="s">
        <v>609</v>
      </c>
      <c r="Y141" s="2" t="s">
        <v>633</v>
      </c>
      <c r="Z141" s="4">
        <v>284</v>
      </c>
      <c r="AA141" s="4">
        <f>=ROUNDDOWN(21.8461538461538,0)</f>
      </c>
      <c r="AB141" s="5">
        <v>13</v>
      </c>
      <c r="AC141" s="2" t="s">
        <v>287</v>
      </c>
      <c r="AD141" s="4">
        <v>50</v>
      </c>
      <c r="AE141" s="4">
        <v>430</v>
      </c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13</v>
      </c>
      <c r="BK141" s="8">
        <v>935.43</v>
      </c>
      <c r="BL141" s="2" t="s">
        <v>300</v>
      </c>
      <c r="BM141" s="7"/>
      <c r="BN141" s="7"/>
      <c r="BO141" s="4"/>
      <c r="BP141" s="8"/>
      <c r="BQ141" s="4"/>
      <c r="BR141" s="8"/>
      <c r="BS141" s="7"/>
      <c r="BT141" s="7"/>
      <c r="BU141" s="2" t="s">
        <v>109</v>
      </c>
      <c r="BV141" s="2" t="s">
        <v>97</v>
      </c>
      <c r="BW141" s="2" t="s">
        <v>122</v>
      </c>
      <c r="BX141" s="2" t="s">
        <v>621</v>
      </c>
      <c r="BY141" s="2" t="s">
        <v>112</v>
      </c>
      <c r="BZ141" s="2" t="s">
        <v>100</v>
      </c>
    </row>
    <row r="142">
      <c r="A142" s="2" t="s">
        <v>636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627</v>
      </c>
      <c r="G142" s="2" t="s">
        <v>628</v>
      </c>
      <c r="H142" s="2" t="s">
        <v>629</v>
      </c>
      <c r="I142" s="2" t="s">
        <v>630</v>
      </c>
      <c r="J142" s="2" t="s">
        <v>124</v>
      </c>
      <c r="K142" s="2" t="s">
        <v>253</v>
      </c>
      <c r="L142" s="3">
        <v>66.24</v>
      </c>
      <c r="M142" s="3">
        <v>69.55</v>
      </c>
      <c r="N142" s="3">
        <v>149.99</v>
      </c>
      <c r="O142" s="2" t="s">
        <v>97</v>
      </c>
      <c r="P142" s="2" t="s">
        <v>98</v>
      </c>
      <c r="Q142" s="2" t="s">
        <v>99</v>
      </c>
      <c r="R142" s="2" t="s">
        <v>100</v>
      </c>
      <c r="S142" s="2" t="s">
        <v>631</v>
      </c>
      <c r="T142" s="2" t="s">
        <v>100</v>
      </c>
      <c r="U142" s="2" t="s">
        <v>102</v>
      </c>
      <c r="V142" s="2" t="s">
        <v>632</v>
      </c>
      <c r="W142" s="2" t="s">
        <v>244</v>
      </c>
      <c r="X142" s="2" t="s">
        <v>609</v>
      </c>
      <c r="Y142" s="2" t="s">
        <v>633</v>
      </c>
      <c r="Z142" s="4">
        <v>147</v>
      </c>
      <c r="AA142" s="4">
        <f>=ROUNDDOWN(29.4,0)</f>
      </c>
      <c r="AB142" s="5">
        <v>5</v>
      </c>
      <c r="AC142" s="2" t="s">
        <v>287</v>
      </c>
      <c r="AD142" s="4">
        <v>50</v>
      </c>
      <c r="AE142" s="4">
        <v>220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>
        <v>0</v>
      </c>
      <c r="AP142" s="4">
        <v>1</v>
      </c>
      <c r="AQ142" s="8">
        <v>78.91</v>
      </c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>
        <v>0.3684</v>
      </c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6</v>
      </c>
      <c r="BK142" s="8">
        <v>451.62</v>
      </c>
      <c r="BL142" s="2" t="s">
        <v>637</v>
      </c>
      <c r="BM142" s="7">
        <v>0.1667</v>
      </c>
      <c r="BN142" s="7">
        <v>0.1747</v>
      </c>
      <c r="BO142" s="4">
        <v>1</v>
      </c>
      <c r="BP142" s="8">
        <v>78.91</v>
      </c>
      <c r="BQ142" s="4"/>
      <c r="BR142" s="8"/>
      <c r="BS142" s="7"/>
      <c r="BT142" s="7"/>
      <c r="BU142" s="2" t="s">
        <v>109</v>
      </c>
      <c r="BV142" s="2" t="s">
        <v>97</v>
      </c>
      <c r="BW142" s="2" t="s">
        <v>122</v>
      </c>
      <c r="BX142" s="2" t="s">
        <v>419</v>
      </c>
      <c r="BY142" s="2" t="s">
        <v>112</v>
      </c>
      <c r="BZ142" s="2" t="s">
        <v>100</v>
      </c>
    </row>
    <row r="143">
      <c r="A143" s="2" t="s">
        <v>638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639</v>
      </c>
      <c r="G143" s="2" t="s">
        <v>640</v>
      </c>
      <c r="H143" s="2" t="s">
        <v>641</v>
      </c>
      <c r="I143" s="2" t="s">
        <v>642</v>
      </c>
      <c r="J143" s="2" t="s">
        <v>114</v>
      </c>
      <c r="K143" s="2" t="s">
        <v>213</v>
      </c>
      <c r="L143" s="3">
        <v>58.8</v>
      </c>
      <c r="M143" s="3">
        <v>61.73</v>
      </c>
      <c r="N143" s="3">
        <v>119.99</v>
      </c>
      <c r="O143" s="2" t="s">
        <v>97</v>
      </c>
      <c r="P143" s="2" t="s">
        <v>242</v>
      </c>
      <c r="Q143" s="2" t="s">
        <v>99</v>
      </c>
      <c r="R143" s="2" t="s">
        <v>100</v>
      </c>
      <c r="S143" s="2" t="s">
        <v>643</v>
      </c>
      <c r="T143" s="2" t="s">
        <v>100</v>
      </c>
      <c r="U143" s="2" t="s">
        <v>644</v>
      </c>
      <c r="V143" s="2" t="s">
        <v>645</v>
      </c>
      <c r="W143" s="2" t="s">
        <v>646</v>
      </c>
      <c r="X143" s="2" t="s">
        <v>647</v>
      </c>
      <c r="Y143" s="2" t="s">
        <v>131</v>
      </c>
      <c r="Z143" s="4">
        <v>265</v>
      </c>
      <c r="AA143" s="4">
        <f>=ROUNDDOWN(13.25,0)</f>
      </c>
      <c r="AB143" s="5">
        <v>20</v>
      </c>
      <c r="AC143" s="2" t="s">
        <v>648</v>
      </c>
      <c r="AD143" s="4">
        <v>58</v>
      </c>
      <c r="AE143" s="4">
        <v>460</v>
      </c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>
        <v>0</v>
      </c>
      <c r="AP143" s="4">
        <v>1</v>
      </c>
      <c r="AQ143" s="8">
        <v>62.89</v>
      </c>
      <c r="AR143" s="4"/>
      <c r="AS143" s="8"/>
      <c r="AT143" s="7"/>
      <c r="AU143" s="7"/>
      <c r="AV143" s="4">
        <v>3</v>
      </c>
      <c r="AW143" s="8">
        <v>205.03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>
        <v>0.3067</v>
      </c>
      <c r="BC143" s="4">
        <v>3</v>
      </c>
      <c r="BD143" s="8">
        <v>205.03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>
        <v>1</v>
      </c>
      <c r="BJ143" s="4">
        <v>25</v>
      </c>
      <c r="BK143" s="8">
        <v>1395.14</v>
      </c>
      <c r="BL143" s="2" t="s">
        <v>649</v>
      </c>
      <c r="BM143" s="7">
        <v>0.04</v>
      </c>
      <c r="BN143" s="7">
        <v>0.0451</v>
      </c>
      <c r="BO143" s="4">
        <v>1</v>
      </c>
      <c r="BP143" s="8">
        <v>62.89</v>
      </c>
      <c r="BQ143" s="4"/>
      <c r="BR143" s="8"/>
      <c r="BS143" s="7"/>
      <c r="BT143" s="7"/>
      <c r="BU143" s="2" t="s">
        <v>109</v>
      </c>
      <c r="BV143" s="2" t="s">
        <v>97</v>
      </c>
      <c r="BW143" s="2" t="s">
        <v>122</v>
      </c>
      <c r="BX143" s="2" t="s">
        <v>650</v>
      </c>
      <c r="BY143" s="2" t="s">
        <v>112</v>
      </c>
      <c r="BZ143" s="2" t="s">
        <v>100</v>
      </c>
    </row>
    <row r="144">
      <c r="A144" s="2" t="s">
        <v>651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639</v>
      </c>
      <c r="G144" s="2" t="s">
        <v>640</v>
      </c>
      <c r="H144" s="2" t="s">
        <v>641</v>
      </c>
      <c r="I144" s="2" t="s">
        <v>642</v>
      </c>
      <c r="J144" s="2" t="s">
        <v>120</v>
      </c>
      <c r="K144" s="2" t="s">
        <v>213</v>
      </c>
      <c r="L144" s="3">
        <v>68.6</v>
      </c>
      <c r="M144" s="3">
        <v>72.02</v>
      </c>
      <c r="N144" s="3">
        <v>139.99</v>
      </c>
      <c r="O144" s="2" t="s">
        <v>97</v>
      </c>
      <c r="P144" s="2" t="s">
        <v>242</v>
      </c>
      <c r="Q144" s="2" t="s">
        <v>99</v>
      </c>
      <c r="R144" s="2" t="s">
        <v>100</v>
      </c>
      <c r="S144" s="2" t="s">
        <v>643</v>
      </c>
      <c r="T144" s="2" t="s">
        <v>100</v>
      </c>
      <c r="U144" s="2" t="s">
        <v>644</v>
      </c>
      <c r="V144" s="2" t="s">
        <v>645</v>
      </c>
      <c r="W144" s="2" t="s">
        <v>646</v>
      </c>
      <c r="X144" s="2" t="s">
        <v>647</v>
      </c>
      <c r="Y144" s="2" t="s">
        <v>131</v>
      </c>
      <c r="Z144" s="4">
        <v>344</v>
      </c>
      <c r="AA144" s="4">
        <f>=ROUNDDOWN(31.2727272727273,0)</f>
      </c>
      <c r="AB144" s="5">
        <v>11</v>
      </c>
      <c r="AC144" s="2" t="s">
        <v>107</v>
      </c>
      <c r="AD144" s="4">
        <v>100</v>
      </c>
      <c r="AE144" s="4">
        <v>230</v>
      </c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>
        <v>0</v>
      </c>
      <c r="AP144" s="4">
        <v>1</v>
      </c>
      <c r="AQ144" s="8">
        <v>71.07</v>
      </c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0.3466</v>
      </c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7</v>
      </c>
      <c r="BK144" s="8">
        <v>462.96</v>
      </c>
      <c r="BL144" s="2" t="s">
        <v>652</v>
      </c>
      <c r="BM144" s="7">
        <v>0.1429</v>
      </c>
      <c r="BN144" s="7">
        <v>0.1535</v>
      </c>
      <c r="BO144" s="4">
        <v>1</v>
      </c>
      <c r="BP144" s="8">
        <v>71.07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122</v>
      </c>
      <c r="BX144" s="2" t="s">
        <v>653</v>
      </c>
      <c r="BY144" s="2" t="s">
        <v>112</v>
      </c>
      <c r="BZ144" s="2" t="s">
        <v>100</v>
      </c>
    </row>
    <row r="145">
      <c r="A145" s="2" t="s">
        <v>654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639</v>
      </c>
      <c r="G145" s="2" t="s">
        <v>640</v>
      </c>
      <c r="H145" s="2" t="s">
        <v>641</v>
      </c>
      <c r="I145" s="2" t="s">
        <v>642</v>
      </c>
      <c r="J145" s="2" t="s">
        <v>124</v>
      </c>
      <c r="K145" s="2" t="s">
        <v>213</v>
      </c>
      <c r="L145" s="3">
        <v>68.6</v>
      </c>
      <c r="M145" s="3">
        <v>72.02</v>
      </c>
      <c r="N145" s="3">
        <v>139.99</v>
      </c>
      <c r="O145" s="2" t="s">
        <v>97</v>
      </c>
      <c r="P145" s="2" t="s">
        <v>242</v>
      </c>
      <c r="Q145" s="2" t="s">
        <v>99</v>
      </c>
      <c r="R145" s="2" t="s">
        <v>100</v>
      </c>
      <c r="S145" s="2" t="s">
        <v>643</v>
      </c>
      <c r="T145" s="2" t="s">
        <v>100</v>
      </c>
      <c r="U145" s="2" t="s">
        <v>644</v>
      </c>
      <c r="V145" s="2" t="s">
        <v>645</v>
      </c>
      <c r="W145" s="2" t="s">
        <v>646</v>
      </c>
      <c r="X145" s="2" t="s">
        <v>647</v>
      </c>
      <c r="Y145" s="2" t="s">
        <v>131</v>
      </c>
      <c r="Z145" s="4">
        <v>181</v>
      </c>
      <c r="AA145" s="4">
        <f>=ROUNDDOWN(20.1111111111111,0)</f>
      </c>
      <c r="AB145" s="5">
        <v>9</v>
      </c>
      <c r="AC145" s="2" t="s">
        <v>107</v>
      </c>
      <c r="AD145" s="4">
        <v>50</v>
      </c>
      <c r="AE145" s="4">
        <v>160</v>
      </c>
      <c r="AF145" s="6">
        <v>65</v>
      </c>
      <c r="AG145" s="6">
        <v>48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>
        <v>0</v>
      </c>
      <c r="AP145" s="4">
        <v>1</v>
      </c>
      <c r="AQ145" s="8">
        <v>71.07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0.3466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4</v>
      </c>
      <c r="BK145" s="8">
        <v>267.82</v>
      </c>
      <c r="BL145" s="2" t="s">
        <v>655</v>
      </c>
      <c r="BM145" s="7">
        <v>0.25</v>
      </c>
      <c r="BN145" s="7">
        <v>0.2654</v>
      </c>
      <c r="BO145" s="4">
        <v>1</v>
      </c>
      <c r="BP145" s="8">
        <v>71.07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122</v>
      </c>
      <c r="BX145" s="2" t="s">
        <v>246</v>
      </c>
      <c r="BY145" s="2" t="s">
        <v>112</v>
      </c>
      <c r="BZ145" s="2" t="s">
        <v>100</v>
      </c>
    </row>
    <row r="146">
      <c r="A146" s="2" t="s">
        <v>656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657</v>
      </c>
      <c r="G146" s="2" t="s">
        <v>658</v>
      </c>
      <c r="H146" s="2" t="s">
        <v>659</v>
      </c>
      <c r="I146" s="2" t="s">
        <v>660</v>
      </c>
      <c r="J146" s="2" t="s">
        <v>114</v>
      </c>
      <c r="K146" s="2" t="s">
        <v>661</v>
      </c>
      <c r="L146" s="3">
        <v>67.2</v>
      </c>
      <c r="M146" s="3">
        <v>70.55</v>
      </c>
      <c r="N146" s="3">
        <v>139.99</v>
      </c>
      <c r="O146" s="2" t="s">
        <v>97</v>
      </c>
      <c r="P146" s="2" t="s">
        <v>447</v>
      </c>
      <c r="Q146" s="2" t="s">
        <v>99</v>
      </c>
      <c r="R146" s="2" t="s">
        <v>100</v>
      </c>
      <c r="S146" s="2" t="s">
        <v>662</v>
      </c>
      <c r="T146" s="2" t="s">
        <v>100</v>
      </c>
      <c r="U146" s="2" t="s">
        <v>102</v>
      </c>
      <c r="V146" s="2" t="s">
        <v>663</v>
      </c>
      <c r="W146" s="2" t="s">
        <v>551</v>
      </c>
      <c r="X146" s="2" t="s">
        <v>552</v>
      </c>
      <c r="Y146" s="2" t="s">
        <v>131</v>
      </c>
      <c r="Z146" s="4">
        <v>294</v>
      </c>
      <c r="AA146" s="4">
        <f>=ROUNDDOWN(21,0)</f>
      </c>
      <c r="AB146" s="5">
        <v>14</v>
      </c>
      <c r="AC146" s="2" t="s">
        <v>100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>
        <v>2</v>
      </c>
      <c r="AW146" s="8">
        <v>164.4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/>
      <c r="BC146" s="4">
        <v>2</v>
      </c>
      <c r="BD146" s="8">
        <v>164.4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1</v>
      </c>
      <c r="BJ146" s="4">
        <v>14</v>
      </c>
      <c r="BK146" s="8">
        <v>965.33</v>
      </c>
      <c r="BL146" s="2" t="s">
        <v>664</v>
      </c>
      <c r="BM146" s="7"/>
      <c r="BN146" s="7"/>
      <c r="BO146" s="4"/>
      <c r="BP146" s="8"/>
      <c r="BQ146" s="4"/>
      <c r="BR146" s="8"/>
      <c r="BS146" s="7"/>
      <c r="BT146" s="7"/>
      <c r="BU146" s="2" t="s">
        <v>109</v>
      </c>
      <c r="BV146" s="2" t="s">
        <v>97</v>
      </c>
      <c r="BW146" s="2" t="s">
        <v>137</v>
      </c>
      <c r="BX146" s="2" t="s">
        <v>427</v>
      </c>
      <c r="BY146" s="2" t="s">
        <v>112</v>
      </c>
      <c r="BZ146" s="2" t="s">
        <v>100</v>
      </c>
    </row>
    <row r="147">
      <c r="A147" s="2" t="s">
        <v>665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657</v>
      </c>
      <c r="G147" s="2" t="s">
        <v>658</v>
      </c>
      <c r="H147" s="2" t="s">
        <v>659</v>
      </c>
      <c r="I147" s="2" t="s">
        <v>660</v>
      </c>
      <c r="J147" s="2" t="s">
        <v>120</v>
      </c>
      <c r="K147" s="2" t="s">
        <v>661</v>
      </c>
      <c r="L147" s="3">
        <v>78.4</v>
      </c>
      <c r="M147" s="3">
        <v>82.31</v>
      </c>
      <c r="N147" s="3">
        <v>159.99</v>
      </c>
      <c r="O147" s="2" t="s">
        <v>97</v>
      </c>
      <c r="P147" s="2" t="s">
        <v>447</v>
      </c>
      <c r="Q147" s="2" t="s">
        <v>99</v>
      </c>
      <c r="R147" s="2" t="s">
        <v>100</v>
      </c>
      <c r="S147" s="2" t="s">
        <v>662</v>
      </c>
      <c r="T147" s="2" t="s">
        <v>100</v>
      </c>
      <c r="U147" s="2" t="s">
        <v>102</v>
      </c>
      <c r="V147" s="2" t="s">
        <v>663</v>
      </c>
      <c r="W147" s="2" t="s">
        <v>551</v>
      </c>
      <c r="X147" s="2" t="s">
        <v>552</v>
      </c>
      <c r="Y147" s="2" t="s">
        <v>131</v>
      </c>
      <c r="Z147" s="4">
        <v>92</v>
      </c>
      <c r="AA147" s="4">
        <f>=ROUNDDOWN(10.2222222222222,0)</f>
      </c>
      <c r="AB147" s="5">
        <v>9</v>
      </c>
      <c r="AC147" s="2" t="s">
        <v>100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1</v>
      </c>
      <c r="AQ147" s="8">
        <v>82.2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0.5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5</v>
      </c>
      <c r="BK147" s="8">
        <v>389.71</v>
      </c>
      <c r="BL147" s="2" t="s">
        <v>666</v>
      </c>
      <c r="BM147" s="7">
        <v>0.2</v>
      </c>
      <c r="BN147" s="7">
        <v>0.2109</v>
      </c>
      <c r="BO147" s="4">
        <v>1</v>
      </c>
      <c r="BP147" s="8">
        <v>82.2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137</v>
      </c>
      <c r="BX147" s="2" t="s">
        <v>246</v>
      </c>
      <c r="BY147" s="2" t="s">
        <v>112</v>
      </c>
      <c r="BZ147" s="2" t="s">
        <v>100</v>
      </c>
    </row>
    <row r="148">
      <c r="A148" s="2" t="s">
        <v>667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657</v>
      </c>
      <c r="G148" s="2" t="s">
        <v>658</v>
      </c>
      <c r="H148" s="2" t="s">
        <v>659</v>
      </c>
      <c r="I148" s="2" t="s">
        <v>660</v>
      </c>
      <c r="J148" s="2" t="s">
        <v>124</v>
      </c>
      <c r="K148" s="2" t="s">
        <v>661</v>
      </c>
      <c r="L148" s="3">
        <v>78.4</v>
      </c>
      <c r="M148" s="3">
        <v>82.31</v>
      </c>
      <c r="N148" s="3">
        <v>159.99</v>
      </c>
      <c r="O148" s="2" t="s">
        <v>97</v>
      </c>
      <c r="P148" s="2" t="s">
        <v>447</v>
      </c>
      <c r="Q148" s="2" t="s">
        <v>99</v>
      </c>
      <c r="R148" s="2" t="s">
        <v>100</v>
      </c>
      <c r="S148" s="2" t="s">
        <v>662</v>
      </c>
      <c r="T148" s="2" t="s">
        <v>100</v>
      </c>
      <c r="U148" s="2" t="s">
        <v>102</v>
      </c>
      <c r="V148" s="2" t="s">
        <v>663</v>
      </c>
      <c r="W148" s="2" t="s">
        <v>551</v>
      </c>
      <c r="X148" s="2" t="s">
        <v>552</v>
      </c>
      <c r="Y148" s="2" t="s">
        <v>131</v>
      </c>
      <c r="Z148" s="4">
        <v>118</v>
      </c>
      <c r="AA148" s="4">
        <f>=ROUNDDOWN(19.6666666666667,0)</f>
      </c>
      <c r="AB148" s="5">
        <v>6</v>
      </c>
      <c r="AC148" s="2" t="s">
        <v>100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1</v>
      </c>
      <c r="AQ148" s="8">
        <v>82.2</v>
      </c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0.5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 t="s">
        <v>100</v>
      </c>
      <c r="BJ148" s="4">
        <v>5</v>
      </c>
      <c r="BK148" s="8">
        <v>414.16</v>
      </c>
      <c r="BL148" s="2" t="s">
        <v>259</v>
      </c>
      <c r="BM148" s="7">
        <v>0.2</v>
      </c>
      <c r="BN148" s="7">
        <v>0.1985</v>
      </c>
      <c r="BO148" s="4">
        <v>1</v>
      </c>
      <c r="BP148" s="8">
        <v>82.2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137</v>
      </c>
      <c r="BX148" s="2" t="s">
        <v>202</v>
      </c>
      <c r="BY148" s="2" t="s">
        <v>112</v>
      </c>
      <c r="BZ148" s="2" t="s">
        <v>100</v>
      </c>
    </row>
    <row r="149">
      <c r="A149" s="2" t="s">
        <v>668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669</v>
      </c>
      <c r="G149" s="2" t="s">
        <v>670</v>
      </c>
      <c r="H149" s="2" t="s">
        <v>671</v>
      </c>
      <c r="I149" s="2" t="s">
        <v>672</v>
      </c>
      <c r="J149" s="2" t="s">
        <v>673</v>
      </c>
      <c r="K149" s="2" t="s">
        <v>674</v>
      </c>
      <c r="L149" s="3">
        <v>49.68</v>
      </c>
      <c r="M149" s="3">
        <v>52.16</v>
      </c>
      <c r="N149" s="3">
        <v>99.99</v>
      </c>
      <c r="O149" s="2" t="s">
        <v>97</v>
      </c>
      <c r="P149" s="2" t="s">
        <v>242</v>
      </c>
      <c r="Q149" s="2" t="s">
        <v>99</v>
      </c>
      <c r="R149" s="2" t="s">
        <v>100</v>
      </c>
      <c r="S149" s="2" t="s">
        <v>675</v>
      </c>
      <c r="T149" s="2" t="s">
        <v>100</v>
      </c>
      <c r="U149" s="2" t="s">
        <v>676</v>
      </c>
      <c r="V149" s="2" t="s">
        <v>677</v>
      </c>
      <c r="W149" s="2" t="s">
        <v>104</v>
      </c>
      <c r="X149" s="2" t="s">
        <v>678</v>
      </c>
      <c r="Y149" s="2" t="s">
        <v>679</v>
      </c>
      <c r="Z149" s="4">
        <v>239</v>
      </c>
      <c r="AA149" s="4">
        <f>=ROUNDDOWN(26.5555555555556,0)</f>
      </c>
      <c r="AB149" s="5">
        <v>9</v>
      </c>
      <c r="AC149" s="2" t="s">
        <v>680</v>
      </c>
      <c r="AD149" s="4">
        <v>50</v>
      </c>
      <c r="AE149" s="4">
        <v>250</v>
      </c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>
        <v>1</v>
      </c>
      <c r="AW149" s="8">
        <v>88.06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/>
      <c r="BC149" s="4">
        <v>2</v>
      </c>
      <c r="BD149" s="8">
        <v>164.38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>
        <v>0.5357</v>
      </c>
      <c r="BJ149" s="4">
        <v>4</v>
      </c>
      <c r="BK149" s="8">
        <v>196.94</v>
      </c>
      <c r="BL149" s="2" t="s">
        <v>681</v>
      </c>
      <c r="BM149" s="7"/>
      <c r="BN149" s="7"/>
      <c r="BO149" s="4"/>
      <c r="BP149" s="8"/>
      <c r="BQ149" s="4"/>
      <c r="BR149" s="8"/>
      <c r="BS149" s="7"/>
      <c r="BT149" s="7"/>
      <c r="BU149" s="2" t="s">
        <v>109</v>
      </c>
      <c r="BV149" s="2" t="s">
        <v>97</v>
      </c>
      <c r="BW149" s="2" t="s">
        <v>110</v>
      </c>
      <c r="BX149" s="2" t="s">
        <v>682</v>
      </c>
      <c r="BY149" s="2" t="s">
        <v>112</v>
      </c>
      <c r="BZ149" s="2" t="s">
        <v>100</v>
      </c>
    </row>
    <row r="150">
      <c r="A150" s="2" t="s">
        <v>683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669</v>
      </c>
      <c r="G150" s="2" t="s">
        <v>670</v>
      </c>
      <c r="H150" s="2" t="s">
        <v>671</v>
      </c>
      <c r="I150" s="2" t="s">
        <v>672</v>
      </c>
      <c r="J150" s="2" t="s">
        <v>114</v>
      </c>
      <c r="K150" s="2" t="s">
        <v>674</v>
      </c>
      <c r="L150" s="3">
        <v>64.79</v>
      </c>
      <c r="M150" s="3">
        <v>68.03</v>
      </c>
      <c r="N150" s="3">
        <v>129.99</v>
      </c>
      <c r="O150" s="2" t="s">
        <v>97</v>
      </c>
      <c r="P150" s="2" t="s">
        <v>242</v>
      </c>
      <c r="Q150" s="2" t="s">
        <v>99</v>
      </c>
      <c r="R150" s="2" t="s">
        <v>100</v>
      </c>
      <c r="S150" s="2" t="s">
        <v>675</v>
      </c>
      <c r="T150" s="2" t="s">
        <v>100</v>
      </c>
      <c r="U150" s="2" t="s">
        <v>102</v>
      </c>
      <c r="V150" s="2" t="s">
        <v>677</v>
      </c>
      <c r="W150" s="2" t="s">
        <v>104</v>
      </c>
      <c r="X150" s="2" t="s">
        <v>678</v>
      </c>
      <c r="Y150" s="2" t="s">
        <v>684</v>
      </c>
      <c r="Z150" s="4">
        <v>903</v>
      </c>
      <c r="AA150" s="4">
        <f>=ROUNDDOWN(31.1379310344828,0)</f>
      </c>
      <c r="AB150" s="5">
        <v>29</v>
      </c>
      <c r="AC150" s="2" t="s">
        <v>680</v>
      </c>
      <c r="AD150" s="4">
        <v>100</v>
      </c>
      <c r="AE150" s="4">
        <v>510</v>
      </c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/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 t="s">
        <v>100</v>
      </c>
      <c r="BJ150" s="4">
        <v>18</v>
      </c>
      <c r="BK150" s="8">
        <v>1227.99</v>
      </c>
      <c r="BL150" s="2" t="s">
        <v>685</v>
      </c>
      <c r="BM150" s="7"/>
      <c r="BN150" s="7"/>
      <c r="BO150" s="4"/>
      <c r="BP150" s="8"/>
      <c r="BQ150" s="4"/>
      <c r="BR150" s="8"/>
      <c r="BS150" s="7"/>
      <c r="BT150" s="7"/>
      <c r="BU150" s="2" t="s">
        <v>109</v>
      </c>
      <c r="BV150" s="2" t="s">
        <v>97</v>
      </c>
      <c r="BW150" s="2" t="s">
        <v>122</v>
      </c>
      <c r="BX150" s="2" t="s">
        <v>457</v>
      </c>
      <c r="BY150" s="2" t="s">
        <v>112</v>
      </c>
      <c r="BZ150" s="2" t="s">
        <v>100</v>
      </c>
    </row>
    <row r="151">
      <c r="A151" s="2" t="s">
        <v>686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669</v>
      </c>
      <c r="G151" s="2" t="s">
        <v>670</v>
      </c>
      <c r="H151" s="2" t="s">
        <v>671</v>
      </c>
      <c r="I151" s="2" t="s">
        <v>672</v>
      </c>
      <c r="J151" s="2" t="s">
        <v>120</v>
      </c>
      <c r="K151" s="2" t="s">
        <v>674</v>
      </c>
      <c r="L151" s="3">
        <v>74.96</v>
      </c>
      <c r="M151" s="3">
        <v>78.71</v>
      </c>
      <c r="N151" s="3">
        <v>149.99</v>
      </c>
      <c r="O151" s="2" t="s">
        <v>97</v>
      </c>
      <c r="P151" s="2" t="s">
        <v>242</v>
      </c>
      <c r="Q151" s="2" t="s">
        <v>99</v>
      </c>
      <c r="R151" s="2" t="s">
        <v>100</v>
      </c>
      <c r="S151" s="2" t="s">
        <v>675</v>
      </c>
      <c r="T151" s="2" t="s">
        <v>100</v>
      </c>
      <c r="U151" s="2" t="s">
        <v>102</v>
      </c>
      <c r="V151" s="2" t="s">
        <v>677</v>
      </c>
      <c r="W151" s="2" t="s">
        <v>104</v>
      </c>
      <c r="X151" s="2" t="s">
        <v>678</v>
      </c>
      <c r="Y151" s="2" t="s">
        <v>687</v>
      </c>
      <c r="Z151" s="4">
        <v>614</v>
      </c>
      <c r="AA151" s="4">
        <f>=ROUNDDOWN(34.1111111111111,0)</f>
      </c>
      <c r="AB151" s="5">
        <v>18</v>
      </c>
      <c r="AC151" s="2" t="s">
        <v>680</v>
      </c>
      <c r="AD151" s="4">
        <v>100</v>
      </c>
      <c r="AE151" s="4">
        <v>300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/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10</v>
      </c>
      <c r="BK151" s="8">
        <v>805.22</v>
      </c>
      <c r="BL151" s="2" t="s">
        <v>688</v>
      </c>
      <c r="BM151" s="7"/>
      <c r="BN151" s="7"/>
      <c r="BO151" s="4"/>
      <c r="BP151" s="8"/>
      <c r="BQ151" s="4"/>
      <c r="BR151" s="8"/>
      <c r="BS151" s="7"/>
      <c r="BT151" s="7"/>
      <c r="BU151" s="2" t="s">
        <v>109</v>
      </c>
      <c r="BV151" s="2" t="s">
        <v>97</v>
      </c>
      <c r="BW151" s="2" t="s">
        <v>122</v>
      </c>
      <c r="BX151" s="2" t="s">
        <v>590</v>
      </c>
      <c r="BY151" s="2" t="s">
        <v>112</v>
      </c>
      <c r="BZ151" s="2" t="s">
        <v>100</v>
      </c>
    </row>
    <row r="152">
      <c r="A152" s="2" t="s">
        <v>689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669</v>
      </c>
      <c r="G152" s="2" t="s">
        <v>670</v>
      </c>
      <c r="H152" s="2" t="s">
        <v>671</v>
      </c>
      <c r="I152" s="2" t="s">
        <v>672</v>
      </c>
      <c r="J152" s="2" t="s">
        <v>124</v>
      </c>
      <c r="K152" s="2" t="s">
        <v>674</v>
      </c>
      <c r="L152" s="3">
        <v>74.96</v>
      </c>
      <c r="M152" s="3">
        <v>78.71</v>
      </c>
      <c r="N152" s="3">
        <v>149.99</v>
      </c>
      <c r="O152" s="2" t="s">
        <v>97</v>
      </c>
      <c r="P152" s="2" t="s">
        <v>242</v>
      </c>
      <c r="Q152" s="2" t="s">
        <v>99</v>
      </c>
      <c r="R152" s="2" t="s">
        <v>100</v>
      </c>
      <c r="S152" s="2" t="s">
        <v>675</v>
      </c>
      <c r="T152" s="2" t="s">
        <v>100</v>
      </c>
      <c r="U152" s="2" t="s">
        <v>102</v>
      </c>
      <c r="V152" s="2" t="s">
        <v>677</v>
      </c>
      <c r="W152" s="2" t="s">
        <v>104</v>
      </c>
      <c r="X152" s="2" t="s">
        <v>678</v>
      </c>
      <c r="Y152" s="2" t="s">
        <v>687</v>
      </c>
      <c r="Z152" s="4">
        <v>203</v>
      </c>
      <c r="AA152" s="4">
        <f>=ROUNDDOWN(22.5555555555556,0)</f>
      </c>
      <c r="AB152" s="5">
        <v>9</v>
      </c>
      <c r="AC152" s="2" t="s">
        <v>680</v>
      </c>
      <c r="AD152" s="4">
        <v>30</v>
      </c>
      <c r="AE152" s="4">
        <v>310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>
        <v>0</v>
      </c>
      <c r="AP152" s="4">
        <v>1</v>
      </c>
      <c r="AQ152" s="8">
        <v>88.06</v>
      </c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>
        <v>1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3</v>
      </c>
      <c r="BK152" s="8">
        <v>261.74</v>
      </c>
      <c r="BL152" s="2" t="s">
        <v>690</v>
      </c>
      <c r="BM152" s="7">
        <v>0.3333</v>
      </c>
      <c r="BN152" s="7">
        <v>0.3364</v>
      </c>
      <c r="BO152" s="4">
        <v>1</v>
      </c>
      <c r="BP152" s="8">
        <v>88.06</v>
      </c>
      <c r="BQ152" s="4"/>
      <c r="BR152" s="8"/>
      <c r="BS152" s="7"/>
      <c r="BT152" s="7"/>
      <c r="BU152" s="2" t="s">
        <v>109</v>
      </c>
      <c r="BV152" s="2" t="s">
        <v>97</v>
      </c>
      <c r="BW152" s="2" t="s">
        <v>122</v>
      </c>
      <c r="BX152" s="2" t="s">
        <v>691</v>
      </c>
      <c r="BY152" s="2" t="s">
        <v>112</v>
      </c>
      <c r="BZ152" s="2" t="s">
        <v>100</v>
      </c>
    </row>
    <row r="153">
      <c r="A153" s="2" t="s">
        <v>692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669</v>
      </c>
      <c r="G153" s="2" t="s">
        <v>670</v>
      </c>
      <c r="H153" s="2" t="s">
        <v>671</v>
      </c>
      <c r="I153" s="2" t="s">
        <v>672</v>
      </c>
      <c r="J153" s="2" t="s">
        <v>114</v>
      </c>
      <c r="K153" s="2" t="s">
        <v>693</v>
      </c>
      <c r="L153" s="3">
        <v>64.79</v>
      </c>
      <c r="M153" s="3">
        <v>68.03</v>
      </c>
      <c r="N153" s="3">
        <v>129.99</v>
      </c>
      <c r="O153" s="2" t="s">
        <v>97</v>
      </c>
      <c r="P153" s="2" t="s">
        <v>98</v>
      </c>
      <c r="Q153" s="2" t="s">
        <v>99</v>
      </c>
      <c r="R153" s="2" t="s">
        <v>100</v>
      </c>
      <c r="S153" s="2" t="s">
        <v>694</v>
      </c>
      <c r="T153" s="2" t="s">
        <v>100</v>
      </c>
      <c r="U153" s="2" t="s">
        <v>102</v>
      </c>
      <c r="V153" s="2" t="s">
        <v>677</v>
      </c>
      <c r="W153" s="2" t="s">
        <v>104</v>
      </c>
      <c r="X153" s="2" t="s">
        <v>678</v>
      </c>
      <c r="Y153" s="2" t="s">
        <v>131</v>
      </c>
      <c r="Z153" s="4">
        <v>265</v>
      </c>
      <c r="AA153" s="4">
        <f>=ROUNDDOWN(16.5625,0)</f>
      </c>
      <c r="AB153" s="5">
        <v>16</v>
      </c>
      <c r="AC153" s="2" t="s">
        <v>695</v>
      </c>
      <c r="AD153" s="4">
        <v>100</v>
      </c>
      <c r="AE153" s="4">
        <v>490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>
        <v>0</v>
      </c>
      <c r="AP153" s="4">
        <v>1</v>
      </c>
      <c r="AQ153" s="8">
        <v>76.32</v>
      </c>
      <c r="AR153" s="4"/>
      <c r="AS153" s="8"/>
      <c r="AT153" s="7"/>
      <c r="AU153" s="7"/>
      <c r="AV153" s="4">
        <v>1</v>
      </c>
      <c r="AW153" s="8">
        <v>76.32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1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0.4643</v>
      </c>
      <c r="BJ153" s="4">
        <v>9</v>
      </c>
      <c r="BK153" s="8">
        <v>665.88</v>
      </c>
      <c r="BL153" s="2" t="s">
        <v>696</v>
      </c>
      <c r="BM153" s="7">
        <v>0.1111</v>
      </c>
      <c r="BN153" s="7">
        <v>0.1146</v>
      </c>
      <c r="BO153" s="4">
        <v>1</v>
      </c>
      <c r="BP153" s="8">
        <v>76.32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137</v>
      </c>
      <c r="BX153" s="2" t="s">
        <v>170</v>
      </c>
      <c r="BY153" s="2" t="s">
        <v>112</v>
      </c>
      <c r="BZ153" s="2" t="s">
        <v>100</v>
      </c>
    </row>
    <row r="154">
      <c r="A154" s="2" t="s">
        <v>697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669</v>
      </c>
      <c r="G154" s="2" t="s">
        <v>670</v>
      </c>
      <c r="H154" s="2" t="s">
        <v>671</v>
      </c>
      <c r="I154" s="2" t="s">
        <v>672</v>
      </c>
      <c r="J154" s="2" t="s">
        <v>120</v>
      </c>
      <c r="K154" s="2" t="s">
        <v>693</v>
      </c>
      <c r="L154" s="3">
        <v>74.96</v>
      </c>
      <c r="M154" s="3">
        <v>78.71</v>
      </c>
      <c r="N154" s="3">
        <v>149.99</v>
      </c>
      <c r="O154" s="2" t="s">
        <v>97</v>
      </c>
      <c r="P154" s="2" t="s">
        <v>98</v>
      </c>
      <c r="Q154" s="2" t="s">
        <v>99</v>
      </c>
      <c r="R154" s="2" t="s">
        <v>100</v>
      </c>
      <c r="S154" s="2" t="s">
        <v>694</v>
      </c>
      <c r="T154" s="2" t="s">
        <v>100</v>
      </c>
      <c r="U154" s="2" t="s">
        <v>102</v>
      </c>
      <c r="V154" s="2" t="s">
        <v>677</v>
      </c>
      <c r="W154" s="2" t="s">
        <v>104</v>
      </c>
      <c r="X154" s="2" t="s">
        <v>678</v>
      </c>
      <c r="Y154" s="2" t="s">
        <v>131</v>
      </c>
      <c r="Z154" s="4">
        <v>126</v>
      </c>
      <c r="AA154" s="4">
        <f>=ROUNDDOWN(11.4545454545455,0)</f>
      </c>
      <c r="AB154" s="5">
        <v>11</v>
      </c>
      <c r="AC154" s="2" t="s">
        <v>695</v>
      </c>
      <c r="AD154" s="4">
        <v>120</v>
      </c>
      <c r="AE154" s="4">
        <v>390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/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6</v>
      </c>
      <c r="BK154" s="8">
        <v>496.91</v>
      </c>
      <c r="BL154" s="2" t="s">
        <v>698</v>
      </c>
      <c r="BM154" s="7"/>
      <c r="BN154" s="7"/>
      <c r="BO154" s="4"/>
      <c r="BP154" s="8"/>
      <c r="BQ154" s="4"/>
      <c r="BR154" s="8"/>
      <c r="BS154" s="7"/>
      <c r="BT154" s="7"/>
      <c r="BU154" s="2" t="s">
        <v>109</v>
      </c>
      <c r="BV154" s="2" t="s">
        <v>97</v>
      </c>
      <c r="BW154" s="2" t="s">
        <v>137</v>
      </c>
      <c r="BX154" s="2" t="s">
        <v>699</v>
      </c>
      <c r="BY154" s="2" t="s">
        <v>112</v>
      </c>
      <c r="BZ154" s="2" t="s">
        <v>100</v>
      </c>
    </row>
    <row r="155">
      <c r="A155" s="2" t="s">
        <v>700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669</v>
      </c>
      <c r="G155" s="2" t="s">
        <v>670</v>
      </c>
      <c r="H155" s="2" t="s">
        <v>671</v>
      </c>
      <c r="I155" s="2" t="s">
        <v>672</v>
      </c>
      <c r="J155" s="2" t="s">
        <v>124</v>
      </c>
      <c r="K155" s="2" t="s">
        <v>693</v>
      </c>
      <c r="L155" s="3">
        <v>74.96</v>
      </c>
      <c r="M155" s="3">
        <v>78.71</v>
      </c>
      <c r="N155" s="3">
        <v>149.99</v>
      </c>
      <c r="O155" s="2" t="s">
        <v>97</v>
      </c>
      <c r="P155" s="2" t="s">
        <v>98</v>
      </c>
      <c r="Q155" s="2" t="s">
        <v>99</v>
      </c>
      <c r="R155" s="2" t="s">
        <v>100</v>
      </c>
      <c r="S155" s="2" t="s">
        <v>694</v>
      </c>
      <c r="T155" s="2" t="s">
        <v>100</v>
      </c>
      <c r="U155" s="2" t="s">
        <v>102</v>
      </c>
      <c r="V155" s="2" t="s">
        <v>677</v>
      </c>
      <c r="W155" s="2" t="s">
        <v>104</v>
      </c>
      <c r="X155" s="2" t="s">
        <v>678</v>
      </c>
      <c r="Y155" s="2" t="s">
        <v>131</v>
      </c>
      <c r="Z155" s="4">
        <v>124</v>
      </c>
      <c r="AA155" s="4">
        <f>=ROUNDDOWN(24.8,0)</f>
      </c>
      <c r="AB155" s="5">
        <v>5</v>
      </c>
      <c r="AC155" s="2" t="s">
        <v>411</v>
      </c>
      <c r="AD155" s="4">
        <v>30</v>
      </c>
      <c r="AE155" s="4">
        <v>100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/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3</v>
      </c>
      <c r="BK155" s="8">
        <v>219.62</v>
      </c>
      <c r="BL155" s="2" t="s">
        <v>701</v>
      </c>
      <c r="BM155" s="7"/>
      <c r="BN155" s="7"/>
      <c r="BO155" s="4"/>
      <c r="BP155" s="8"/>
      <c r="BQ155" s="4"/>
      <c r="BR155" s="8"/>
      <c r="BS155" s="7"/>
      <c r="BT155" s="7"/>
      <c r="BU155" s="2" t="s">
        <v>109</v>
      </c>
      <c r="BV155" s="2" t="s">
        <v>97</v>
      </c>
      <c r="BW155" s="2" t="s">
        <v>137</v>
      </c>
      <c r="BX155" s="2" t="s">
        <v>173</v>
      </c>
      <c r="BY155" s="2" t="s">
        <v>112</v>
      </c>
      <c r="BZ155" s="2" t="s">
        <v>100</v>
      </c>
    </row>
    <row r="156">
      <c r="A156" s="2" t="s">
        <v>702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669</v>
      </c>
      <c r="G156" s="2" t="s">
        <v>670</v>
      </c>
      <c r="H156" s="2" t="s">
        <v>671</v>
      </c>
      <c r="I156" s="2" t="s">
        <v>672</v>
      </c>
      <c r="J156" s="2" t="s">
        <v>673</v>
      </c>
      <c r="K156" s="2" t="s">
        <v>340</v>
      </c>
      <c r="L156" s="3">
        <v>49.68</v>
      </c>
      <c r="M156" s="3">
        <v>52.16</v>
      </c>
      <c r="N156" s="3">
        <v>99.99</v>
      </c>
      <c r="O156" s="2" t="s">
        <v>97</v>
      </c>
      <c r="P156" s="2" t="s">
        <v>98</v>
      </c>
      <c r="Q156" s="2" t="s">
        <v>99</v>
      </c>
      <c r="R156" s="2" t="s">
        <v>100</v>
      </c>
      <c r="S156" s="2" t="s">
        <v>703</v>
      </c>
      <c r="T156" s="2" t="s">
        <v>100</v>
      </c>
      <c r="U156" s="2" t="s">
        <v>676</v>
      </c>
      <c r="V156" s="2" t="s">
        <v>677</v>
      </c>
      <c r="W156" s="2" t="s">
        <v>104</v>
      </c>
      <c r="X156" s="2" t="s">
        <v>678</v>
      </c>
      <c r="Y156" s="2" t="s">
        <v>704</v>
      </c>
      <c r="Z156" s="4">
        <v>188</v>
      </c>
      <c r="AA156" s="4">
        <f>=ROUNDDOWN(47,0)</f>
      </c>
      <c r="AB156" s="5">
        <v>4</v>
      </c>
      <c r="AC156" s="2" t="s">
        <v>100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/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>
        <v>5</v>
      </c>
      <c r="BK156" s="8">
        <v>247.06</v>
      </c>
      <c r="BL156" s="2" t="s">
        <v>705</v>
      </c>
      <c r="BM156" s="7"/>
      <c r="BN156" s="7"/>
      <c r="BO156" s="4"/>
      <c r="BP156" s="8"/>
      <c r="BQ156" s="4"/>
      <c r="BR156" s="8"/>
      <c r="BS156" s="7"/>
      <c r="BT156" s="7"/>
      <c r="BU156" s="2" t="s">
        <v>109</v>
      </c>
      <c r="BV156" s="2" t="s">
        <v>97</v>
      </c>
      <c r="BW156" s="2" t="s">
        <v>270</v>
      </c>
      <c r="BX156" s="2" t="s">
        <v>706</v>
      </c>
      <c r="BY156" s="2" t="s">
        <v>112</v>
      </c>
      <c r="BZ156" s="2" t="s">
        <v>100</v>
      </c>
    </row>
    <row r="157">
      <c r="A157" s="2" t="s">
        <v>707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669</v>
      </c>
      <c r="G157" s="2" t="s">
        <v>670</v>
      </c>
      <c r="H157" s="2" t="s">
        <v>671</v>
      </c>
      <c r="I157" s="2" t="s">
        <v>672</v>
      </c>
      <c r="J157" s="2" t="s">
        <v>114</v>
      </c>
      <c r="K157" s="2" t="s">
        <v>340</v>
      </c>
      <c r="L157" s="3">
        <v>64.79</v>
      </c>
      <c r="M157" s="3">
        <v>68.03</v>
      </c>
      <c r="N157" s="3">
        <v>129.99</v>
      </c>
      <c r="O157" s="2" t="s">
        <v>97</v>
      </c>
      <c r="P157" s="2" t="s">
        <v>98</v>
      </c>
      <c r="Q157" s="2" t="s">
        <v>99</v>
      </c>
      <c r="R157" s="2" t="s">
        <v>100</v>
      </c>
      <c r="S157" s="2" t="s">
        <v>708</v>
      </c>
      <c r="T157" s="2" t="s">
        <v>100</v>
      </c>
      <c r="U157" s="2" t="s">
        <v>102</v>
      </c>
      <c r="V157" s="2" t="s">
        <v>677</v>
      </c>
      <c r="W157" s="2" t="s">
        <v>104</v>
      </c>
      <c r="X157" s="2" t="s">
        <v>678</v>
      </c>
      <c r="Y157" s="2" t="s">
        <v>709</v>
      </c>
      <c r="Z157" s="4">
        <v>442</v>
      </c>
      <c r="AA157" s="4">
        <f>=ROUNDDOWN(19.2173913043478,0)</f>
      </c>
      <c r="AB157" s="5">
        <v>23</v>
      </c>
      <c r="AC157" s="2" t="s">
        <v>132</v>
      </c>
      <c r="AD157" s="4">
        <v>30</v>
      </c>
      <c r="AE157" s="4">
        <v>540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/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22</v>
      </c>
      <c r="BK157" s="8">
        <v>1521.07</v>
      </c>
      <c r="BL157" s="2" t="s">
        <v>710</v>
      </c>
      <c r="BM157" s="7"/>
      <c r="BN157" s="7"/>
      <c r="BO157" s="4"/>
      <c r="BP157" s="8"/>
      <c r="BQ157" s="4"/>
      <c r="BR157" s="8"/>
      <c r="BS157" s="7"/>
      <c r="BT157" s="7"/>
      <c r="BU157" s="2" t="s">
        <v>109</v>
      </c>
      <c r="BV157" s="2" t="s">
        <v>97</v>
      </c>
      <c r="BW157" s="2" t="s">
        <v>122</v>
      </c>
      <c r="BX157" s="2" t="s">
        <v>711</v>
      </c>
      <c r="BY157" s="2" t="s">
        <v>112</v>
      </c>
      <c r="BZ157" s="2" t="s">
        <v>100</v>
      </c>
    </row>
    <row r="158">
      <c r="A158" s="2" t="s">
        <v>712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669</v>
      </c>
      <c r="G158" s="2" t="s">
        <v>670</v>
      </c>
      <c r="H158" s="2" t="s">
        <v>671</v>
      </c>
      <c r="I158" s="2" t="s">
        <v>672</v>
      </c>
      <c r="J158" s="2" t="s">
        <v>120</v>
      </c>
      <c r="K158" s="2" t="s">
        <v>340</v>
      </c>
      <c r="L158" s="3">
        <v>74.96</v>
      </c>
      <c r="M158" s="3">
        <v>78.71</v>
      </c>
      <c r="N158" s="3">
        <v>149.99</v>
      </c>
      <c r="O158" s="2" t="s">
        <v>97</v>
      </c>
      <c r="P158" s="2" t="s">
        <v>98</v>
      </c>
      <c r="Q158" s="2" t="s">
        <v>99</v>
      </c>
      <c r="R158" s="2" t="s">
        <v>100</v>
      </c>
      <c r="S158" s="2" t="s">
        <v>708</v>
      </c>
      <c r="T158" s="2" t="s">
        <v>100</v>
      </c>
      <c r="U158" s="2" t="s">
        <v>102</v>
      </c>
      <c r="V158" s="2" t="s">
        <v>677</v>
      </c>
      <c r="W158" s="2" t="s">
        <v>104</v>
      </c>
      <c r="X158" s="2" t="s">
        <v>678</v>
      </c>
      <c r="Y158" s="2" t="s">
        <v>131</v>
      </c>
      <c r="Z158" s="4">
        <v>264</v>
      </c>
      <c r="AA158" s="4">
        <f>=ROUNDDOWN(20.3076923076923,0)</f>
      </c>
      <c r="AB158" s="5">
        <v>13</v>
      </c>
      <c r="AC158" s="2" t="s">
        <v>132</v>
      </c>
      <c r="AD158" s="4">
        <v>30</v>
      </c>
      <c r="AE158" s="4">
        <v>180</v>
      </c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/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8</v>
      </c>
      <c r="BK158" s="8">
        <v>652.45</v>
      </c>
      <c r="BL158" s="2" t="s">
        <v>713</v>
      </c>
      <c r="BM158" s="7"/>
      <c r="BN158" s="7"/>
      <c r="BO158" s="4"/>
      <c r="BP158" s="8"/>
      <c r="BQ158" s="4"/>
      <c r="BR158" s="8"/>
      <c r="BS158" s="7"/>
      <c r="BT158" s="7"/>
      <c r="BU158" s="2" t="s">
        <v>109</v>
      </c>
      <c r="BV158" s="2" t="s">
        <v>97</v>
      </c>
      <c r="BW158" s="2" t="s">
        <v>122</v>
      </c>
      <c r="BX158" s="2" t="s">
        <v>216</v>
      </c>
      <c r="BY158" s="2" t="s">
        <v>112</v>
      </c>
      <c r="BZ158" s="2" t="s">
        <v>100</v>
      </c>
    </row>
    <row r="159">
      <c r="A159" s="2" t="s">
        <v>714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669</v>
      </c>
      <c r="G159" s="2" t="s">
        <v>670</v>
      </c>
      <c r="H159" s="2" t="s">
        <v>671</v>
      </c>
      <c r="I159" s="2" t="s">
        <v>672</v>
      </c>
      <c r="J159" s="2" t="s">
        <v>124</v>
      </c>
      <c r="K159" s="2" t="s">
        <v>340</v>
      </c>
      <c r="L159" s="3">
        <v>74.96</v>
      </c>
      <c r="M159" s="3">
        <v>78.71</v>
      </c>
      <c r="N159" s="3">
        <v>149.99</v>
      </c>
      <c r="O159" s="2" t="s">
        <v>97</v>
      </c>
      <c r="P159" s="2" t="s">
        <v>98</v>
      </c>
      <c r="Q159" s="2" t="s">
        <v>99</v>
      </c>
      <c r="R159" s="2" t="s">
        <v>100</v>
      </c>
      <c r="S159" s="2" t="s">
        <v>708</v>
      </c>
      <c r="T159" s="2" t="s">
        <v>100</v>
      </c>
      <c r="U159" s="2" t="s">
        <v>102</v>
      </c>
      <c r="V159" s="2" t="s">
        <v>677</v>
      </c>
      <c r="W159" s="2" t="s">
        <v>104</v>
      </c>
      <c r="X159" s="2" t="s">
        <v>678</v>
      </c>
      <c r="Y159" s="2" t="s">
        <v>131</v>
      </c>
      <c r="Z159" s="4">
        <v>177</v>
      </c>
      <c r="AA159" s="4">
        <f>=ROUNDDOWN(29.5,0)</f>
      </c>
      <c r="AB159" s="5">
        <v>6</v>
      </c>
      <c r="AC159" s="2" t="s">
        <v>406</v>
      </c>
      <c r="AD159" s="4">
        <v>140</v>
      </c>
      <c r="AE159" s="4">
        <v>140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/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1</v>
      </c>
      <c r="BK159" s="8">
        <v>72.52</v>
      </c>
      <c r="BL159" s="2" t="s">
        <v>715</v>
      </c>
      <c r="BM159" s="7"/>
      <c r="BN159" s="7"/>
      <c r="BO159" s="4"/>
      <c r="BP159" s="8"/>
      <c r="BQ159" s="4"/>
      <c r="BR159" s="8"/>
      <c r="BS159" s="7"/>
      <c r="BT159" s="7"/>
      <c r="BU159" s="2" t="s">
        <v>109</v>
      </c>
      <c r="BV159" s="2" t="s">
        <v>97</v>
      </c>
      <c r="BW159" s="2" t="s">
        <v>122</v>
      </c>
      <c r="BX159" s="2" t="s">
        <v>716</v>
      </c>
      <c r="BY159" s="2" t="s">
        <v>112</v>
      </c>
      <c r="BZ159" s="2" t="s">
        <v>100</v>
      </c>
    </row>
    <row r="160">
      <c r="A160" s="2" t="s">
        <v>717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669</v>
      </c>
      <c r="G160" s="2" t="s">
        <v>670</v>
      </c>
      <c r="H160" s="2" t="s">
        <v>671</v>
      </c>
      <c r="I160" s="2" t="s">
        <v>672</v>
      </c>
      <c r="J160" s="2" t="s">
        <v>673</v>
      </c>
      <c r="K160" s="2" t="s">
        <v>718</v>
      </c>
      <c r="L160" s="3">
        <v>49.68</v>
      </c>
      <c r="M160" s="3">
        <v>52.16</v>
      </c>
      <c r="N160" s="3">
        <v>99.99</v>
      </c>
      <c r="O160" s="2" t="s">
        <v>97</v>
      </c>
      <c r="P160" s="2" t="s">
        <v>242</v>
      </c>
      <c r="Q160" s="2" t="s">
        <v>99</v>
      </c>
      <c r="R160" s="2" t="s">
        <v>100</v>
      </c>
      <c r="S160" s="2" t="s">
        <v>719</v>
      </c>
      <c r="T160" s="2" t="s">
        <v>100</v>
      </c>
      <c r="U160" s="2" t="s">
        <v>676</v>
      </c>
      <c r="V160" s="2" t="s">
        <v>677</v>
      </c>
      <c r="W160" s="2" t="s">
        <v>104</v>
      </c>
      <c r="X160" s="2" t="s">
        <v>678</v>
      </c>
      <c r="Y160" s="2" t="s">
        <v>131</v>
      </c>
      <c r="Z160" s="4">
        <v>50</v>
      </c>
      <c r="AA160" s="4">
        <f>=ROUNDDOWN(10,0)</f>
      </c>
      <c r="AB160" s="5">
        <v>5</v>
      </c>
      <c r="AC160" s="2" t="s">
        <v>680</v>
      </c>
      <c r="AD160" s="4">
        <v>30</v>
      </c>
      <c r="AE160" s="4">
        <v>190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5</v>
      </c>
      <c r="BK160" s="8">
        <v>284.71</v>
      </c>
      <c r="BL160" s="2" t="s">
        <v>720</v>
      </c>
      <c r="BM160" s="7"/>
      <c r="BN160" s="7"/>
      <c r="BO160" s="4"/>
      <c r="BP160" s="8"/>
      <c r="BQ160" s="4"/>
      <c r="BR160" s="8"/>
      <c r="BS160" s="7"/>
      <c r="BT160" s="7"/>
      <c r="BU160" s="2" t="s">
        <v>109</v>
      </c>
      <c r="BV160" s="2" t="s">
        <v>97</v>
      </c>
      <c r="BW160" s="2" t="s">
        <v>137</v>
      </c>
      <c r="BX160" s="2" t="s">
        <v>721</v>
      </c>
      <c r="BY160" s="2" t="s">
        <v>112</v>
      </c>
      <c r="BZ160" s="2" t="s">
        <v>100</v>
      </c>
    </row>
    <row r="161">
      <c r="A161" s="2" t="s">
        <v>722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669</v>
      </c>
      <c r="G161" s="2" t="s">
        <v>670</v>
      </c>
      <c r="H161" s="2" t="s">
        <v>671</v>
      </c>
      <c r="I161" s="2" t="s">
        <v>672</v>
      </c>
      <c r="J161" s="2" t="s">
        <v>114</v>
      </c>
      <c r="K161" s="2" t="s">
        <v>718</v>
      </c>
      <c r="L161" s="3">
        <v>64.79</v>
      </c>
      <c r="M161" s="3">
        <v>68.03</v>
      </c>
      <c r="N161" s="3">
        <v>129.99</v>
      </c>
      <c r="O161" s="2" t="s">
        <v>97</v>
      </c>
      <c r="P161" s="2" t="s">
        <v>242</v>
      </c>
      <c r="Q161" s="2" t="s">
        <v>99</v>
      </c>
      <c r="R161" s="2" t="s">
        <v>100</v>
      </c>
      <c r="S161" s="2" t="s">
        <v>719</v>
      </c>
      <c r="T161" s="2" t="s">
        <v>100</v>
      </c>
      <c r="U161" s="2" t="s">
        <v>102</v>
      </c>
      <c r="V161" s="2" t="s">
        <v>677</v>
      </c>
      <c r="W161" s="2" t="s">
        <v>104</v>
      </c>
      <c r="X161" s="2" t="s">
        <v>678</v>
      </c>
      <c r="Y161" s="2" t="s">
        <v>131</v>
      </c>
      <c r="Z161" s="4">
        <v>430</v>
      </c>
      <c r="AA161" s="4">
        <f>=ROUNDDOWN(22.6315789473684,0)</f>
      </c>
      <c r="AB161" s="5">
        <v>19</v>
      </c>
      <c r="AC161" s="2" t="s">
        <v>680</v>
      </c>
      <c r="AD161" s="4">
        <v>150</v>
      </c>
      <c r="AE161" s="4">
        <v>450</v>
      </c>
      <c r="AF161" s="6">
        <v>65</v>
      </c>
      <c r="AG161" s="6">
        <v>73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/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21</v>
      </c>
      <c r="BK161" s="8">
        <v>1340.69</v>
      </c>
      <c r="BL161" s="2" t="s">
        <v>412</v>
      </c>
      <c r="BM161" s="7"/>
      <c r="BN161" s="7"/>
      <c r="BO161" s="4"/>
      <c r="BP161" s="8"/>
      <c r="BQ161" s="4"/>
      <c r="BR161" s="8"/>
      <c r="BS161" s="7"/>
      <c r="BT161" s="7"/>
      <c r="BU161" s="2" t="s">
        <v>109</v>
      </c>
      <c r="BV161" s="2" t="s">
        <v>97</v>
      </c>
      <c r="BW161" s="2" t="s">
        <v>137</v>
      </c>
      <c r="BX161" s="2" t="s">
        <v>723</v>
      </c>
      <c r="BY161" s="2" t="s">
        <v>112</v>
      </c>
      <c r="BZ161" s="2" t="s">
        <v>100</v>
      </c>
    </row>
    <row r="162">
      <c r="A162" s="2" t="s">
        <v>724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669</v>
      </c>
      <c r="G162" s="2" t="s">
        <v>670</v>
      </c>
      <c r="H162" s="2" t="s">
        <v>671</v>
      </c>
      <c r="I162" s="2" t="s">
        <v>672</v>
      </c>
      <c r="J162" s="2" t="s">
        <v>120</v>
      </c>
      <c r="K162" s="2" t="s">
        <v>718</v>
      </c>
      <c r="L162" s="3">
        <v>74.96</v>
      </c>
      <c r="M162" s="3">
        <v>78.71</v>
      </c>
      <c r="N162" s="3">
        <v>149.99</v>
      </c>
      <c r="O162" s="2" t="s">
        <v>97</v>
      </c>
      <c r="P162" s="2" t="s">
        <v>242</v>
      </c>
      <c r="Q162" s="2" t="s">
        <v>99</v>
      </c>
      <c r="R162" s="2" t="s">
        <v>100</v>
      </c>
      <c r="S162" s="2" t="s">
        <v>719</v>
      </c>
      <c r="T162" s="2" t="s">
        <v>100</v>
      </c>
      <c r="U162" s="2" t="s">
        <v>102</v>
      </c>
      <c r="V162" s="2" t="s">
        <v>677</v>
      </c>
      <c r="W162" s="2" t="s">
        <v>104</v>
      </c>
      <c r="X162" s="2" t="s">
        <v>678</v>
      </c>
      <c r="Y162" s="2" t="s">
        <v>131</v>
      </c>
      <c r="Z162" s="4">
        <v>216</v>
      </c>
      <c r="AA162" s="4">
        <f>=ROUNDDOWN(18,0)</f>
      </c>
      <c r="AB162" s="5">
        <v>12</v>
      </c>
      <c r="AC162" s="2" t="s">
        <v>680</v>
      </c>
      <c r="AD162" s="4">
        <v>80</v>
      </c>
      <c r="AE162" s="4">
        <v>340</v>
      </c>
      <c r="AF162" s="6">
        <v>65</v>
      </c>
      <c r="AG162" s="6">
        <v>73</v>
      </c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/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>
        <v>3</v>
      </c>
      <c r="BK162" s="8">
        <v>234.55</v>
      </c>
      <c r="BL162" s="2" t="s">
        <v>725</v>
      </c>
      <c r="BM162" s="7"/>
      <c r="BN162" s="7"/>
      <c r="BO162" s="4"/>
      <c r="BP162" s="8"/>
      <c r="BQ162" s="4"/>
      <c r="BR162" s="8"/>
      <c r="BS162" s="7"/>
      <c r="BT162" s="7"/>
      <c r="BU162" s="2" t="s">
        <v>109</v>
      </c>
      <c r="BV162" s="2" t="s">
        <v>97</v>
      </c>
      <c r="BW162" s="2" t="s">
        <v>137</v>
      </c>
      <c r="BX162" s="2" t="s">
        <v>726</v>
      </c>
      <c r="BY162" s="2" t="s">
        <v>112</v>
      </c>
      <c r="BZ162" s="2" t="s">
        <v>100</v>
      </c>
    </row>
    <row r="163">
      <c r="A163" s="2" t="s">
        <v>727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669</v>
      </c>
      <c r="G163" s="2" t="s">
        <v>670</v>
      </c>
      <c r="H163" s="2" t="s">
        <v>671</v>
      </c>
      <c r="I163" s="2" t="s">
        <v>672</v>
      </c>
      <c r="J163" s="2" t="s">
        <v>124</v>
      </c>
      <c r="K163" s="2" t="s">
        <v>718</v>
      </c>
      <c r="L163" s="3">
        <v>74.96</v>
      </c>
      <c r="M163" s="3">
        <v>78.71</v>
      </c>
      <c r="N163" s="3">
        <v>149.99</v>
      </c>
      <c r="O163" s="2" t="s">
        <v>97</v>
      </c>
      <c r="P163" s="2" t="s">
        <v>242</v>
      </c>
      <c r="Q163" s="2" t="s">
        <v>99</v>
      </c>
      <c r="R163" s="2" t="s">
        <v>100</v>
      </c>
      <c r="S163" s="2" t="s">
        <v>719</v>
      </c>
      <c r="T163" s="2" t="s">
        <v>100</v>
      </c>
      <c r="U163" s="2" t="s">
        <v>102</v>
      </c>
      <c r="V163" s="2" t="s">
        <v>677</v>
      </c>
      <c r="W163" s="2" t="s">
        <v>104</v>
      </c>
      <c r="X163" s="2" t="s">
        <v>678</v>
      </c>
      <c r="Y163" s="2" t="s">
        <v>131</v>
      </c>
      <c r="Z163" s="4">
        <v>95</v>
      </c>
      <c r="AA163" s="4">
        <f>=ROUNDDOWN(15.8333333333333,0)</f>
      </c>
      <c r="AB163" s="5">
        <v>6</v>
      </c>
      <c r="AC163" s="2" t="s">
        <v>680</v>
      </c>
      <c r="AD163" s="4">
        <v>30</v>
      </c>
      <c r="AE163" s="4">
        <v>180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/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4</v>
      </c>
      <c r="BK163" s="8">
        <v>298.78</v>
      </c>
      <c r="BL163" s="2" t="s">
        <v>388</v>
      </c>
      <c r="BM163" s="7"/>
      <c r="BN163" s="7"/>
      <c r="BO163" s="4"/>
      <c r="BP163" s="8"/>
      <c r="BQ163" s="4"/>
      <c r="BR163" s="8"/>
      <c r="BS163" s="7"/>
      <c r="BT163" s="7"/>
      <c r="BU163" s="2" t="s">
        <v>109</v>
      </c>
      <c r="BV163" s="2" t="s">
        <v>97</v>
      </c>
      <c r="BW163" s="2" t="s">
        <v>137</v>
      </c>
      <c r="BX163" s="2" t="s">
        <v>728</v>
      </c>
      <c r="BY163" s="2" t="s">
        <v>112</v>
      </c>
      <c r="BZ163" s="2" t="s">
        <v>100</v>
      </c>
    </row>
    <row r="164">
      <c r="A164" s="2" t="s">
        <v>729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730</v>
      </c>
      <c r="G164" s="2" t="s">
        <v>731</v>
      </c>
      <c r="H164" s="2" t="s">
        <v>732</v>
      </c>
      <c r="I164" s="2" t="s">
        <v>660</v>
      </c>
      <c r="J164" s="2" t="s">
        <v>114</v>
      </c>
      <c r="K164" s="2" t="s">
        <v>163</v>
      </c>
      <c r="L164" s="3">
        <v>65.8</v>
      </c>
      <c r="M164" s="3">
        <v>69.09</v>
      </c>
      <c r="N164" s="3">
        <v>139.99</v>
      </c>
      <c r="O164" s="2" t="s">
        <v>97</v>
      </c>
      <c r="P164" s="2" t="s">
        <v>98</v>
      </c>
      <c r="Q164" s="2" t="s">
        <v>99</v>
      </c>
      <c r="R164" s="2" t="s">
        <v>100</v>
      </c>
      <c r="S164" s="2" t="s">
        <v>733</v>
      </c>
      <c r="T164" s="2" t="s">
        <v>100</v>
      </c>
      <c r="U164" s="2" t="s">
        <v>102</v>
      </c>
      <c r="V164" s="2" t="s">
        <v>734</v>
      </c>
      <c r="W164" s="2" t="s">
        <v>104</v>
      </c>
      <c r="X164" s="2" t="s">
        <v>735</v>
      </c>
      <c r="Y164" s="2" t="s">
        <v>131</v>
      </c>
      <c r="Z164" s="4">
        <v>207</v>
      </c>
      <c r="AA164" s="4">
        <f>=ROUNDDOWN(20.7,0)</f>
      </c>
      <c r="AB164" s="5">
        <v>10</v>
      </c>
      <c r="AC164" s="2" t="s">
        <v>194</v>
      </c>
      <c r="AD164" s="4">
        <v>50</v>
      </c>
      <c r="AE164" s="4">
        <v>419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>
        <v>1</v>
      </c>
      <c r="AW164" s="8">
        <v>71.92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/>
      <c r="BC164" s="4">
        <v>2</v>
      </c>
      <c r="BD164" s="8">
        <v>143.84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>
        <v>0.5</v>
      </c>
      <c r="BJ164" s="4">
        <v>3</v>
      </c>
      <c r="BK164" s="8">
        <v>188.85</v>
      </c>
      <c r="BL164" s="2" t="s">
        <v>736</v>
      </c>
      <c r="BM164" s="7"/>
      <c r="BN164" s="7"/>
      <c r="BO164" s="4"/>
      <c r="BP164" s="8"/>
      <c r="BQ164" s="4"/>
      <c r="BR164" s="8"/>
      <c r="BS164" s="7"/>
      <c r="BT164" s="7"/>
      <c r="BU164" s="2" t="s">
        <v>109</v>
      </c>
      <c r="BV164" s="2" t="s">
        <v>97</v>
      </c>
      <c r="BW164" s="2" t="s">
        <v>122</v>
      </c>
      <c r="BX164" s="2" t="s">
        <v>590</v>
      </c>
      <c r="BY164" s="2" t="s">
        <v>112</v>
      </c>
      <c r="BZ164" s="2" t="s">
        <v>100</v>
      </c>
    </row>
    <row r="165">
      <c r="A165" s="2" t="s">
        <v>737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730</v>
      </c>
      <c r="G165" s="2" t="s">
        <v>731</v>
      </c>
      <c r="H165" s="2" t="s">
        <v>732</v>
      </c>
      <c r="I165" s="2" t="s">
        <v>660</v>
      </c>
      <c r="J165" s="2" t="s">
        <v>120</v>
      </c>
      <c r="K165" s="2" t="s">
        <v>163</v>
      </c>
      <c r="L165" s="3">
        <v>76.8</v>
      </c>
      <c r="M165" s="3">
        <v>80.63</v>
      </c>
      <c r="N165" s="3">
        <v>159.99</v>
      </c>
      <c r="O165" s="2" t="s">
        <v>97</v>
      </c>
      <c r="P165" s="2" t="s">
        <v>98</v>
      </c>
      <c r="Q165" s="2" t="s">
        <v>99</v>
      </c>
      <c r="R165" s="2" t="s">
        <v>100</v>
      </c>
      <c r="S165" s="2" t="s">
        <v>733</v>
      </c>
      <c r="T165" s="2" t="s">
        <v>100</v>
      </c>
      <c r="U165" s="2" t="s">
        <v>102</v>
      </c>
      <c r="V165" s="2" t="s">
        <v>734</v>
      </c>
      <c r="W165" s="2" t="s">
        <v>104</v>
      </c>
      <c r="X165" s="2" t="s">
        <v>735</v>
      </c>
      <c r="Y165" s="2" t="s">
        <v>131</v>
      </c>
      <c r="Z165" s="4">
        <v>115</v>
      </c>
      <c r="AA165" s="4">
        <f>=ROUNDDOWN(12.7777777777778,0)</f>
      </c>
      <c r="AB165" s="5">
        <v>9</v>
      </c>
      <c r="AC165" s="2" t="s">
        <v>194</v>
      </c>
      <c r="AD165" s="4">
        <v>40</v>
      </c>
      <c r="AE165" s="4">
        <v>440</v>
      </c>
      <c r="AF165" s="6">
        <v>64</v>
      </c>
      <c r="AG165" s="6">
        <v>47</v>
      </c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1</v>
      </c>
      <c r="AQ165" s="8">
        <v>71.92</v>
      </c>
      <c r="AR165" s="4"/>
      <c r="AS165" s="8"/>
      <c r="AT165" s="7"/>
      <c r="AU165" s="7"/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1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>
        <v>8</v>
      </c>
      <c r="BK165" s="8">
        <v>593.2</v>
      </c>
      <c r="BL165" s="2" t="s">
        <v>738</v>
      </c>
      <c r="BM165" s="7">
        <v>0.125</v>
      </c>
      <c r="BN165" s="7">
        <v>0.1212</v>
      </c>
      <c r="BO165" s="4">
        <v>1</v>
      </c>
      <c r="BP165" s="8">
        <v>71.92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122</v>
      </c>
      <c r="BX165" s="2" t="s">
        <v>739</v>
      </c>
      <c r="BY165" s="2" t="s">
        <v>112</v>
      </c>
      <c r="BZ165" s="2" t="s">
        <v>100</v>
      </c>
    </row>
    <row r="166">
      <c r="A166" s="2" t="s">
        <v>740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730</v>
      </c>
      <c r="G166" s="2" t="s">
        <v>731</v>
      </c>
      <c r="H166" s="2" t="s">
        <v>732</v>
      </c>
      <c r="I166" s="2" t="s">
        <v>660</v>
      </c>
      <c r="J166" s="2" t="s">
        <v>124</v>
      </c>
      <c r="K166" s="2" t="s">
        <v>163</v>
      </c>
      <c r="L166" s="3">
        <v>76.8</v>
      </c>
      <c r="M166" s="3">
        <v>80.63</v>
      </c>
      <c r="N166" s="3">
        <v>159.99</v>
      </c>
      <c r="O166" s="2" t="s">
        <v>97</v>
      </c>
      <c r="P166" s="2" t="s">
        <v>98</v>
      </c>
      <c r="Q166" s="2" t="s">
        <v>99</v>
      </c>
      <c r="R166" s="2" t="s">
        <v>100</v>
      </c>
      <c r="S166" s="2" t="s">
        <v>733</v>
      </c>
      <c r="T166" s="2" t="s">
        <v>100</v>
      </c>
      <c r="U166" s="2" t="s">
        <v>102</v>
      </c>
      <c r="V166" s="2" t="s">
        <v>734</v>
      </c>
      <c r="W166" s="2" t="s">
        <v>104</v>
      </c>
      <c r="X166" s="2" t="s">
        <v>735</v>
      </c>
      <c r="Y166" s="2" t="s">
        <v>131</v>
      </c>
      <c r="Z166" s="4">
        <v>78</v>
      </c>
      <c r="AA166" s="4">
        <f>=ROUNDDOWN(19.5,0)</f>
      </c>
      <c r="AB166" s="5">
        <v>4</v>
      </c>
      <c r="AC166" s="2" t="s">
        <v>194</v>
      </c>
      <c r="AD166" s="4">
        <v>90</v>
      </c>
      <c r="AE166" s="4">
        <v>180</v>
      </c>
      <c r="AF166" s="6">
        <v>64</v>
      </c>
      <c r="AG166" s="6">
        <v>47</v>
      </c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/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2</v>
      </c>
      <c r="BK166" s="8">
        <v>132.89</v>
      </c>
      <c r="BL166" s="2" t="s">
        <v>741</v>
      </c>
      <c r="BM166" s="7"/>
      <c r="BN166" s="7"/>
      <c r="BO166" s="4"/>
      <c r="BP166" s="8"/>
      <c r="BQ166" s="4"/>
      <c r="BR166" s="8"/>
      <c r="BS166" s="7"/>
      <c r="BT166" s="7"/>
      <c r="BU166" s="2" t="s">
        <v>109</v>
      </c>
      <c r="BV166" s="2" t="s">
        <v>97</v>
      </c>
      <c r="BW166" s="2" t="s">
        <v>122</v>
      </c>
      <c r="BX166" s="2" t="s">
        <v>742</v>
      </c>
      <c r="BY166" s="2" t="s">
        <v>112</v>
      </c>
      <c r="BZ166" s="2" t="s">
        <v>100</v>
      </c>
    </row>
    <row r="167">
      <c r="A167" s="2" t="s">
        <v>743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730</v>
      </c>
      <c r="G167" s="2" t="s">
        <v>731</v>
      </c>
      <c r="H167" s="2" t="s">
        <v>732</v>
      </c>
      <c r="I167" s="2" t="s">
        <v>660</v>
      </c>
      <c r="J167" s="2" t="s">
        <v>114</v>
      </c>
      <c r="K167" s="2" t="s">
        <v>416</v>
      </c>
      <c r="L167" s="3">
        <v>65.8</v>
      </c>
      <c r="M167" s="3">
        <v>69.09</v>
      </c>
      <c r="N167" s="3">
        <v>139.99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744</v>
      </c>
      <c r="T167" s="2" t="s">
        <v>100</v>
      </c>
      <c r="U167" s="2" t="s">
        <v>102</v>
      </c>
      <c r="V167" s="2" t="s">
        <v>734</v>
      </c>
      <c r="W167" s="2" t="s">
        <v>104</v>
      </c>
      <c r="X167" s="2" t="s">
        <v>735</v>
      </c>
      <c r="Y167" s="2" t="s">
        <v>131</v>
      </c>
      <c r="Z167" s="4">
        <v>546</v>
      </c>
      <c r="AA167" s="4">
        <f>=ROUNDDOWN(36.4,0)</f>
      </c>
      <c r="AB167" s="5">
        <v>15</v>
      </c>
      <c r="AC167" s="2" t="s">
        <v>287</v>
      </c>
      <c r="AD167" s="4">
        <v>160</v>
      </c>
      <c r="AE167" s="4">
        <v>400</v>
      </c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>
        <v>1</v>
      </c>
      <c r="AW167" s="8">
        <v>71.92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/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>
        <v>0.5</v>
      </c>
      <c r="BJ167" s="4">
        <v>12</v>
      </c>
      <c r="BK167" s="8">
        <v>730.95</v>
      </c>
      <c r="BL167" s="2" t="s">
        <v>745</v>
      </c>
      <c r="BM167" s="7"/>
      <c r="BN167" s="7"/>
      <c r="BO167" s="4"/>
      <c r="BP167" s="8"/>
      <c r="BQ167" s="4"/>
      <c r="BR167" s="8"/>
      <c r="BS167" s="7"/>
      <c r="BT167" s="7"/>
      <c r="BU167" s="2" t="s">
        <v>109</v>
      </c>
      <c r="BV167" s="2" t="s">
        <v>97</v>
      </c>
      <c r="BW167" s="2" t="s">
        <v>122</v>
      </c>
      <c r="BX167" s="2" t="s">
        <v>219</v>
      </c>
      <c r="BY167" s="2" t="s">
        <v>112</v>
      </c>
      <c r="BZ167" s="2" t="s">
        <v>100</v>
      </c>
    </row>
    <row r="168">
      <c r="A168" s="2" t="s">
        <v>746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730</v>
      </c>
      <c r="G168" s="2" t="s">
        <v>731</v>
      </c>
      <c r="H168" s="2" t="s">
        <v>732</v>
      </c>
      <c r="I168" s="2" t="s">
        <v>660</v>
      </c>
      <c r="J168" s="2" t="s">
        <v>120</v>
      </c>
      <c r="K168" s="2" t="s">
        <v>416</v>
      </c>
      <c r="L168" s="3">
        <v>76.8</v>
      </c>
      <c r="M168" s="3">
        <v>80.63</v>
      </c>
      <c r="N168" s="3">
        <v>159.99</v>
      </c>
      <c r="O168" s="2" t="s">
        <v>97</v>
      </c>
      <c r="P168" s="2" t="s">
        <v>98</v>
      </c>
      <c r="Q168" s="2" t="s">
        <v>99</v>
      </c>
      <c r="R168" s="2" t="s">
        <v>100</v>
      </c>
      <c r="S168" s="2" t="s">
        <v>744</v>
      </c>
      <c r="T168" s="2" t="s">
        <v>100</v>
      </c>
      <c r="U168" s="2" t="s">
        <v>102</v>
      </c>
      <c r="V168" s="2" t="s">
        <v>734</v>
      </c>
      <c r="W168" s="2" t="s">
        <v>104</v>
      </c>
      <c r="X168" s="2" t="s">
        <v>735</v>
      </c>
      <c r="Y168" s="2" t="s">
        <v>131</v>
      </c>
      <c r="Z168" s="4">
        <v>396</v>
      </c>
      <c r="AA168" s="4">
        <f>=ROUNDDOWN(30.4615384615385,0)</f>
      </c>
      <c r="AB168" s="5">
        <v>13</v>
      </c>
      <c r="AC168" s="2" t="s">
        <v>287</v>
      </c>
      <c r="AD168" s="4">
        <v>130</v>
      </c>
      <c r="AE168" s="4">
        <v>530</v>
      </c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>
        <v>0</v>
      </c>
      <c r="AP168" s="4">
        <v>1</v>
      </c>
      <c r="AQ168" s="8">
        <v>71.92</v>
      </c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1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 t="s">
        <v>100</v>
      </c>
      <c r="BJ168" s="4">
        <v>6</v>
      </c>
      <c r="BK168" s="8">
        <v>459.95</v>
      </c>
      <c r="BL168" s="2" t="s">
        <v>259</v>
      </c>
      <c r="BM168" s="7">
        <v>0.1667</v>
      </c>
      <c r="BN168" s="7">
        <v>0.1564</v>
      </c>
      <c r="BO168" s="4">
        <v>1</v>
      </c>
      <c r="BP168" s="8">
        <v>71.92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122</v>
      </c>
      <c r="BX168" s="2" t="s">
        <v>202</v>
      </c>
      <c r="BY168" s="2" t="s">
        <v>112</v>
      </c>
      <c r="BZ168" s="2" t="s">
        <v>100</v>
      </c>
    </row>
    <row r="169">
      <c r="A169" s="2" t="s">
        <v>747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730</v>
      </c>
      <c r="G169" s="2" t="s">
        <v>731</v>
      </c>
      <c r="H169" s="2" t="s">
        <v>732</v>
      </c>
      <c r="I169" s="2" t="s">
        <v>660</v>
      </c>
      <c r="J169" s="2" t="s">
        <v>124</v>
      </c>
      <c r="K169" s="2" t="s">
        <v>416</v>
      </c>
      <c r="L169" s="3">
        <v>76.8</v>
      </c>
      <c r="M169" s="3">
        <v>80.63</v>
      </c>
      <c r="N169" s="3">
        <v>159.99</v>
      </c>
      <c r="O169" s="2" t="s">
        <v>97</v>
      </c>
      <c r="P169" s="2" t="s">
        <v>98</v>
      </c>
      <c r="Q169" s="2" t="s">
        <v>99</v>
      </c>
      <c r="R169" s="2" t="s">
        <v>100</v>
      </c>
      <c r="S169" s="2" t="s">
        <v>744</v>
      </c>
      <c r="T169" s="2" t="s">
        <v>100</v>
      </c>
      <c r="U169" s="2" t="s">
        <v>102</v>
      </c>
      <c r="V169" s="2" t="s">
        <v>734</v>
      </c>
      <c r="W169" s="2" t="s">
        <v>104</v>
      </c>
      <c r="X169" s="2" t="s">
        <v>735</v>
      </c>
      <c r="Y169" s="2" t="s">
        <v>131</v>
      </c>
      <c r="Z169" s="4">
        <v>239</v>
      </c>
      <c r="AA169" s="4">
        <f>=ROUNDDOWN(47.8,0)</f>
      </c>
      <c r="AB169" s="5">
        <v>5</v>
      </c>
      <c r="AC169" s="2" t="s">
        <v>593</v>
      </c>
      <c r="AD169" s="4">
        <v>40</v>
      </c>
      <c r="AE169" s="4">
        <v>40</v>
      </c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/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3</v>
      </c>
      <c r="BK169" s="8">
        <v>217.62</v>
      </c>
      <c r="BL169" s="2" t="s">
        <v>748</v>
      </c>
      <c r="BM169" s="7"/>
      <c r="BN169" s="7"/>
      <c r="BO169" s="4"/>
      <c r="BP169" s="8"/>
      <c r="BQ169" s="4"/>
      <c r="BR169" s="8"/>
      <c r="BS169" s="7"/>
      <c r="BT169" s="7"/>
      <c r="BU169" s="2" t="s">
        <v>109</v>
      </c>
      <c r="BV169" s="2" t="s">
        <v>97</v>
      </c>
      <c r="BW169" s="2" t="s">
        <v>122</v>
      </c>
      <c r="BX169" s="2" t="s">
        <v>749</v>
      </c>
      <c r="BY169" s="2" t="s">
        <v>112</v>
      </c>
      <c r="BZ169" s="2" t="s">
        <v>100</v>
      </c>
    </row>
    <row r="170">
      <c r="A170" s="2" t="s">
        <v>750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751</v>
      </c>
      <c r="G170" s="2" t="s">
        <v>752</v>
      </c>
      <c r="H170" s="2" t="s">
        <v>753</v>
      </c>
      <c r="I170" s="2" t="s">
        <v>754</v>
      </c>
      <c r="J170" s="2" t="s">
        <v>114</v>
      </c>
      <c r="K170" s="2" t="s">
        <v>146</v>
      </c>
      <c r="L170" s="3">
        <v>60.74</v>
      </c>
      <c r="M170" s="3">
        <v>63.78</v>
      </c>
      <c r="N170" s="3">
        <v>124.99</v>
      </c>
      <c r="O170" s="2" t="s">
        <v>97</v>
      </c>
      <c r="P170" s="2" t="s">
        <v>98</v>
      </c>
      <c r="Q170" s="2" t="s">
        <v>99</v>
      </c>
      <c r="R170" s="2" t="s">
        <v>100</v>
      </c>
      <c r="S170" s="2" t="s">
        <v>755</v>
      </c>
      <c r="T170" s="2" t="s">
        <v>100</v>
      </c>
      <c r="U170" s="2" t="s">
        <v>102</v>
      </c>
      <c r="V170" s="2" t="s">
        <v>344</v>
      </c>
      <c r="W170" s="2" t="s">
        <v>756</v>
      </c>
      <c r="X170" s="2" t="s">
        <v>563</v>
      </c>
      <c r="Y170" s="2" t="s">
        <v>131</v>
      </c>
      <c r="Z170" s="4">
        <v>297</v>
      </c>
      <c r="AA170" s="4">
        <f>=ROUNDDOWN(15.6315789473684,0)</f>
      </c>
      <c r="AB170" s="5">
        <v>19</v>
      </c>
      <c r="AC170" s="2" t="s">
        <v>132</v>
      </c>
      <c r="AD170" s="4">
        <v>220</v>
      </c>
      <c r="AE170" s="4">
        <v>1100</v>
      </c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>
        <v>1</v>
      </c>
      <c r="AQ170" s="8">
        <v>67.63</v>
      </c>
      <c r="AR170" s="4"/>
      <c r="AS170" s="8"/>
      <c r="AT170" s="7"/>
      <c r="AU170" s="7"/>
      <c r="AV170" s="4">
        <v>1</v>
      </c>
      <c r="AW170" s="8">
        <v>67.63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1</v>
      </c>
      <c r="BC170" s="4">
        <v>2</v>
      </c>
      <c r="BD170" s="8">
        <v>133.23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>
        <v>0.5076</v>
      </c>
      <c r="BJ170" s="4">
        <v>13</v>
      </c>
      <c r="BK170" s="8">
        <v>857.32</v>
      </c>
      <c r="BL170" s="2" t="s">
        <v>757</v>
      </c>
      <c r="BM170" s="7">
        <v>0.0769</v>
      </c>
      <c r="BN170" s="7">
        <v>0.0789</v>
      </c>
      <c r="BO170" s="4">
        <v>1</v>
      </c>
      <c r="BP170" s="8">
        <v>67.63</v>
      </c>
      <c r="BQ170" s="4"/>
      <c r="BR170" s="8"/>
      <c r="BS170" s="7"/>
      <c r="BT170" s="7"/>
      <c r="BU170" s="2" t="s">
        <v>109</v>
      </c>
      <c r="BV170" s="2" t="s">
        <v>97</v>
      </c>
      <c r="BW170" s="2" t="s">
        <v>122</v>
      </c>
      <c r="BX170" s="2" t="s">
        <v>758</v>
      </c>
      <c r="BY170" s="2" t="s">
        <v>112</v>
      </c>
      <c r="BZ170" s="2" t="s">
        <v>100</v>
      </c>
    </row>
    <row r="171">
      <c r="A171" s="2" t="s">
        <v>759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751</v>
      </c>
      <c r="G171" s="2" t="s">
        <v>752</v>
      </c>
      <c r="H171" s="2" t="s">
        <v>753</v>
      </c>
      <c r="I171" s="2" t="s">
        <v>754</v>
      </c>
      <c r="J171" s="2" t="s">
        <v>120</v>
      </c>
      <c r="K171" s="2" t="s">
        <v>146</v>
      </c>
      <c r="L171" s="3">
        <v>69.74</v>
      </c>
      <c r="M171" s="3">
        <v>73.23</v>
      </c>
      <c r="N171" s="3">
        <v>144.99</v>
      </c>
      <c r="O171" s="2" t="s">
        <v>97</v>
      </c>
      <c r="P171" s="2" t="s">
        <v>98</v>
      </c>
      <c r="Q171" s="2" t="s">
        <v>99</v>
      </c>
      <c r="R171" s="2" t="s">
        <v>100</v>
      </c>
      <c r="S171" s="2" t="s">
        <v>755</v>
      </c>
      <c r="T171" s="2" t="s">
        <v>100</v>
      </c>
      <c r="U171" s="2" t="s">
        <v>102</v>
      </c>
      <c r="V171" s="2" t="s">
        <v>344</v>
      </c>
      <c r="W171" s="2" t="s">
        <v>756</v>
      </c>
      <c r="X171" s="2" t="s">
        <v>563</v>
      </c>
      <c r="Y171" s="2" t="s">
        <v>131</v>
      </c>
      <c r="Z171" s="4">
        <v>448</v>
      </c>
      <c r="AA171" s="4">
        <f>=ROUNDDOWN(28,0)</f>
      </c>
      <c r="AB171" s="5">
        <v>16</v>
      </c>
      <c r="AC171" s="2" t="s">
        <v>132</v>
      </c>
      <c r="AD171" s="4">
        <v>120</v>
      </c>
      <c r="AE171" s="4">
        <v>700</v>
      </c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/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10</v>
      </c>
      <c r="BK171" s="8">
        <v>701.43</v>
      </c>
      <c r="BL171" s="2" t="s">
        <v>760</v>
      </c>
      <c r="BM171" s="7"/>
      <c r="BN171" s="7"/>
      <c r="BO171" s="4"/>
      <c r="BP171" s="8"/>
      <c r="BQ171" s="4"/>
      <c r="BR171" s="8"/>
      <c r="BS171" s="7"/>
      <c r="BT171" s="7"/>
      <c r="BU171" s="2" t="s">
        <v>109</v>
      </c>
      <c r="BV171" s="2" t="s">
        <v>97</v>
      </c>
      <c r="BW171" s="2" t="s">
        <v>122</v>
      </c>
      <c r="BX171" s="2" t="s">
        <v>249</v>
      </c>
      <c r="BY171" s="2" t="s">
        <v>112</v>
      </c>
      <c r="BZ171" s="2" t="s">
        <v>100</v>
      </c>
    </row>
    <row r="172">
      <c r="A172" s="2" t="s">
        <v>761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751</v>
      </c>
      <c r="G172" s="2" t="s">
        <v>752</v>
      </c>
      <c r="H172" s="2" t="s">
        <v>753</v>
      </c>
      <c r="I172" s="2" t="s">
        <v>754</v>
      </c>
      <c r="J172" s="2" t="s">
        <v>124</v>
      </c>
      <c r="K172" s="2" t="s">
        <v>146</v>
      </c>
      <c r="L172" s="3">
        <v>69.74</v>
      </c>
      <c r="M172" s="3">
        <v>73.23</v>
      </c>
      <c r="N172" s="3">
        <v>144.99</v>
      </c>
      <c r="O172" s="2" t="s">
        <v>97</v>
      </c>
      <c r="P172" s="2" t="s">
        <v>98</v>
      </c>
      <c r="Q172" s="2" t="s">
        <v>99</v>
      </c>
      <c r="R172" s="2" t="s">
        <v>100</v>
      </c>
      <c r="S172" s="2" t="s">
        <v>755</v>
      </c>
      <c r="T172" s="2" t="s">
        <v>100</v>
      </c>
      <c r="U172" s="2" t="s">
        <v>102</v>
      </c>
      <c r="V172" s="2" t="s">
        <v>344</v>
      </c>
      <c r="W172" s="2" t="s">
        <v>756</v>
      </c>
      <c r="X172" s="2" t="s">
        <v>563</v>
      </c>
      <c r="Y172" s="2" t="s">
        <v>131</v>
      </c>
      <c r="Z172" s="4">
        <v>441</v>
      </c>
      <c r="AA172" s="4">
        <f>=ROUNDDOWN(55.125,0)</f>
      </c>
      <c r="AB172" s="5">
        <v>8</v>
      </c>
      <c r="AC172" s="2" t="s">
        <v>100</v>
      </c>
      <c r="AD172" s="4"/>
      <c r="AE172" s="4"/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/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/>
      <c r="BK172" s="8"/>
      <c r="BL172" s="2" t="s">
        <v>100</v>
      </c>
      <c r="BM172" s="7"/>
      <c r="BN172" s="7"/>
      <c r="BO172" s="4"/>
      <c r="BP172" s="8"/>
      <c r="BQ172" s="4"/>
      <c r="BR172" s="8"/>
      <c r="BS172" s="7"/>
      <c r="BT172" s="7"/>
      <c r="BU172" s="2" t="s">
        <v>109</v>
      </c>
      <c r="BV172" s="2" t="s">
        <v>97</v>
      </c>
      <c r="BW172" s="2" t="s">
        <v>122</v>
      </c>
      <c r="BX172" s="2" t="s">
        <v>515</v>
      </c>
      <c r="BY172" s="2" t="s">
        <v>112</v>
      </c>
      <c r="BZ172" s="2" t="s">
        <v>100</v>
      </c>
    </row>
    <row r="173">
      <c r="A173" s="2" t="s">
        <v>762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751</v>
      </c>
      <c r="G173" s="2" t="s">
        <v>752</v>
      </c>
      <c r="H173" s="2" t="s">
        <v>753</v>
      </c>
      <c r="I173" s="2" t="s">
        <v>754</v>
      </c>
      <c r="J173" s="2" t="s">
        <v>114</v>
      </c>
      <c r="K173" s="2" t="s">
        <v>763</v>
      </c>
      <c r="L173" s="3">
        <v>60.74</v>
      </c>
      <c r="M173" s="3">
        <v>63.78</v>
      </c>
      <c r="N173" s="3">
        <v>124.99</v>
      </c>
      <c r="O173" s="2" t="s">
        <v>97</v>
      </c>
      <c r="P173" s="2" t="s">
        <v>242</v>
      </c>
      <c r="Q173" s="2" t="s">
        <v>99</v>
      </c>
      <c r="R173" s="2" t="s">
        <v>100</v>
      </c>
      <c r="S173" s="2" t="s">
        <v>764</v>
      </c>
      <c r="T173" s="2" t="s">
        <v>100</v>
      </c>
      <c r="U173" s="2" t="s">
        <v>102</v>
      </c>
      <c r="V173" s="2" t="s">
        <v>344</v>
      </c>
      <c r="W173" s="2" t="s">
        <v>756</v>
      </c>
      <c r="X173" s="2" t="s">
        <v>563</v>
      </c>
      <c r="Y173" s="2" t="s">
        <v>131</v>
      </c>
      <c r="Z173" s="4">
        <v>1030</v>
      </c>
      <c r="AA173" s="4">
        <f>=ROUNDDOWN(22.8888888888889,0)</f>
      </c>
      <c r="AB173" s="5">
        <v>45</v>
      </c>
      <c r="AC173" s="2" t="s">
        <v>168</v>
      </c>
      <c r="AD173" s="4">
        <v>180</v>
      </c>
      <c r="AE173" s="4">
        <v>1410</v>
      </c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</v>
      </c>
      <c r="AP173" s="4">
        <v>1</v>
      </c>
      <c r="AQ173" s="8">
        <v>65.6</v>
      </c>
      <c r="AR173" s="4"/>
      <c r="AS173" s="8"/>
      <c r="AT173" s="7"/>
      <c r="AU173" s="7"/>
      <c r="AV173" s="4">
        <v>1</v>
      </c>
      <c r="AW173" s="8">
        <v>65.6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1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0.4924</v>
      </c>
      <c r="BJ173" s="4">
        <v>47</v>
      </c>
      <c r="BK173" s="8">
        <v>3218.88</v>
      </c>
      <c r="BL173" s="2" t="s">
        <v>765</v>
      </c>
      <c r="BM173" s="7">
        <v>0.0213</v>
      </c>
      <c r="BN173" s="7">
        <v>0.0204</v>
      </c>
      <c r="BO173" s="4">
        <v>1</v>
      </c>
      <c r="BP173" s="8">
        <v>65.6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122</v>
      </c>
      <c r="BX173" s="2" t="s">
        <v>127</v>
      </c>
      <c r="BY173" s="2" t="s">
        <v>112</v>
      </c>
      <c r="BZ173" s="2" t="s">
        <v>100</v>
      </c>
    </row>
    <row r="174">
      <c r="A174" s="2" t="s">
        <v>766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751</v>
      </c>
      <c r="G174" s="2" t="s">
        <v>752</v>
      </c>
      <c r="H174" s="2" t="s">
        <v>753</v>
      </c>
      <c r="I174" s="2" t="s">
        <v>754</v>
      </c>
      <c r="J174" s="2" t="s">
        <v>120</v>
      </c>
      <c r="K174" s="2" t="s">
        <v>763</v>
      </c>
      <c r="L174" s="3">
        <v>69.74</v>
      </c>
      <c r="M174" s="3">
        <v>73.23</v>
      </c>
      <c r="N174" s="3">
        <v>144.99</v>
      </c>
      <c r="O174" s="2" t="s">
        <v>97</v>
      </c>
      <c r="P174" s="2" t="s">
        <v>242</v>
      </c>
      <c r="Q174" s="2" t="s">
        <v>99</v>
      </c>
      <c r="R174" s="2" t="s">
        <v>100</v>
      </c>
      <c r="S174" s="2" t="s">
        <v>764</v>
      </c>
      <c r="T174" s="2" t="s">
        <v>100</v>
      </c>
      <c r="U174" s="2" t="s">
        <v>102</v>
      </c>
      <c r="V174" s="2" t="s">
        <v>344</v>
      </c>
      <c r="W174" s="2" t="s">
        <v>756</v>
      </c>
      <c r="X174" s="2" t="s">
        <v>563</v>
      </c>
      <c r="Y174" s="2" t="s">
        <v>131</v>
      </c>
      <c r="Z174" s="4">
        <v>1006</v>
      </c>
      <c r="AA174" s="4">
        <f>=ROUNDDOWN(34.6896551724138,0)</f>
      </c>
      <c r="AB174" s="5">
        <v>29</v>
      </c>
      <c r="AC174" s="2" t="s">
        <v>168</v>
      </c>
      <c r="AD174" s="4">
        <v>100</v>
      </c>
      <c r="AE174" s="4">
        <v>860</v>
      </c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/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25</v>
      </c>
      <c r="BK174" s="8">
        <v>1856</v>
      </c>
      <c r="BL174" s="2" t="s">
        <v>767</v>
      </c>
      <c r="BM174" s="7"/>
      <c r="BN174" s="7"/>
      <c r="BO174" s="4"/>
      <c r="BP174" s="8"/>
      <c r="BQ174" s="4"/>
      <c r="BR174" s="8"/>
      <c r="BS174" s="7"/>
      <c r="BT174" s="7"/>
      <c r="BU174" s="2" t="s">
        <v>109</v>
      </c>
      <c r="BV174" s="2" t="s">
        <v>97</v>
      </c>
      <c r="BW174" s="2" t="s">
        <v>122</v>
      </c>
      <c r="BX174" s="2" t="s">
        <v>202</v>
      </c>
      <c r="BY174" s="2" t="s">
        <v>112</v>
      </c>
      <c r="BZ174" s="2" t="s">
        <v>100</v>
      </c>
    </row>
    <row r="175">
      <c r="A175" s="2" t="s">
        <v>768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751</v>
      </c>
      <c r="G175" s="2" t="s">
        <v>752</v>
      </c>
      <c r="H175" s="2" t="s">
        <v>753</v>
      </c>
      <c r="I175" s="2" t="s">
        <v>754</v>
      </c>
      <c r="J175" s="2" t="s">
        <v>124</v>
      </c>
      <c r="K175" s="2" t="s">
        <v>763</v>
      </c>
      <c r="L175" s="3">
        <v>69.74</v>
      </c>
      <c r="M175" s="3">
        <v>73.23</v>
      </c>
      <c r="N175" s="3">
        <v>144.99</v>
      </c>
      <c r="O175" s="2" t="s">
        <v>97</v>
      </c>
      <c r="P175" s="2" t="s">
        <v>242</v>
      </c>
      <c r="Q175" s="2" t="s">
        <v>99</v>
      </c>
      <c r="R175" s="2" t="s">
        <v>100</v>
      </c>
      <c r="S175" s="2" t="s">
        <v>764</v>
      </c>
      <c r="T175" s="2" t="s">
        <v>100</v>
      </c>
      <c r="U175" s="2" t="s">
        <v>102</v>
      </c>
      <c r="V175" s="2" t="s">
        <v>344</v>
      </c>
      <c r="W175" s="2" t="s">
        <v>756</v>
      </c>
      <c r="X175" s="2" t="s">
        <v>563</v>
      </c>
      <c r="Y175" s="2" t="s">
        <v>131</v>
      </c>
      <c r="Z175" s="4">
        <v>573</v>
      </c>
      <c r="AA175" s="4">
        <f>=ROUNDDOWN(30.1578947368421,0)</f>
      </c>
      <c r="AB175" s="5">
        <v>19</v>
      </c>
      <c r="AC175" s="2" t="s">
        <v>411</v>
      </c>
      <c r="AD175" s="4">
        <v>160</v>
      </c>
      <c r="AE175" s="4">
        <v>160</v>
      </c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/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12</v>
      </c>
      <c r="BK175" s="8">
        <v>957.02</v>
      </c>
      <c r="BL175" s="2" t="s">
        <v>769</v>
      </c>
      <c r="BM175" s="7"/>
      <c r="BN175" s="7"/>
      <c r="BO175" s="4"/>
      <c r="BP175" s="8"/>
      <c r="BQ175" s="4"/>
      <c r="BR175" s="8"/>
      <c r="BS175" s="7"/>
      <c r="BT175" s="7"/>
      <c r="BU175" s="2" t="s">
        <v>109</v>
      </c>
      <c r="BV175" s="2" t="s">
        <v>97</v>
      </c>
      <c r="BW175" s="2" t="s">
        <v>122</v>
      </c>
      <c r="BX175" s="2" t="s">
        <v>170</v>
      </c>
      <c r="BY175" s="2" t="s">
        <v>112</v>
      </c>
      <c r="BZ175" s="2" t="s">
        <v>100</v>
      </c>
    </row>
    <row r="176">
      <c r="A176" s="2" t="s">
        <v>770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751</v>
      </c>
      <c r="G176" s="2" t="s">
        <v>752</v>
      </c>
      <c r="H176" s="2" t="s">
        <v>753</v>
      </c>
      <c r="I176" s="2" t="s">
        <v>754</v>
      </c>
      <c r="J176" s="2" t="s">
        <v>114</v>
      </c>
      <c r="K176" s="2" t="s">
        <v>771</v>
      </c>
      <c r="L176" s="3">
        <v>60.74</v>
      </c>
      <c r="M176" s="3">
        <v>63.78</v>
      </c>
      <c r="N176" s="3">
        <v>124.99</v>
      </c>
      <c r="O176" s="2" t="s">
        <v>97</v>
      </c>
      <c r="P176" s="2" t="s">
        <v>98</v>
      </c>
      <c r="Q176" s="2" t="s">
        <v>99</v>
      </c>
      <c r="R176" s="2" t="s">
        <v>100</v>
      </c>
      <c r="S176" s="2" t="s">
        <v>772</v>
      </c>
      <c r="T176" s="2" t="s">
        <v>100</v>
      </c>
      <c r="U176" s="2" t="s">
        <v>102</v>
      </c>
      <c r="V176" s="2" t="s">
        <v>344</v>
      </c>
      <c r="W176" s="2" t="s">
        <v>756</v>
      </c>
      <c r="X176" s="2" t="s">
        <v>563</v>
      </c>
      <c r="Y176" s="2" t="s">
        <v>773</v>
      </c>
      <c r="Z176" s="4">
        <v>582</v>
      </c>
      <c r="AA176" s="4">
        <f>=ROUNDDOWN(38.8,0)</f>
      </c>
      <c r="AB176" s="5">
        <v>15</v>
      </c>
      <c r="AC176" s="2" t="s">
        <v>287</v>
      </c>
      <c r="AD176" s="4">
        <v>170</v>
      </c>
      <c r="AE176" s="4">
        <v>510</v>
      </c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/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24</v>
      </c>
      <c r="BK176" s="8">
        <v>1663.95</v>
      </c>
      <c r="BL176" s="2" t="s">
        <v>774</v>
      </c>
      <c r="BM176" s="7"/>
      <c r="BN176" s="7"/>
      <c r="BO176" s="4"/>
      <c r="BP176" s="8"/>
      <c r="BQ176" s="4"/>
      <c r="BR176" s="8"/>
      <c r="BS176" s="7"/>
      <c r="BT176" s="7"/>
      <c r="BU176" s="2" t="s">
        <v>109</v>
      </c>
      <c r="BV176" s="2" t="s">
        <v>97</v>
      </c>
      <c r="BW176" s="2" t="s">
        <v>266</v>
      </c>
      <c r="BX176" s="2" t="s">
        <v>295</v>
      </c>
      <c r="BY176" s="2" t="s">
        <v>112</v>
      </c>
      <c r="BZ176" s="2" t="s">
        <v>100</v>
      </c>
    </row>
    <row r="177">
      <c r="A177" s="2" t="s">
        <v>775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751</v>
      </c>
      <c r="G177" s="2" t="s">
        <v>752</v>
      </c>
      <c r="H177" s="2" t="s">
        <v>753</v>
      </c>
      <c r="I177" s="2" t="s">
        <v>754</v>
      </c>
      <c r="J177" s="2" t="s">
        <v>120</v>
      </c>
      <c r="K177" s="2" t="s">
        <v>771</v>
      </c>
      <c r="L177" s="3">
        <v>69.74</v>
      </c>
      <c r="M177" s="3">
        <v>73.23</v>
      </c>
      <c r="N177" s="3">
        <v>144.99</v>
      </c>
      <c r="O177" s="2" t="s">
        <v>97</v>
      </c>
      <c r="P177" s="2" t="s">
        <v>98</v>
      </c>
      <c r="Q177" s="2" t="s">
        <v>99</v>
      </c>
      <c r="R177" s="2" t="s">
        <v>100</v>
      </c>
      <c r="S177" s="2" t="s">
        <v>772</v>
      </c>
      <c r="T177" s="2" t="s">
        <v>100</v>
      </c>
      <c r="U177" s="2" t="s">
        <v>102</v>
      </c>
      <c r="V177" s="2" t="s">
        <v>344</v>
      </c>
      <c r="W177" s="2" t="s">
        <v>756</v>
      </c>
      <c r="X177" s="2" t="s">
        <v>563</v>
      </c>
      <c r="Y177" s="2" t="s">
        <v>773</v>
      </c>
      <c r="Z177" s="4">
        <v>381</v>
      </c>
      <c r="AA177" s="4">
        <f>=ROUNDDOWN(29.3076923076923,0)</f>
      </c>
      <c r="AB177" s="5">
        <v>13</v>
      </c>
      <c r="AC177" s="2" t="s">
        <v>287</v>
      </c>
      <c r="AD177" s="4">
        <v>130</v>
      </c>
      <c r="AE177" s="4">
        <v>500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100</v>
      </c>
      <c r="AW177" s="8" t="s">
        <v>100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/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 t="s">
        <v>100</v>
      </c>
      <c r="BJ177" s="4">
        <v>2</v>
      </c>
      <c r="BK177" s="8">
        <v>164.61</v>
      </c>
      <c r="BL177" s="2" t="s">
        <v>776</v>
      </c>
      <c r="BM177" s="7"/>
      <c r="BN177" s="7"/>
      <c r="BO177" s="4"/>
      <c r="BP177" s="8"/>
      <c r="BQ177" s="4"/>
      <c r="BR177" s="8"/>
      <c r="BS177" s="7"/>
      <c r="BT177" s="7"/>
      <c r="BU177" s="2" t="s">
        <v>109</v>
      </c>
      <c r="BV177" s="2" t="s">
        <v>97</v>
      </c>
      <c r="BW177" s="2" t="s">
        <v>266</v>
      </c>
      <c r="BX177" s="2" t="s">
        <v>389</v>
      </c>
      <c r="BY177" s="2" t="s">
        <v>112</v>
      </c>
      <c r="BZ177" s="2" t="s">
        <v>100</v>
      </c>
    </row>
    <row r="178">
      <c r="A178" s="2" t="s">
        <v>777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751</v>
      </c>
      <c r="G178" s="2" t="s">
        <v>752</v>
      </c>
      <c r="H178" s="2" t="s">
        <v>753</v>
      </c>
      <c r="I178" s="2" t="s">
        <v>754</v>
      </c>
      <c r="J178" s="2" t="s">
        <v>124</v>
      </c>
      <c r="K178" s="2" t="s">
        <v>771</v>
      </c>
      <c r="L178" s="3">
        <v>69.74</v>
      </c>
      <c r="M178" s="3">
        <v>73.23</v>
      </c>
      <c r="N178" s="3">
        <v>144.99</v>
      </c>
      <c r="O178" s="2" t="s">
        <v>97</v>
      </c>
      <c r="P178" s="2" t="s">
        <v>98</v>
      </c>
      <c r="Q178" s="2" t="s">
        <v>99</v>
      </c>
      <c r="R178" s="2" t="s">
        <v>100</v>
      </c>
      <c r="S178" s="2" t="s">
        <v>772</v>
      </c>
      <c r="T178" s="2" t="s">
        <v>100</v>
      </c>
      <c r="U178" s="2" t="s">
        <v>102</v>
      </c>
      <c r="V178" s="2" t="s">
        <v>344</v>
      </c>
      <c r="W178" s="2" t="s">
        <v>756</v>
      </c>
      <c r="X178" s="2" t="s">
        <v>563</v>
      </c>
      <c r="Y178" s="2" t="s">
        <v>773</v>
      </c>
      <c r="Z178" s="4">
        <v>282</v>
      </c>
      <c r="AA178" s="4">
        <f>=ROUNDDOWN(31.3333333333333,0)</f>
      </c>
      <c r="AB178" s="5">
        <v>9</v>
      </c>
      <c r="AC178" s="2" t="s">
        <v>287</v>
      </c>
      <c r="AD178" s="4">
        <v>70</v>
      </c>
      <c r="AE178" s="4">
        <v>160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/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4</v>
      </c>
      <c r="BK178" s="8">
        <v>301.92</v>
      </c>
      <c r="BL178" s="2" t="s">
        <v>778</v>
      </c>
      <c r="BM178" s="7"/>
      <c r="BN178" s="7"/>
      <c r="BO178" s="4"/>
      <c r="BP178" s="8"/>
      <c r="BQ178" s="4"/>
      <c r="BR178" s="8"/>
      <c r="BS178" s="7"/>
      <c r="BT178" s="7"/>
      <c r="BU178" s="2" t="s">
        <v>109</v>
      </c>
      <c r="BV178" s="2" t="s">
        <v>97</v>
      </c>
      <c r="BW178" s="2" t="s">
        <v>266</v>
      </c>
      <c r="BX178" s="2" t="s">
        <v>779</v>
      </c>
      <c r="BY178" s="2" t="s">
        <v>112</v>
      </c>
      <c r="BZ178" s="2" t="s">
        <v>100</v>
      </c>
    </row>
    <row r="179">
      <c r="A179" s="2" t="s">
        <v>780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781</v>
      </c>
      <c r="G179" s="2" t="s">
        <v>782</v>
      </c>
      <c r="H179" s="2" t="s">
        <v>783</v>
      </c>
      <c r="I179" s="2" t="s">
        <v>784</v>
      </c>
      <c r="J179" s="2" t="s">
        <v>785</v>
      </c>
      <c r="K179" s="2" t="s">
        <v>357</v>
      </c>
      <c r="L179" s="3">
        <v>36.57</v>
      </c>
      <c r="M179" s="3">
        <v>38.4</v>
      </c>
      <c r="N179" s="3">
        <v>79.99</v>
      </c>
      <c r="O179" s="2" t="s">
        <v>97</v>
      </c>
      <c r="P179" s="2" t="s">
        <v>98</v>
      </c>
      <c r="Q179" s="2" t="s">
        <v>99</v>
      </c>
      <c r="R179" s="2" t="s">
        <v>100</v>
      </c>
      <c r="S179" s="2" t="s">
        <v>786</v>
      </c>
      <c r="T179" s="2" t="s">
        <v>787</v>
      </c>
      <c r="U179" s="2" t="s">
        <v>644</v>
      </c>
      <c r="V179" s="2" t="s">
        <v>677</v>
      </c>
      <c r="W179" s="2" t="s">
        <v>345</v>
      </c>
      <c r="X179" s="2" t="s">
        <v>788</v>
      </c>
      <c r="Y179" s="2" t="s">
        <v>789</v>
      </c>
      <c r="Z179" s="4">
        <v>79</v>
      </c>
      <c r="AA179" s="4">
        <f>=ROUNDDOWN(2.63333333333333,0)</f>
      </c>
      <c r="AB179" s="5">
        <v>30</v>
      </c>
      <c r="AC179" s="2" t="s">
        <v>790</v>
      </c>
      <c r="AD179" s="4">
        <v>480</v>
      </c>
      <c r="AE179" s="4">
        <v>1030</v>
      </c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>
        <v>2</v>
      </c>
      <c r="AQ179" s="8">
        <v>80.64</v>
      </c>
      <c r="AR179" s="4"/>
      <c r="AS179" s="8"/>
      <c r="AT179" s="7"/>
      <c r="AU179" s="7"/>
      <c r="AV179" s="4">
        <v>3</v>
      </c>
      <c r="AW179" s="8">
        <v>126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0.64</v>
      </c>
      <c r="BC179" s="4">
        <v>3</v>
      </c>
      <c r="BD179" s="8">
        <v>126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>
        <v>1</v>
      </c>
      <c r="BJ179" s="4">
        <v>30</v>
      </c>
      <c r="BK179" s="8">
        <v>1193.05</v>
      </c>
      <c r="BL179" s="2" t="s">
        <v>791</v>
      </c>
      <c r="BM179" s="7">
        <v>0.0667</v>
      </c>
      <c r="BN179" s="7">
        <v>0.0676</v>
      </c>
      <c r="BO179" s="4">
        <v>2</v>
      </c>
      <c r="BP179" s="8">
        <v>80.64</v>
      </c>
      <c r="BQ179" s="4"/>
      <c r="BR179" s="8"/>
      <c r="BS179" s="7"/>
      <c r="BT179" s="7"/>
      <c r="BU179" s="2" t="s">
        <v>109</v>
      </c>
      <c r="BV179" s="2" t="s">
        <v>97</v>
      </c>
      <c r="BW179" s="2" t="s">
        <v>792</v>
      </c>
      <c r="BX179" s="2" t="s">
        <v>793</v>
      </c>
      <c r="BY179" s="2" t="s">
        <v>112</v>
      </c>
      <c r="BZ179" s="2" t="s">
        <v>100</v>
      </c>
    </row>
    <row r="180">
      <c r="A180" s="2" t="s">
        <v>794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781</v>
      </c>
      <c r="G180" s="2" t="s">
        <v>782</v>
      </c>
      <c r="H180" s="2" t="s">
        <v>783</v>
      </c>
      <c r="I180" s="2" t="s">
        <v>784</v>
      </c>
      <c r="J180" s="2" t="s">
        <v>795</v>
      </c>
      <c r="K180" s="2" t="s">
        <v>357</v>
      </c>
      <c r="L180" s="3">
        <v>41.14</v>
      </c>
      <c r="M180" s="3">
        <v>43.2</v>
      </c>
      <c r="N180" s="3">
        <v>89.99</v>
      </c>
      <c r="O180" s="2" t="s">
        <v>97</v>
      </c>
      <c r="P180" s="2" t="s">
        <v>98</v>
      </c>
      <c r="Q180" s="2" t="s">
        <v>99</v>
      </c>
      <c r="R180" s="2" t="s">
        <v>100</v>
      </c>
      <c r="S180" s="2" t="s">
        <v>786</v>
      </c>
      <c r="T180" s="2" t="s">
        <v>787</v>
      </c>
      <c r="U180" s="2" t="s">
        <v>644</v>
      </c>
      <c r="V180" s="2" t="s">
        <v>677</v>
      </c>
      <c r="W180" s="2" t="s">
        <v>345</v>
      </c>
      <c r="X180" s="2" t="s">
        <v>788</v>
      </c>
      <c r="Y180" s="2" t="s">
        <v>789</v>
      </c>
      <c r="Z180" s="4">
        <v>26</v>
      </c>
      <c r="AA180" s="4">
        <f>=ROUNDDOWN(1.3,0)</f>
      </c>
      <c r="AB180" s="5">
        <v>20</v>
      </c>
      <c r="AC180" s="2" t="s">
        <v>790</v>
      </c>
      <c r="AD180" s="4">
        <v>320</v>
      </c>
      <c r="AE180" s="4">
        <v>870</v>
      </c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1</v>
      </c>
      <c r="AQ180" s="8">
        <v>45.36</v>
      </c>
      <c r="AR180" s="4"/>
      <c r="AS180" s="8"/>
      <c r="AT180" s="7"/>
      <c r="AU180" s="7"/>
      <c r="AV180" s="4" t="s">
        <v>100</v>
      </c>
      <c r="AW180" s="8" t="s">
        <v>100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0.36</v>
      </c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 t="s">
        <v>100</v>
      </c>
      <c r="BJ180" s="4">
        <v>19</v>
      </c>
      <c r="BK180" s="8">
        <v>846.24</v>
      </c>
      <c r="BL180" s="2" t="s">
        <v>796</v>
      </c>
      <c r="BM180" s="7">
        <v>0.0526</v>
      </c>
      <c r="BN180" s="7">
        <v>0.0536</v>
      </c>
      <c r="BO180" s="4">
        <v>1</v>
      </c>
      <c r="BP180" s="8">
        <v>45.36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792</v>
      </c>
      <c r="BX180" s="2" t="s">
        <v>797</v>
      </c>
      <c r="BY180" s="2" t="s">
        <v>112</v>
      </c>
      <c r="BZ180" s="2" t="s">
        <v>100</v>
      </c>
    </row>
    <row r="181">
      <c r="A181" s="2" t="s">
        <v>798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799</v>
      </c>
      <c r="G181" s="2" t="s">
        <v>800</v>
      </c>
      <c r="H181" s="2" t="s">
        <v>801</v>
      </c>
      <c r="I181" s="2" t="s">
        <v>802</v>
      </c>
      <c r="J181" s="2" t="s">
        <v>114</v>
      </c>
      <c r="K181" s="2" t="s">
        <v>803</v>
      </c>
      <c r="L181" s="3">
        <v>45.71</v>
      </c>
      <c r="M181" s="3">
        <v>48</v>
      </c>
      <c r="N181" s="3">
        <v>99.99</v>
      </c>
      <c r="O181" s="2" t="s">
        <v>97</v>
      </c>
      <c r="P181" s="2" t="s">
        <v>98</v>
      </c>
      <c r="Q181" s="2" t="s">
        <v>99</v>
      </c>
      <c r="R181" s="2" t="s">
        <v>100</v>
      </c>
      <c r="S181" s="2" t="s">
        <v>804</v>
      </c>
      <c r="T181" s="2" t="s">
        <v>787</v>
      </c>
      <c r="U181" s="2" t="s">
        <v>102</v>
      </c>
      <c r="V181" s="2" t="s">
        <v>805</v>
      </c>
      <c r="W181" s="2" t="s">
        <v>105</v>
      </c>
      <c r="X181" s="2" t="s">
        <v>104</v>
      </c>
      <c r="Y181" s="2" t="s">
        <v>789</v>
      </c>
      <c r="Z181" s="4">
        <v>146</v>
      </c>
      <c r="AA181" s="4">
        <f>=ROUNDDOWN(7.3,0)</f>
      </c>
      <c r="AB181" s="5">
        <v>20</v>
      </c>
      <c r="AC181" s="2" t="s">
        <v>806</v>
      </c>
      <c r="AD181" s="4">
        <v>320</v>
      </c>
      <c r="AE181" s="4">
        <v>320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>
        <v>0</v>
      </c>
      <c r="AP181" s="4">
        <v>1</v>
      </c>
      <c r="AQ181" s="8">
        <v>50.4</v>
      </c>
      <c r="AR181" s="4"/>
      <c r="AS181" s="8"/>
      <c r="AT181" s="7"/>
      <c r="AU181" s="7"/>
      <c r="AV181" s="4">
        <v>2</v>
      </c>
      <c r="AW181" s="8">
        <v>105.83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0.4762</v>
      </c>
      <c r="BC181" s="4">
        <v>2</v>
      </c>
      <c r="BD181" s="8">
        <v>105.83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>
        <v>1</v>
      </c>
      <c r="BJ181" s="4">
        <v>19</v>
      </c>
      <c r="BK181" s="8">
        <v>948.96</v>
      </c>
      <c r="BL181" s="2" t="s">
        <v>796</v>
      </c>
      <c r="BM181" s="7">
        <v>0.0526</v>
      </c>
      <c r="BN181" s="7">
        <v>0.0531</v>
      </c>
      <c r="BO181" s="4">
        <v>1</v>
      </c>
      <c r="BP181" s="8">
        <v>50.4</v>
      </c>
      <c r="BQ181" s="4"/>
      <c r="BR181" s="8"/>
      <c r="BS181" s="7"/>
      <c r="BT181" s="7"/>
      <c r="BU181" s="2" t="s">
        <v>109</v>
      </c>
      <c r="BV181" s="2" t="s">
        <v>97</v>
      </c>
      <c r="BW181" s="2" t="s">
        <v>807</v>
      </c>
      <c r="BX181" s="2" t="s">
        <v>808</v>
      </c>
      <c r="BY181" s="2" t="s">
        <v>112</v>
      </c>
      <c r="BZ181" s="2" t="s">
        <v>100</v>
      </c>
    </row>
    <row r="182">
      <c r="A182" s="2" t="s">
        <v>809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799</v>
      </c>
      <c r="G182" s="2" t="s">
        <v>800</v>
      </c>
      <c r="H182" s="2" t="s">
        <v>801</v>
      </c>
      <c r="I182" s="2" t="s">
        <v>802</v>
      </c>
      <c r="J182" s="2" t="s">
        <v>120</v>
      </c>
      <c r="K182" s="2" t="s">
        <v>803</v>
      </c>
      <c r="L182" s="3">
        <v>50.28</v>
      </c>
      <c r="M182" s="3">
        <v>52.79</v>
      </c>
      <c r="N182" s="3">
        <v>109.99</v>
      </c>
      <c r="O182" s="2" t="s">
        <v>97</v>
      </c>
      <c r="P182" s="2" t="s">
        <v>98</v>
      </c>
      <c r="Q182" s="2" t="s">
        <v>99</v>
      </c>
      <c r="R182" s="2" t="s">
        <v>100</v>
      </c>
      <c r="S182" s="2" t="s">
        <v>804</v>
      </c>
      <c r="T182" s="2" t="s">
        <v>787</v>
      </c>
      <c r="U182" s="2" t="s">
        <v>102</v>
      </c>
      <c r="V182" s="2" t="s">
        <v>805</v>
      </c>
      <c r="W182" s="2" t="s">
        <v>105</v>
      </c>
      <c r="X182" s="2" t="s">
        <v>104</v>
      </c>
      <c r="Y182" s="2" t="s">
        <v>789</v>
      </c>
      <c r="Z182" s="4">
        <v>106</v>
      </c>
      <c r="AA182" s="4">
        <f>=ROUNDDOWN(7.06666666666667,0)</f>
      </c>
      <c r="AB182" s="5">
        <v>15</v>
      </c>
      <c r="AC182" s="2" t="s">
        <v>806</v>
      </c>
      <c r="AD182" s="4">
        <v>260</v>
      </c>
      <c r="AE182" s="4">
        <v>260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>
        <v>1</v>
      </c>
      <c r="AQ182" s="8">
        <v>55.43</v>
      </c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0.5238</v>
      </c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15</v>
      </c>
      <c r="BK182" s="8">
        <v>839.42</v>
      </c>
      <c r="BL182" s="2" t="s">
        <v>810</v>
      </c>
      <c r="BM182" s="7">
        <v>0.0667</v>
      </c>
      <c r="BN182" s="7">
        <v>0.066</v>
      </c>
      <c r="BO182" s="4">
        <v>1</v>
      </c>
      <c r="BP182" s="8">
        <v>55.43</v>
      </c>
      <c r="BQ182" s="4"/>
      <c r="BR182" s="8"/>
      <c r="BS182" s="7"/>
      <c r="BT182" s="7"/>
      <c r="BU182" s="2" t="s">
        <v>109</v>
      </c>
      <c r="BV182" s="2" t="s">
        <v>97</v>
      </c>
      <c r="BW182" s="2" t="s">
        <v>792</v>
      </c>
      <c r="BX182" s="2" t="s">
        <v>811</v>
      </c>
      <c r="BY182" s="2" t="s">
        <v>112</v>
      </c>
      <c r="BZ182" s="2" t="s">
        <v>100</v>
      </c>
    </row>
    <row r="183">
      <c r="A183" s="2" t="s">
        <v>812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799</v>
      </c>
      <c r="G183" s="2" t="s">
        <v>800</v>
      </c>
      <c r="H183" s="2" t="s">
        <v>801</v>
      </c>
      <c r="I183" s="2" t="s">
        <v>802</v>
      </c>
      <c r="J183" s="2" t="s">
        <v>124</v>
      </c>
      <c r="K183" s="2" t="s">
        <v>803</v>
      </c>
      <c r="L183" s="3">
        <v>50.28</v>
      </c>
      <c r="M183" s="3">
        <v>52.79</v>
      </c>
      <c r="N183" s="3">
        <v>109.99</v>
      </c>
      <c r="O183" s="2" t="s">
        <v>97</v>
      </c>
      <c r="P183" s="2" t="s">
        <v>98</v>
      </c>
      <c r="Q183" s="2" t="s">
        <v>99</v>
      </c>
      <c r="R183" s="2" t="s">
        <v>100</v>
      </c>
      <c r="S183" s="2" t="s">
        <v>804</v>
      </c>
      <c r="T183" s="2" t="s">
        <v>787</v>
      </c>
      <c r="U183" s="2" t="s">
        <v>102</v>
      </c>
      <c r="V183" s="2" t="s">
        <v>805</v>
      </c>
      <c r="W183" s="2" t="s">
        <v>105</v>
      </c>
      <c r="X183" s="2" t="s">
        <v>104</v>
      </c>
      <c r="Y183" s="2" t="s">
        <v>789</v>
      </c>
      <c r="Z183" s="4">
        <v>139</v>
      </c>
      <c r="AA183" s="4">
        <f>=ROUNDDOWN({0},0)</f>
      </c>
      <c r="AB183" s="5">
        <v>8</v>
      </c>
      <c r="AC183" s="2" t="s">
        <v>806</v>
      </c>
      <c r="AD183" s="4">
        <v>220</v>
      </c>
      <c r="AE183" s="4">
        <v>220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/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2</v>
      </c>
      <c r="BK183" s="8">
        <v>114.04</v>
      </c>
      <c r="BL183" s="2" t="s">
        <v>813</v>
      </c>
      <c r="BM183" s="7"/>
      <c r="BN183" s="7"/>
      <c r="BO183" s="4"/>
      <c r="BP183" s="8"/>
      <c r="BQ183" s="4"/>
      <c r="BR183" s="8"/>
      <c r="BS183" s="7"/>
      <c r="BT183" s="7"/>
      <c r="BU183" s="2" t="s">
        <v>109</v>
      </c>
      <c r="BV183" s="2" t="s">
        <v>97</v>
      </c>
      <c r="BW183" s="2" t="s">
        <v>792</v>
      </c>
      <c r="BX183" s="2" t="s">
        <v>814</v>
      </c>
      <c r="BY183" s="2" t="s">
        <v>112</v>
      </c>
      <c r="BZ183" s="2" t="s">
        <v>100</v>
      </c>
    </row>
    <row r="184">
      <c r="A184" s="2" t="s">
        <v>815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799</v>
      </c>
      <c r="G184" s="2" t="s">
        <v>800</v>
      </c>
      <c r="H184" s="2" t="s">
        <v>801</v>
      </c>
      <c r="I184" s="2" t="s">
        <v>802</v>
      </c>
      <c r="J184" s="2" t="s">
        <v>114</v>
      </c>
      <c r="K184" s="2" t="s">
        <v>253</v>
      </c>
      <c r="L184" s="3">
        <v>45.71</v>
      </c>
      <c r="M184" s="3">
        <v>48</v>
      </c>
      <c r="N184" s="3">
        <v>99.99</v>
      </c>
      <c r="O184" s="2" t="s">
        <v>97</v>
      </c>
      <c r="P184" s="2" t="s">
        <v>98</v>
      </c>
      <c r="Q184" s="2" t="s">
        <v>99</v>
      </c>
      <c r="R184" s="2" t="s">
        <v>100</v>
      </c>
      <c r="S184" s="2" t="s">
        <v>816</v>
      </c>
      <c r="T184" s="2" t="s">
        <v>787</v>
      </c>
      <c r="U184" s="2" t="s">
        <v>102</v>
      </c>
      <c r="V184" s="2" t="s">
        <v>805</v>
      </c>
      <c r="W184" s="2" t="s">
        <v>105</v>
      </c>
      <c r="X184" s="2" t="s">
        <v>104</v>
      </c>
      <c r="Y184" s="2" t="s">
        <v>817</v>
      </c>
      <c r="Z184" s="4">
        <v>121</v>
      </c>
      <c r="AA184" s="4">
        <f>=ROUNDDOWN(6.05,0)</f>
      </c>
      <c r="AB184" s="5">
        <v>20</v>
      </c>
      <c r="AC184" s="2" t="s">
        <v>806</v>
      </c>
      <c r="AD184" s="4">
        <v>410</v>
      </c>
      <c r="AE184" s="4">
        <v>410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/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18</v>
      </c>
      <c r="BK184" s="8">
        <v>834.72</v>
      </c>
      <c r="BL184" s="2" t="s">
        <v>818</v>
      </c>
      <c r="BM184" s="7"/>
      <c r="BN184" s="7"/>
      <c r="BO184" s="4"/>
      <c r="BP184" s="8"/>
      <c r="BQ184" s="4"/>
      <c r="BR184" s="8"/>
      <c r="BS184" s="7"/>
      <c r="BT184" s="7"/>
      <c r="BU184" s="2" t="s">
        <v>109</v>
      </c>
      <c r="BV184" s="2" t="s">
        <v>97</v>
      </c>
      <c r="BW184" s="2" t="s">
        <v>789</v>
      </c>
      <c r="BX184" s="2" t="s">
        <v>819</v>
      </c>
      <c r="BY184" s="2" t="s">
        <v>112</v>
      </c>
      <c r="BZ184" s="2" t="s">
        <v>100</v>
      </c>
    </row>
    <row r="185">
      <c r="A185" s="2" t="s">
        <v>820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799</v>
      </c>
      <c r="G185" s="2" t="s">
        <v>800</v>
      </c>
      <c r="H185" s="2" t="s">
        <v>801</v>
      </c>
      <c r="I185" s="2" t="s">
        <v>802</v>
      </c>
      <c r="J185" s="2" t="s">
        <v>120</v>
      </c>
      <c r="K185" s="2" t="s">
        <v>253</v>
      </c>
      <c r="L185" s="3">
        <v>50.28</v>
      </c>
      <c r="M185" s="3">
        <v>52.79</v>
      </c>
      <c r="N185" s="3">
        <v>109.99</v>
      </c>
      <c r="O185" s="2" t="s">
        <v>97</v>
      </c>
      <c r="P185" s="2" t="s">
        <v>98</v>
      </c>
      <c r="Q185" s="2" t="s">
        <v>99</v>
      </c>
      <c r="R185" s="2" t="s">
        <v>100</v>
      </c>
      <c r="S185" s="2" t="s">
        <v>816</v>
      </c>
      <c r="T185" s="2" t="s">
        <v>787</v>
      </c>
      <c r="U185" s="2" t="s">
        <v>102</v>
      </c>
      <c r="V185" s="2" t="s">
        <v>805</v>
      </c>
      <c r="W185" s="2" t="s">
        <v>105</v>
      </c>
      <c r="X185" s="2" t="s">
        <v>104</v>
      </c>
      <c r="Y185" s="2" t="s">
        <v>817</v>
      </c>
      <c r="Z185" s="4">
        <v>144</v>
      </c>
      <c r="AA185" s="4">
        <f>=ROUNDDOWN(12,0)</f>
      </c>
      <c r="AB185" s="5">
        <v>12</v>
      </c>
      <c r="AC185" s="2" t="s">
        <v>806</v>
      </c>
      <c r="AD185" s="4">
        <v>270</v>
      </c>
      <c r="AE185" s="4">
        <v>270</v>
      </c>
      <c r="AF185" s="6">
        <v>69</v>
      </c>
      <c r="AG185" s="6"/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/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 t="s">
        <v>100</v>
      </c>
      <c r="BJ185" s="4">
        <v>6</v>
      </c>
      <c r="BK185" s="8">
        <v>302.49</v>
      </c>
      <c r="BL185" s="2" t="s">
        <v>599</v>
      </c>
      <c r="BM185" s="7"/>
      <c r="BN185" s="7"/>
      <c r="BO185" s="4"/>
      <c r="BP185" s="8"/>
      <c r="BQ185" s="4"/>
      <c r="BR185" s="8"/>
      <c r="BS185" s="7"/>
      <c r="BT185" s="7"/>
      <c r="BU185" s="2" t="s">
        <v>109</v>
      </c>
      <c r="BV185" s="2" t="s">
        <v>97</v>
      </c>
      <c r="BW185" s="2" t="s">
        <v>789</v>
      </c>
      <c r="BX185" s="2" t="s">
        <v>100</v>
      </c>
      <c r="BY185" s="2" t="s">
        <v>112</v>
      </c>
      <c r="BZ185" s="2" t="s">
        <v>100</v>
      </c>
    </row>
    <row r="186">
      <c r="A186" s="2" t="s">
        <v>821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799</v>
      </c>
      <c r="G186" s="2" t="s">
        <v>800</v>
      </c>
      <c r="H186" s="2" t="s">
        <v>801</v>
      </c>
      <c r="I186" s="2" t="s">
        <v>802</v>
      </c>
      <c r="J186" s="2" t="s">
        <v>124</v>
      </c>
      <c r="K186" s="2" t="s">
        <v>253</v>
      </c>
      <c r="L186" s="3">
        <v>50.28</v>
      </c>
      <c r="M186" s="3">
        <v>52.79</v>
      </c>
      <c r="N186" s="3">
        <v>109.99</v>
      </c>
      <c r="O186" s="2" t="s">
        <v>97</v>
      </c>
      <c r="P186" s="2" t="s">
        <v>98</v>
      </c>
      <c r="Q186" s="2" t="s">
        <v>99</v>
      </c>
      <c r="R186" s="2" t="s">
        <v>100</v>
      </c>
      <c r="S186" s="2" t="s">
        <v>816</v>
      </c>
      <c r="T186" s="2" t="s">
        <v>787</v>
      </c>
      <c r="U186" s="2" t="s">
        <v>102</v>
      </c>
      <c r="V186" s="2" t="s">
        <v>805</v>
      </c>
      <c r="W186" s="2" t="s">
        <v>105</v>
      </c>
      <c r="X186" s="2" t="s">
        <v>104</v>
      </c>
      <c r="Y186" s="2" t="s">
        <v>817</v>
      </c>
      <c r="Z186" s="4">
        <v>55</v>
      </c>
      <c r="AA186" s="4">
        <f>=ROUNDDOWN(6.875,0)</f>
      </c>
      <c r="AB186" s="5">
        <v>8</v>
      </c>
      <c r="AC186" s="2" t="s">
        <v>806</v>
      </c>
      <c r="AD186" s="4">
        <v>120</v>
      </c>
      <c r="AE186" s="4">
        <v>120</v>
      </c>
      <c r="AF186" s="6">
        <v>69</v>
      </c>
      <c r="AG186" s="6"/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/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 t="s">
        <v>100</v>
      </c>
      <c r="BJ186" s="4">
        <v>7</v>
      </c>
      <c r="BK186" s="8">
        <v>373.25</v>
      </c>
      <c r="BL186" s="2" t="s">
        <v>822</v>
      </c>
      <c r="BM186" s="7"/>
      <c r="BN186" s="7"/>
      <c r="BO186" s="4"/>
      <c r="BP186" s="8"/>
      <c r="BQ186" s="4"/>
      <c r="BR186" s="8"/>
      <c r="BS186" s="7"/>
      <c r="BT186" s="7"/>
      <c r="BU186" s="2" t="s">
        <v>109</v>
      </c>
      <c r="BV186" s="2" t="s">
        <v>97</v>
      </c>
      <c r="BW186" s="2" t="s">
        <v>789</v>
      </c>
      <c r="BX186" s="2" t="s">
        <v>823</v>
      </c>
      <c r="BY186" s="2" t="s">
        <v>112</v>
      </c>
      <c r="BZ186" s="2" t="s">
        <v>100</v>
      </c>
    </row>
    <row r="187">
      <c r="A187" s="2" t="s">
        <v>824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825</v>
      </c>
      <c r="G187" s="2" t="s">
        <v>826</v>
      </c>
      <c r="H187" s="2" t="s">
        <v>827</v>
      </c>
      <c r="I187" s="2" t="s">
        <v>339</v>
      </c>
      <c r="J187" s="2" t="s">
        <v>114</v>
      </c>
      <c r="K187" s="2" t="s">
        <v>227</v>
      </c>
      <c r="L187" s="3">
        <v>83.3</v>
      </c>
      <c r="M187" s="3">
        <v>87.46</v>
      </c>
      <c r="N187" s="3">
        <v>169.99</v>
      </c>
      <c r="O187" s="2" t="s">
        <v>97</v>
      </c>
      <c r="P187" s="2" t="s">
        <v>447</v>
      </c>
      <c r="Q187" s="2" t="s">
        <v>99</v>
      </c>
      <c r="R187" s="2" t="s">
        <v>100</v>
      </c>
      <c r="S187" s="2" t="s">
        <v>828</v>
      </c>
      <c r="T187" s="2" t="s">
        <v>100</v>
      </c>
      <c r="U187" s="2" t="s">
        <v>343</v>
      </c>
      <c r="V187" s="2" t="s">
        <v>677</v>
      </c>
      <c r="W187" s="2" t="s">
        <v>646</v>
      </c>
      <c r="X187" s="2" t="s">
        <v>647</v>
      </c>
      <c r="Y187" s="2" t="s">
        <v>131</v>
      </c>
      <c r="Z187" s="4">
        <v>357</v>
      </c>
      <c r="AA187" s="4">
        <f>=ROUNDDOWN(27.4615384615385,0)</f>
      </c>
      <c r="AB187" s="5">
        <v>13</v>
      </c>
      <c r="AC187" s="2" t="s">
        <v>100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>
        <v>1</v>
      </c>
      <c r="AW187" s="8">
        <v>99.8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/>
      <c r="BC187" s="4">
        <v>1</v>
      </c>
      <c r="BD187" s="8">
        <v>99.8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>
        <v>1</v>
      </c>
      <c r="BJ187" s="4">
        <v>27</v>
      </c>
      <c r="BK187" s="8">
        <v>1404.69</v>
      </c>
      <c r="BL187" s="2" t="s">
        <v>386</v>
      </c>
      <c r="BM187" s="7"/>
      <c r="BN187" s="7"/>
      <c r="BO187" s="4"/>
      <c r="BP187" s="8"/>
      <c r="BQ187" s="4"/>
      <c r="BR187" s="8"/>
      <c r="BS187" s="7"/>
      <c r="BT187" s="7"/>
      <c r="BU187" s="2" t="s">
        <v>109</v>
      </c>
      <c r="BV187" s="2" t="s">
        <v>97</v>
      </c>
      <c r="BW187" s="2" t="s">
        <v>122</v>
      </c>
      <c r="BX187" s="2" t="s">
        <v>196</v>
      </c>
      <c r="BY187" s="2" t="s">
        <v>112</v>
      </c>
      <c r="BZ187" s="2" t="s">
        <v>100</v>
      </c>
    </row>
    <row r="188">
      <c r="A188" s="2" t="s">
        <v>829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825</v>
      </c>
      <c r="G188" s="2" t="s">
        <v>826</v>
      </c>
      <c r="H188" s="2" t="s">
        <v>827</v>
      </c>
      <c r="I188" s="2" t="s">
        <v>339</v>
      </c>
      <c r="J188" s="2" t="s">
        <v>120</v>
      </c>
      <c r="K188" s="2" t="s">
        <v>227</v>
      </c>
      <c r="L188" s="3">
        <v>93.1</v>
      </c>
      <c r="M188" s="3">
        <v>97.75</v>
      </c>
      <c r="N188" s="3">
        <v>189.99</v>
      </c>
      <c r="O188" s="2" t="s">
        <v>97</v>
      </c>
      <c r="P188" s="2" t="s">
        <v>447</v>
      </c>
      <c r="Q188" s="2" t="s">
        <v>99</v>
      </c>
      <c r="R188" s="2" t="s">
        <v>100</v>
      </c>
      <c r="S188" s="2" t="s">
        <v>828</v>
      </c>
      <c r="T188" s="2" t="s">
        <v>100</v>
      </c>
      <c r="U188" s="2" t="s">
        <v>343</v>
      </c>
      <c r="V188" s="2" t="s">
        <v>677</v>
      </c>
      <c r="W188" s="2" t="s">
        <v>646</v>
      </c>
      <c r="X188" s="2" t="s">
        <v>647</v>
      </c>
      <c r="Y188" s="2" t="s">
        <v>131</v>
      </c>
      <c r="Z188" s="4">
        <v>180</v>
      </c>
      <c r="AA188" s="4">
        <f>=ROUNDDOWN(18,0)</f>
      </c>
      <c r="AB188" s="5">
        <v>10</v>
      </c>
      <c r="AC188" s="2" t="s">
        <v>100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13</v>
      </c>
      <c r="BK188" s="8">
        <v>953.26</v>
      </c>
      <c r="BL188" s="2" t="s">
        <v>830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97</v>
      </c>
      <c r="BW188" s="2" t="s">
        <v>122</v>
      </c>
      <c r="BX188" s="2" t="s">
        <v>831</v>
      </c>
      <c r="BY188" s="2" t="s">
        <v>112</v>
      </c>
      <c r="BZ188" s="2" t="s">
        <v>100</v>
      </c>
    </row>
    <row r="189">
      <c r="A189" s="2" t="s">
        <v>832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825</v>
      </c>
      <c r="G189" s="2" t="s">
        <v>826</v>
      </c>
      <c r="H189" s="2" t="s">
        <v>827</v>
      </c>
      <c r="I189" s="2" t="s">
        <v>339</v>
      </c>
      <c r="J189" s="2" t="s">
        <v>124</v>
      </c>
      <c r="K189" s="2" t="s">
        <v>227</v>
      </c>
      <c r="L189" s="3">
        <v>93.1</v>
      </c>
      <c r="M189" s="3">
        <v>97.75</v>
      </c>
      <c r="N189" s="3">
        <v>189.99</v>
      </c>
      <c r="O189" s="2" t="s">
        <v>473</v>
      </c>
      <c r="P189" s="2" t="s">
        <v>447</v>
      </c>
      <c r="Q189" s="2" t="s">
        <v>99</v>
      </c>
      <c r="R189" s="2" t="s">
        <v>100</v>
      </c>
      <c r="S189" s="2" t="s">
        <v>828</v>
      </c>
      <c r="T189" s="2" t="s">
        <v>100</v>
      </c>
      <c r="U189" s="2" t="s">
        <v>343</v>
      </c>
      <c r="V189" s="2" t="s">
        <v>677</v>
      </c>
      <c r="W189" s="2" t="s">
        <v>646</v>
      </c>
      <c r="X189" s="2" t="s">
        <v>647</v>
      </c>
      <c r="Y189" s="2" t="s">
        <v>131</v>
      </c>
      <c r="Z189" s="4">
        <v>187</v>
      </c>
      <c r="AA189" s="4">
        <f>=ROUNDDOWN(37.4,0)</f>
      </c>
      <c r="AB189" s="5">
        <v>5</v>
      </c>
      <c r="AC189" s="2" t="s">
        <v>100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1</v>
      </c>
      <c r="AQ189" s="8">
        <v>99.8</v>
      </c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1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5</v>
      </c>
      <c r="BK189" s="8">
        <v>341.3</v>
      </c>
      <c r="BL189" s="2" t="s">
        <v>833</v>
      </c>
      <c r="BM189" s="7">
        <v>0.2</v>
      </c>
      <c r="BN189" s="7">
        <v>0.2924</v>
      </c>
      <c r="BO189" s="4">
        <v>1</v>
      </c>
      <c r="BP189" s="8">
        <v>99.8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122</v>
      </c>
      <c r="BX189" s="2" t="s">
        <v>834</v>
      </c>
      <c r="BY189" s="2" t="s">
        <v>112</v>
      </c>
      <c r="BZ189" s="2" t="s">
        <v>100</v>
      </c>
    </row>
    <row r="190">
      <c r="A190" s="2" t="s">
        <v>835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836</v>
      </c>
      <c r="G190" s="2" t="s">
        <v>837</v>
      </c>
      <c r="H190" s="2" t="s">
        <v>838</v>
      </c>
      <c r="I190" s="2" t="s">
        <v>241</v>
      </c>
      <c r="J190" s="2" t="s">
        <v>114</v>
      </c>
      <c r="K190" s="2" t="s">
        <v>340</v>
      </c>
      <c r="L190" s="3">
        <v>67.2</v>
      </c>
      <c r="M190" s="3">
        <v>70.55</v>
      </c>
      <c r="N190" s="3">
        <v>149.99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839</v>
      </c>
      <c r="T190" s="2" t="s">
        <v>100</v>
      </c>
      <c r="U190" s="2" t="s">
        <v>102</v>
      </c>
      <c r="V190" s="2" t="s">
        <v>734</v>
      </c>
      <c r="W190" s="2" t="s">
        <v>244</v>
      </c>
      <c r="X190" s="2" t="s">
        <v>609</v>
      </c>
      <c r="Y190" s="2" t="s">
        <v>131</v>
      </c>
      <c r="Z190" s="4">
        <v>361</v>
      </c>
      <c r="AA190" s="4">
        <f>=ROUNDDOWN(24.0666666666667,0)</f>
      </c>
      <c r="AB190" s="5">
        <v>15</v>
      </c>
      <c r="AC190" s="2" t="s">
        <v>840</v>
      </c>
      <c r="AD190" s="4">
        <v>220</v>
      </c>
      <c r="AE190" s="4">
        <v>220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>
        <v>1</v>
      </c>
      <c r="AW190" s="8">
        <v>88.2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/>
      <c r="BC190" s="4">
        <v>1</v>
      </c>
      <c r="BD190" s="8">
        <v>88.2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>
        <v>1</v>
      </c>
      <c r="BJ190" s="4">
        <v>6</v>
      </c>
      <c r="BK190" s="8">
        <v>381.9</v>
      </c>
      <c r="BL190" s="2" t="s">
        <v>841</v>
      </c>
      <c r="BM190" s="7"/>
      <c r="BN190" s="7"/>
      <c r="BO190" s="4"/>
      <c r="BP190" s="8"/>
      <c r="BQ190" s="4"/>
      <c r="BR190" s="8"/>
      <c r="BS190" s="7"/>
      <c r="BT190" s="7"/>
      <c r="BU190" s="2" t="s">
        <v>109</v>
      </c>
      <c r="BV190" s="2" t="s">
        <v>97</v>
      </c>
      <c r="BW190" s="2" t="s">
        <v>122</v>
      </c>
      <c r="BX190" s="2" t="s">
        <v>842</v>
      </c>
      <c r="BY190" s="2" t="s">
        <v>112</v>
      </c>
      <c r="BZ190" s="2" t="s">
        <v>100</v>
      </c>
    </row>
    <row r="191">
      <c r="A191" s="2" t="s">
        <v>843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836</v>
      </c>
      <c r="G191" s="2" t="s">
        <v>837</v>
      </c>
      <c r="H191" s="2" t="s">
        <v>838</v>
      </c>
      <c r="I191" s="2" t="s">
        <v>241</v>
      </c>
      <c r="J191" s="2" t="s">
        <v>120</v>
      </c>
      <c r="K191" s="2" t="s">
        <v>340</v>
      </c>
      <c r="L191" s="3">
        <v>80</v>
      </c>
      <c r="M191" s="3">
        <v>83.99</v>
      </c>
      <c r="N191" s="3">
        <v>169.99</v>
      </c>
      <c r="O191" s="2" t="s">
        <v>97</v>
      </c>
      <c r="P191" s="2" t="s">
        <v>98</v>
      </c>
      <c r="Q191" s="2" t="s">
        <v>99</v>
      </c>
      <c r="R191" s="2" t="s">
        <v>100</v>
      </c>
      <c r="S191" s="2" t="s">
        <v>839</v>
      </c>
      <c r="T191" s="2" t="s">
        <v>100</v>
      </c>
      <c r="U191" s="2" t="s">
        <v>102</v>
      </c>
      <c r="V191" s="2" t="s">
        <v>734</v>
      </c>
      <c r="W191" s="2" t="s">
        <v>244</v>
      </c>
      <c r="X191" s="2" t="s">
        <v>609</v>
      </c>
      <c r="Y191" s="2" t="s">
        <v>131</v>
      </c>
      <c r="Z191" s="4">
        <v>377</v>
      </c>
      <c r="AA191" s="4">
        <f>=ROUNDDOWN(23.5625,0)</f>
      </c>
      <c r="AB191" s="5">
        <v>16</v>
      </c>
      <c r="AC191" s="2" t="s">
        <v>840</v>
      </c>
      <c r="AD191" s="4">
        <v>210</v>
      </c>
      <c r="AE191" s="4">
        <v>210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1</v>
      </c>
      <c r="AQ191" s="8">
        <v>88.2</v>
      </c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1</v>
      </c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6</v>
      </c>
      <c r="BK191" s="8">
        <v>442.52</v>
      </c>
      <c r="BL191" s="2" t="s">
        <v>844</v>
      </c>
      <c r="BM191" s="7">
        <v>0.1667</v>
      </c>
      <c r="BN191" s="7">
        <v>0.1993</v>
      </c>
      <c r="BO191" s="4">
        <v>1</v>
      </c>
      <c r="BP191" s="8">
        <v>88.2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122</v>
      </c>
      <c r="BX191" s="2" t="s">
        <v>457</v>
      </c>
      <c r="BY191" s="2" t="s">
        <v>112</v>
      </c>
      <c r="BZ191" s="2" t="s">
        <v>100</v>
      </c>
    </row>
    <row r="192">
      <c r="A192" s="2" t="s">
        <v>845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836</v>
      </c>
      <c r="G192" s="2" t="s">
        <v>837</v>
      </c>
      <c r="H192" s="2" t="s">
        <v>838</v>
      </c>
      <c r="I192" s="2" t="s">
        <v>241</v>
      </c>
      <c r="J192" s="2" t="s">
        <v>124</v>
      </c>
      <c r="K192" s="2" t="s">
        <v>340</v>
      </c>
      <c r="L192" s="3">
        <v>80</v>
      </c>
      <c r="M192" s="3">
        <v>83.99</v>
      </c>
      <c r="N192" s="3">
        <v>169.99</v>
      </c>
      <c r="O192" s="2" t="s">
        <v>97</v>
      </c>
      <c r="P192" s="2" t="s">
        <v>98</v>
      </c>
      <c r="Q192" s="2" t="s">
        <v>99</v>
      </c>
      <c r="R192" s="2" t="s">
        <v>100</v>
      </c>
      <c r="S192" s="2" t="s">
        <v>839</v>
      </c>
      <c r="T192" s="2" t="s">
        <v>100</v>
      </c>
      <c r="U192" s="2" t="s">
        <v>102</v>
      </c>
      <c r="V192" s="2" t="s">
        <v>734</v>
      </c>
      <c r="W192" s="2" t="s">
        <v>244</v>
      </c>
      <c r="X192" s="2" t="s">
        <v>609</v>
      </c>
      <c r="Y192" s="2" t="s">
        <v>131</v>
      </c>
      <c r="Z192" s="4">
        <v>144</v>
      </c>
      <c r="AA192" s="4">
        <f>=ROUNDDOWN(24,0)</f>
      </c>
      <c r="AB192" s="5">
        <v>6</v>
      </c>
      <c r="AC192" s="2" t="s">
        <v>840</v>
      </c>
      <c r="AD192" s="4">
        <v>95</v>
      </c>
      <c r="AE192" s="4">
        <v>95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/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1</v>
      </c>
      <c r="BK192" s="8">
        <v>88.2</v>
      </c>
      <c r="BL192" s="2" t="s">
        <v>210</v>
      </c>
      <c r="BM192" s="7"/>
      <c r="BN192" s="7"/>
      <c r="BO192" s="4"/>
      <c r="BP192" s="8"/>
      <c r="BQ192" s="4"/>
      <c r="BR192" s="8"/>
      <c r="BS192" s="7"/>
      <c r="BT192" s="7"/>
      <c r="BU192" s="2" t="s">
        <v>109</v>
      </c>
      <c r="BV192" s="2" t="s">
        <v>97</v>
      </c>
      <c r="BW192" s="2" t="s">
        <v>122</v>
      </c>
      <c r="BX192" s="2" t="s">
        <v>846</v>
      </c>
      <c r="BY192" s="2" t="s">
        <v>112</v>
      </c>
      <c r="BZ192" s="2" t="s">
        <v>100</v>
      </c>
    </row>
    <row r="193">
      <c r="A193" s="2" t="s">
        <v>847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836</v>
      </c>
      <c r="G193" s="2" t="s">
        <v>837</v>
      </c>
      <c r="H193" s="2" t="s">
        <v>838</v>
      </c>
      <c r="I193" s="2" t="s">
        <v>241</v>
      </c>
      <c r="J193" s="2" t="s">
        <v>114</v>
      </c>
      <c r="K193" s="2" t="s">
        <v>146</v>
      </c>
      <c r="L193" s="3">
        <v>67.2</v>
      </c>
      <c r="M193" s="3">
        <v>70.55</v>
      </c>
      <c r="N193" s="3">
        <v>149.99</v>
      </c>
      <c r="O193" s="2" t="s">
        <v>97</v>
      </c>
      <c r="P193" s="2" t="s">
        <v>383</v>
      </c>
      <c r="Q193" s="2" t="s">
        <v>99</v>
      </c>
      <c r="R193" s="2" t="s">
        <v>100</v>
      </c>
      <c r="S193" s="2" t="s">
        <v>848</v>
      </c>
      <c r="T193" s="2" t="s">
        <v>100</v>
      </c>
      <c r="U193" s="2" t="s">
        <v>102</v>
      </c>
      <c r="V193" s="2" t="s">
        <v>734</v>
      </c>
      <c r="W193" s="2" t="s">
        <v>244</v>
      </c>
      <c r="X193" s="2" t="s">
        <v>609</v>
      </c>
      <c r="Y193" s="2" t="s">
        <v>131</v>
      </c>
      <c r="Z193" s="4">
        <v>494</v>
      </c>
      <c r="AA193" s="4">
        <f>=ROUNDDOWN(26,0)</f>
      </c>
      <c r="AB193" s="5">
        <v>19</v>
      </c>
      <c r="AC193" s="2" t="s">
        <v>680</v>
      </c>
      <c r="AD193" s="4">
        <v>160</v>
      </c>
      <c r="AE193" s="4">
        <v>730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/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12</v>
      </c>
      <c r="BK193" s="8">
        <v>855.28</v>
      </c>
      <c r="BL193" s="2" t="s">
        <v>849</v>
      </c>
      <c r="BM193" s="7"/>
      <c r="BN193" s="7"/>
      <c r="BO193" s="4"/>
      <c r="BP193" s="8"/>
      <c r="BQ193" s="4"/>
      <c r="BR193" s="8"/>
      <c r="BS193" s="7"/>
      <c r="BT193" s="7"/>
      <c r="BU193" s="2" t="s">
        <v>109</v>
      </c>
      <c r="BV193" s="2" t="s">
        <v>97</v>
      </c>
      <c r="BW193" s="2" t="s">
        <v>122</v>
      </c>
      <c r="BX193" s="2" t="s">
        <v>117</v>
      </c>
      <c r="BY193" s="2" t="s">
        <v>112</v>
      </c>
      <c r="BZ193" s="2" t="s">
        <v>100</v>
      </c>
    </row>
    <row r="194">
      <c r="A194" s="2" t="s">
        <v>850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836</v>
      </c>
      <c r="G194" s="2" t="s">
        <v>837</v>
      </c>
      <c r="H194" s="2" t="s">
        <v>838</v>
      </c>
      <c r="I194" s="2" t="s">
        <v>241</v>
      </c>
      <c r="J194" s="2" t="s">
        <v>120</v>
      </c>
      <c r="K194" s="2" t="s">
        <v>146</v>
      </c>
      <c r="L194" s="3">
        <v>80</v>
      </c>
      <c r="M194" s="3">
        <v>83.99</v>
      </c>
      <c r="N194" s="3">
        <v>169.99</v>
      </c>
      <c r="O194" s="2" t="s">
        <v>97</v>
      </c>
      <c r="P194" s="2" t="s">
        <v>383</v>
      </c>
      <c r="Q194" s="2" t="s">
        <v>99</v>
      </c>
      <c r="R194" s="2" t="s">
        <v>100</v>
      </c>
      <c r="S194" s="2" t="s">
        <v>848</v>
      </c>
      <c r="T194" s="2" t="s">
        <v>100</v>
      </c>
      <c r="U194" s="2" t="s">
        <v>102</v>
      </c>
      <c r="V194" s="2" t="s">
        <v>734</v>
      </c>
      <c r="W194" s="2" t="s">
        <v>244</v>
      </c>
      <c r="X194" s="2" t="s">
        <v>609</v>
      </c>
      <c r="Y194" s="2" t="s">
        <v>131</v>
      </c>
      <c r="Z194" s="4">
        <v>528</v>
      </c>
      <c r="AA194" s="4">
        <f>=ROUNDDOWN(26.4,0)</f>
      </c>
      <c r="AB194" s="5">
        <v>20</v>
      </c>
      <c r="AC194" s="2" t="s">
        <v>680</v>
      </c>
      <c r="AD194" s="4">
        <v>120</v>
      </c>
      <c r="AE194" s="4">
        <v>411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/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8</v>
      </c>
      <c r="BK194" s="8">
        <v>671.03</v>
      </c>
      <c r="BL194" s="2" t="s">
        <v>851</v>
      </c>
      <c r="BM194" s="7"/>
      <c r="BN194" s="7"/>
      <c r="BO194" s="4"/>
      <c r="BP194" s="8"/>
      <c r="BQ194" s="4"/>
      <c r="BR194" s="8"/>
      <c r="BS194" s="7"/>
      <c r="BT194" s="7"/>
      <c r="BU194" s="2" t="s">
        <v>109</v>
      </c>
      <c r="BV194" s="2" t="s">
        <v>97</v>
      </c>
      <c r="BW194" s="2" t="s">
        <v>122</v>
      </c>
      <c r="BX194" s="2" t="s">
        <v>118</v>
      </c>
      <c r="BY194" s="2" t="s">
        <v>112</v>
      </c>
      <c r="BZ194" s="2" t="s">
        <v>100</v>
      </c>
    </row>
    <row r="195">
      <c r="A195" s="2" t="s">
        <v>852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836</v>
      </c>
      <c r="G195" s="2" t="s">
        <v>837</v>
      </c>
      <c r="H195" s="2" t="s">
        <v>838</v>
      </c>
      <c r="I195" s="2" t="s">
        <v>241</v>
      </c>
      <c r="J195" s="2" t="s">
        <v>124</v>
      </c>
      <c r="K195" s="2" t="s">
        <v>146</v>
      </c>
      <c r="L195" s="3">
        <v>80</v>
      </c>
      <c r="M195" s="3">
        <v>83.99</v>
      </c>
      <c r="N195" s="3">
        <v>169.99</v>
      </c>
      <c r="O195" s="2" t="s">
        <v>97</v>
      </c>
      <c r="P195" s="2" t="s">
        <v>383</v>
      </c>
      <c r="Q195" s="2" t="s">
        <v>99</v>
      </c>
      <c r="R195" s="2" t="s">
        <v>100</v>
      </c>
      <c r="S195" s="2" t="s">
        <v>848</v>
      </c>
      <c r="T195" s="2" t="s">
        <v>100</v>
      </c>
      <c r="U195" s="2" t="s">
        <v>102</v>
      </c>
      <c r="V195" s="2" t="s">
        <v>734</v>
      </c>
      <c r="W195" s="2" t="s">
        <v>244</v>
      </c>
      <c r="X195" s="2" t="s">
        <v>609</v>
      </c>
      <c r="Y195" s="2" t="s">
        <v>131</v>
      </c>
      <c r="Z195" s="4">
        <v>154</v>
      </c>
      <c r="AA195" s="4">
        <f>=ROUNDDOWN(25.6666666666667,0)</f>
      </c>
      <c r="AB195" s="5">
        <v>6</v>
      </c>
      <c r="AC195" s="2" t="s">
        <v>680</v>
      </c>
      <c r="AD195" s="4">
        <v>80</v>
      </c>
      <c r="AE195" s="4">
        <v>150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/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1</v>
      </c>
      <c r="BK195" s="8">
        <v>85.14</v>
      </c>
      <c r="BL195" s="2" t="s">
        <v>625</v>
      </c>
      <c r="BM195" s="7"/>
      <c r="BN195" s="7"/>
      <c r="BO195" s="4"/>
      <c r="BP195" s="8"/>
      <c r="BQ195" s="4"/>
      <c r="BR195" s="8"/>
      <c r="BS195" s="7"/>
      <c r="BT195" s="7"/>
      <c r="BU195" s="2" t="s">
        <v>109</v>
      </c>
      <c r="BV195" s="2" t="s">
        <v>97</v>
      </c>
      <c r="BW195" s="2" t="s">
        <v>122</v>
      </c>
      <c r="BX195" s="2" t="s">
        <v>222</v>
      </c>
      <c r="BY195" s="2" t="s">
        <v>112</v>
      </c>
      <c r="BZ195" s="2" t="s">
        <v>100</v>
      </c>
    </row>
    <row r="196">
      <c r="A196" s="2" t="s">
        <v>853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836</v>
      </c>
      <c r="G196" s="2" t="s">
        <v>837</v>
      </c>
      <c r="H196" s="2" t="s">
        <v>838</v>
      </c>
      <c r="I196" s="2" t="s">
        <v>605</v>
      </c>
      <c r="J196" s="2" t="s">
        <v>114</v>
      </c>
      <c r="K196" s="2" t="s">
        <v>163</v>
      </c>
      <c r="L196" s="3">
        <v>67.2</v>
      </c>
      <c r="M196" s="3">
        <v>70.55</v>
      </c>
      <c r="N196" s="3">
        <v>149.99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854</v>
      </c>
      <c r="T196" s="2" t="s">
        <v>100</v>
      </c>
      <c r="U196" s="2" t="s">
        <v>102</v>
      </c>
      <c r="V196" s="2" t="s">
        <v>734</v>
      </c>
      <c r="W196" s="2" t="s">
        <v>244</v>
      </c>
      <c r="X196" s="2" t="s">
        <v>285</v>
      </c>
      <c r="Y196" s="2" t="s">
        <v>855</v>
      </c>
      <c r="Z196" s="4">
        <v>327</v>
      </c>
      <c r="AA196" s="4">
        <f>=ROUNDDOWN(20.4375,0)</f>
      </c>
      <c r="AB196" s="5">
        <v>16</v>
      </c>
      <c r="AC196" s="2" t="s">
        <v>680</v>
      </c>
      <c r="AD196" s="4">
        <v>90</v>
      </c>
      <c r="AE196" s="4">
        <v>300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/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9</v>
      </c>
      <c r="BK196" s="8">
        <v>652.77</v>
      </c>
      <c r="BL196" s="2" t="s">
        <v>300</v>
      </c>
      <c r="BM196" s="7"/>
      <c r="BN196" s="7"/>
      <c r="BO196" s="4"/>
      <c r="BP196" s="8"/>
      <c r="BQ196" s="4"/>
      <c r="BR196" s="8"/>
      <c r="BS196" s="7"/>
      <c r="BT196" s="7"/>
      <c r="BU196" s="2" t="s">
        <v>109</v>
      </c>
      <c r="BV196" s="2" t="s">
        <v>97</v>
      </c>
      <c r="BW196" s="2" t="s">
        <v>270</v>
      </c>
      <c r="BX196" s="2" t="s">
        <v>856</v>
      </c>
      <c r="BY196" s="2" t="s">
        <v>112</v>
      </c>
      <c r="BZ196" s="2" t="s">
        <v>100</v>
      </c>
    </row>
    <row r="197">
      <c r="A197" s="2" t="s">
        <v>857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836</v>
      </c>
      <c r="G197" s="2" t="s">
        <v>837</v>
      </c>
      <c r="H197" s="2" t="s">
        <v>838</v>
      </c>
      <c r="I197" s="2" t="s">
        <v>605</v>
      </c>
      <c r="J197" s="2" t="s">
        <v>120</v>
      </c>
      <c r="K197" s="2" t="s">
        <v>163</v>
      </c>
      <c r="L197" s="3">
        <v>80</v>
      </c>
      <c r="M197" s="3">
        <v>83.99</v>
      </c>
      <c r="N197" s="3">
        <v>169.99</v>
      </c>
      <c r="O197" s="2" t="s">
        <v>97</v>
      </c>
      <c r="P197" s="2" t="s">
        <v>98</v>
      </c>
      <c r="Q197" s="2" t="s">
        <v>99</v>
      </c>
      <c r="R197" s="2" t="s">
        <v>100</v>
      </c>
      <c r="S197" s="2" t="s">
        <v>854</v>
      </c>
      <c r="T197" s="2" t="s">
        <v>100</v>
      </c>
      <c r="U197" s="2" t="s">
        <v>102</v>
      </c>
      <c r="V197" s="2" t="s">
        <v>734</v>
      </c>
      <c r="W197" s="2" t="s">
        <v>244</v>
      </c>
      <c r="X197" s="2" t="s">
        <v>285</v>
      </c>
      <c r="Y197" s="2" t="s">
        <v>855</v>
      </c>
      <c r="Z197" s="4">
        <v>294</v>
      </c>
      <c r="AA197" s="4">
        <f>=ROUNDDOWN(18.375,0)</f>
      </c>
      <c r="AB197" s="5">
        <v>16</v>
      </c>
      <c r="AC197" s="2" t="s">
        <v>680</v>
      </c>
      <c r="AD197" s="4">
        <v>100</v>
      </c>
      <c r="AE197" s="4">
        <v>350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/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 t="s">
        <v>100</v>
      </c>
      <c r="BJ197" s="4">
        <v>12</v>
      </c>
      <c r="BK197" s="8">
        <v>983.16</v>
      </c>
      <c r="BL197" s="2" t="s">
        <v>858</v>
      </c>
      <c r="BM197" s="7"/>
      <c r="BN197" s="7"/>
      <c r="BO197" s="4"/>
      <c r="BP197" s="8"/>
      <c r="BQ197" s="4"/>
      <c r="BR197" s="8"/>
      <c r="BS197" s="7"/>
      <c r="BT197" s="7"/>
      <c r="BU197" s="2" t="s">
        <v>109</v>
      </c>
      <c r="BV197" s="2" t="s">
        <v>97</v>
      </c>
      <c r="BW197" s="2" t="s">
        <v>270</v>
      </c>
      <c r="BX197" s="2" t="s">
        <v>856</v>
      </c>
      <c r="BY197" s="2" t="s">
        <v>112</v>
      </c>
      <c r="BZ197" s="2" t="s">
        <v>100</v>
      </c>
    </row>
    <row r="198">
      <c r="A198" s="2" t="s">
        <v>859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836</v>
      </c>
      <c r="G198" s="2" t="s">
        <v>837</v>
      </c>
      <c r="H198" s="2" t="s">
        <v>838</v>
      </c>
      <c r="I198" s="2" t="s">
        <v>605</v>
      </c>
      <c r="J198" s="2" t="s">
        <v>124</v>
      </c>
      <c r="K198" s="2" t="s">
        <v>163</v>
      </c>
      <c r="L198" s="3">
        <v>80</v>
      </c>
      <c r="M198" s="3">
        <v>83.99</v>
      </c>
      <c r="N198" s="3">
        <v>169.99</v>
      </c>
      <c r="O198" s="2" t="s">
        <v>97</v>
      </c>
      <c r="P198" s="2" t="s">
        <v>98</v>
      </c>
      <c r="Q198" s="2" t="s">
        <v>99</v>
      </c>
      <c r="R198" s="2" t="s">
        <v>100</v>
      </c>
      <c r="S198" s="2" t="s">
        <v>854</v>
      </c>
      <c r="T198" s="2" t="s">
        <v>100</v>
      </c>
      <c r="U198" s="2" t="s">
        <v>102</v>
      </c>
      <c r="V198" s="2" t="s">
        <v>734</v>
      </c>
      <c r="W198" s="2" t="s">
        <v>244</v>
      </c>
      <c r="X198" s="2" t="s">
        <v>285</v>
      </c>
      <c r="Y198" s="2" t="s">
        <v>855</v>
      </c>
      <c r="Z198" s="4">
        <v>224</v>
      </c>
      <c r="AA198" s="4">
        <f>=ROUNDDOWN(44.8,0)</f>
      </c>
      <c r="AB198" s="5">
        <v>5</v>
      </c>
      <c r="AC198" s="2" t="s">
        <v>860</v>
      </c>
      <c r="AD198" s="4">
        <v>50</v>
      </c>
      <c r="AE198" s="4">
        <v>50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/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/>
      <c r="BK198" s="8"/>
      <c r="BL198" s="2" t="s">
        <v>100</v>
      </c>
      <c r="BM198" s="7"/>
      <c r="BN198" s="7"/>
      <c r="BO198" s="4"/>
      <c r="BP198" s="8"/>
      <c r="BQ198" s="4"/>
      <c r="BR198" s="8"/>
      <c r="BS198" s="7"/>
      <c r="BT198" s="7"/>
      <c r="BU198" s="2" t="s">
        <v>109</v>
      </c>
      <c r="BV198" s="2" t="s">
        <v>97</v>
      </c>
      <c r="BW198" s="2" t="s">
        <v>861</v>
      </c>
      <c r="BX198" s="2" t="s">
        <v>862</v>
      </c>
      <c r="BY198" s="2" t="s">
        <v>112</v>
      </c>
      <c r="BZ198" s="2" t="s">
        <v>100</v>
      </c>
    </row>
    <row r="199">
      <c r="A199" s="2" t="s">
        <v>863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864</v>
      </c>
      <c r="G199" s="2" t="s">
        <v>865</v>
      </c>
      <c r="H199" s="2" t="s">
        <v>866</v>
      </c>
      <c r="I199" s="2" t="s">
        <v>867</v>
      </c>
      <c r="J199" s="2" t="s">
        <v>114</v>
      </c>
      <c r="K199" s="2" t="s">
        <v>868</v>
      </c>
      <c r="L199" s="3">
        <v>61.73</v>
      </c>
      <c r="M199" s="3">
        <v>64.82</v>
      </c>
      <c r="N199" s="3">
        <v>129.99</v>
      </c>
      <c r="O199" s="2" t="s">
        <v>97</v>
      </c>
      <c r="P199" s="2" t="s">
        <v>281</v>
      </c>
      <c r="Q199" s="2" t="s">
        <v>99</v>
      </c>
      <c r="R199" s="2" t="s">
        <v>100</v>
      </c>
      <c r="S199" s="2" t="s">
        <v>869</v>
      </c>
      <c r="T199" s="2" t="s">
        <v>100</v>
      </c>
      <c r="U199" s="2" t="s">
        <v>102</v>
      </c>
      <c r="V199" s="2" t="s">
        <v>284</v>
      </c>
      <c r="W199" s="2" t="s">
        <v>104</v>
      </c>
      <c r="X199" s="2" t="s">
        <v>399</v>
      </c>
      <c r="Y199" s="2" t="s">
        <v>870</v>
      </c>
      <c r="Z199" s="4">
        <v>760</v>
      </c>
      <c r="AA199" s="4">
        <f>=ROUNDDOWN(21.1111111111111,0)</f>
      </c>
      <c r="AB199" s="5">
        <v>36</v>
      </c>
      <c r="AC199" s="2" t="s">
        <v>871</v>
      </c>
      <c r="AD199" s="4">
        <v>30</v>
      </c>
      <c r="AE199" s="4">
        <v>740</v>
      </c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>
        <v>1</v>
      </c>
      <c r="AW199" s="8">
        <v>84.54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/>
      <c r="BC199" s="4">
        <v>1</v>
      </c>
      <c r="BD199" s="8">
        <v>84.54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>
        <v>1</v>
      </c>
      <c r="BJ199" s="4">
        <v>22</v>
      </c>
      <c r="BK199" s="8">
        <v>1536.68</v>
      </c>
      <c r="BL199" s="2" t="s">
        <v>300</v>
      </c>
      <c r="BM199" s="7"/>
      <c r="BN199" s="7"/>
      <c r="BO199" s="4"/>
      <c r="BP199" s="8"/>
      <c r="BQ199" s="4"/>
      <c r="BR199" s="8"/>
      <c r="BS199" s="7"/>
      <c r="BT199" s="7"/>
      <c r="BU199" s="2" t="s">
        <v>109</v>
      </c>
      <c r="BV199" s="2" t="s">
        <v>97</v>
      </c>
      <c r="BW199" s="2" t="s">
        <v>122</v>
      </c>
      <c r="BX199" s="2" t="s">
        <v>432</v>
      </c>
      <c r="BY199" s="2" t="s">
        <v>112</v>
      </c>
      <c r="BZ199" s="2" t="s">
        <v>100</v>
      </c>
    </row>
    <row r="200">
      <c r="A200" s="2" t="s">
        <v>872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864</v>
      </c>
      <c r="G200" s="2" t="s">
        <v>865</v>
      </c>
      <c r="H200" s="2" t="s">
        <v>866</v>
      </c>
      <c r="I200" s="2" t="s">
        <v>867</v>
      </c>
      <c r="J200" s="2" t="s">
        <v>120</v>
      </c>
      <c r="K200" s="2" t="s">
        <v>868</v>
      </c>
      <c r="L200" s="3">
        <v>70.55</v>
      </c>
      <c r="M200" s="3">
        <v>74.08</v>
      </c>
      <c r="N200" s="3">
        <v>149.99</v>
      </c>
      <c r="O200" s="2" t="s">
        <v>97</v>
      </c>
      <c r="P200" s="2" t="s">
        <v>281</v>
      </c>
      <c r="Q200" s="2" t="s">
        <v>99</v>
      </c>
      <c r="R200" s="2" t="s">
        <v>100</v>
      </c>
      <c r="S200" s="2" t="s">
        <v>869</v>
      </c>
      <c r="T200" s="2" t="s">
        <v>100</v>
      </c>
      <c r="U200" s="2" t="s">
        <v>102</v>
      </c>
      <c r="V200" s="2" t="s">
        <v>284</v>
      </c>
      <c r="W200" s="2" t="s">
        <v>104</v>
      </c>
      <c r="X200" s="2" t="s">
        <v>399</v>
      </c>
      <c r="Y200" s="2" t="s">
        <v>873</v>
      </c>
      <c r="Z200" s="4">
        <v>587</v>
      </c>
      <c r="AA200" s="4">
        <f>=ROUNDDOWN(11.9795918367347,0)</f>
      </c>
      <c r="AB200" s="5">
        <v>49</v>
      </c>
      <c r="AC200" s="2" t="s">
        <v>871</v>
      </c>
      <c r="AD200" s="4">
        <v>30</v>
      </c>
      <c r="AE200" s="4">
        <v>1300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/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37</v>
      </c>
      <c r="BK200" s="8">
        <v>3072.77</v>
      </c>
      <c r="BL200" s="2" t="s">
        <v>874</v>
      </c>
      <c r="BM200" s="7"/>
      <c r="BN200" s="7"/>
      <c r="BO200" s="4"/>
      <c r="BP200" s="8"/>
      <c r="BQ200" s="4"/>
      <c r="BR200" s="8"/>
      <c r="BS200" s="7"/>
      <c r="BT200" s="7"/>
      <c r="BU200" s="2" t="s">
        <v>109</v>
      </c>
      <c r="BV200" s="2" t="s">
        <v>97</v>
      </c>
      <c r="BW200" s="2" t="s">
        <v>122</v>
      </c>
      <c r="BX200" s="2" t="s">
        <v>246</v>
      </c>
      <c r="BY200" s="2" t="s">
        <v>112</v>
      </c>
      <c r="BZ200" s="2" t="s">
        <v>100</v>
      </c>
    </row>
    <row r="201">
      <c r="A201" s="2" t="s">
        <v>875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864</v>
      </c>
      <c r="G201" s="2" t="s">
        <v>865</v>
      </c>
      <c r="H201" s="2" t="s">
        <v>866</v>
      </c>
      <c r="I201" s="2" t="s">
        <v>867</v>
      </c>
      <c r="J201" s="2" t="s">
        <v>124</v>
      </c>
      <c r="K201" s="2" t="s">
        <v>868</v>
      </c>
      <c r="L201" s="3">
        <v>70.55</v>
      </c>
      <c r="M201" s="3">
        <v>74.08</v>
      </c>
      <c r="N201" s="3">
        <v>149.99</v>
      </c>
      <c r="O201" s="2" t="s">
        <v>97</v>
      </c>
      <c r="P201" s="2" t="s">
        <v>281</v>
      </c>
      <c r="Q201" s="2" t="s">
        <v>99</v>
      </c>
      <c r="R201" s="2" t="s">
        <v>100</v>
      </c>
      <c r="S201" s="2" t="s">
        <v>869</v>
      </c>
      <c r="T201" s="2" t="s">
        <v>100</v>
      </c>
      <c r="U201" s="2" t="s">
        <v>102</v>
      </c>
      <c r="V201" s="2" t="s">
        <v>284</v>
      </c>
      <c r="W201" s="2" t="s">
        <v>104</v>
      </c>
      <c r="X201" s="2" t="s">
        <v>399</v>
      </c>
      <c r="Y201" s="2" t="s">
        <v>131</v>
      </c>
      <c r="Z201" s="4">
        <v>269</v>
      </c>
      <c r="AA201" s="4">
        <f>=ROUNDDOWN(9.60714285714286,0)</f>
      </c>
      <c r="AB201" s="5">
        <v>28</v>
      </c>
      <c r="AC201" s="2" t="s">
        <v>871</v>
      </c>
      <c r="AD201" s="4">
        <v>30</v>
      </c>
      <c r="AE201" s="4">
        <v>770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>
        <v>1</v>
      </c>
      <c r="AQ201" s="8">
        <v>84.54</v>
      </c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1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20</v>
      </c>
      <c r="BK201" s="8">
        <v>1658.84</v>
      </c>
      <c r="BL201" s="2" t="s">
        <v>255</v>
      </c>
      <c r="BM201" s="7">
        <v>0.05</v>
      </c>
      <c r="BN201" s="7">
        <v>0.051</v>
      </c>
      <c r="BO201" s="4">
        <v>1</v>
      </c>
      <c r="BP201" s="8">
        <v>84.54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122</v>
      </c>
      <c r="BX201" s="2" t="s">
        <v>876</v>
      </c>
      <c r="BY201" s="2" t="s">
        <v>112</v>
      </c>
      <c r="BZ201" s="2" t="s">
        <v>100</v>
      </c>
    </row>
    <row r="202">
      <c r="A202" s="2" t="s">
        <v>877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864</v>
      </c>
      <c r="G202" s="2" t="s">
        <v>865</v>
      </c>
      <c r="H202" s="2" t="s">
        <v>866</v>
      </c>
      <c r="I202" s="2" t="s">
        <v>867</v>
      </c>
      <c r="J202" s="2" t="s">
        <v>114</v>
      </c>
      <c r="K202" s="2" t="s">
        <v>185</v>
      </c>
      <c r="L202" s="3">
        <v>61.73</v>
      </c>
      <c r="M202" s="3">
        <v>64.82</v>
      </c>
      <c r="N202" s="3">
        <v>129.99</v>
      </c>
      <c r="O202" s="2" t="s">
        <v>97</v>
      </c>
      <c r="P202" s="2" t="s">
        <v>98</v>
      </c>
      <c r="Q202" s="2" t="s">
        <v>99</v>
      </c>
      <c r="R202" s="2" t="s">
        <v>100</v>
      </c>
      <c r="S202" s="2" t="s">
        <v>878</v>
      </c>
      <c r="T202" s="2" t="s">
        <v>359</v>
      </c>
      <c r="U202" s="2" t="s">
        <v>102</v>
      </c>
      <c r="V202" s="2" t="s">
        <v>284</v>
      </c>
      <c r="W202" s="2" t="s">
        <v>104</v>
      </c>
      <c r="X202" s="2" t="s">
        <v>581</v>
      </c>
      <c r="Y202" s="2" t="s">
        <v>879</v>
      </c>
      <c r="Z202" s="4">
        <v>211</v>
      </c>
      <c r="AA202" s="4">
        <f>=ROUNDDOWN(17.5833333333333,0)</f>
      </c>
      <c r="AB202" s="5">
        <v>12</v>
      </c>
      <c r="AC202" s="2" t="s">
        <v>695</v>
      </c>
      <c r="AD202" s="4">
        <v>130</v>
      </c>
      <c r="AE202" s="4">
        <v>380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7</v>
      </c>
      <c r="BK202" s="8">
        <v>478.11</v>
      </c>
      <c r="BL202" s="2" t="s">
        <v>880</v>
      </c>
      <c r="BM202" s="7"/>
      <c r="BN202" s="7"/>
      <c r="BO202" s="4"/>
      <c r="BP202" s="8"/>
      <c r="BQ202" s="4"/>
      <c r="BR202" s="8"/>
      <c r="BS202" s="7"/>
      <c r="BT202" s="7"/>
      <c r="BU202" s="2" t="s">
        <v>109</v>
      </c>
      <c r="BV202" s="2" t="s">
        <v>97</v>
      </c>
      <c r="BW202" s="2" t="s">
        <v>566</v>
      </c>
      <c r="BX202" s="2" t="s">
        <v>881</v>
      </c>
      <c r="BY202" s="2" t="s">
        <v>112</v>
      </c>
      <c r="BZ202" s="2" t="s">
        <v>100</v>
      </c>
    </row>
    <row r="203">
      <c r="A203" s="2" t="s">
        <v>882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864</v>
      </c>
      <c r="G203" s="2" t="s">
        <v>865</v>
      </c>
      <c r="H203" s="2" t="s">
        <v>866</v>
      </c>
      <c r="I203" s="2" t="s">
        <v>867</v>
      </c>
      <c r="J203" s="2" t="s">
        <v>120</v>
      </c>
      <c r="K203" s="2" t="s">
        <v>185</v>
      </c>
      <c r="L203" s="3">
        <v>70.55</v>
      </c>
      <c r="M203" s="3">
        <v>74.08</v>
      </c>
      <c r="N203" s="3">
        <v>149.99</v>
      </c>
      <c r="O203" s="2" t="s">
        <v>97</v>
      </c>
      <c r="P203" s="2" t="s">
        <v>98</v>
      </c>
      <c r="Q203" s="2" t="s">
        <v>99</v>
      </c>
      <c r="R203" s="2" t="s">
        <v>100</v>
      </c>
      <c r="S203" s="2" t="s">
        <v>878</v>
      </c>
      <c r="T203" s="2" t="s">
        <v>359</v>
      </c>
      <c r="U203" s="2" t="s">
        <v>102</v>
      </c>
      <c r="V203" s="2" t="s">
        <v>284</v>
      </c>
      <c r="W203" s="2" t="s">
        <v>104</v>
      </c>
      <c r="X203" s="2" t="s">
        <v>581</v>
      </c>
      <c r="Y203" s="2" t="s">
        <v>879</v>
      </c>
      <c r="Z203" s="4">
        <v>201</v>
      </c>
      <c r="AA203" s="4">
        <f>=ROUNDDOWN(18.2727272727273,0)</f>
      </c>
      <c r="AB203" s="5">
        <v>11</v>
      </c>
      <c r="AC203" s="2" t="s">
        <v>695</v>
      </c>
      <c r="AD203" s="4">
        <v>120</v>
      </c>
      <c r="AE203" s="4">
        <v>400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10</v>
      </c>
      <c r="BK203" s="8">
        <v>828.05</v>
      </c>
      <c r="BL203" s="2" t="s">
        <v>574</v>
      </c>
      <c r="BM203" s="7"/>
      <c r="BN203" s="7"/>
      <c r="BO203" s="4"/>
      <c r="BP203" s="8"/>
      <c r="BQ203" s="4"/>
      <c r="BR203" s="8"/>
      <c r="BS203" s="7"/>
      <c r="BT203" s="7"/>
      <c r="BU203" s="2" t="s">
        <v>109</v>
      </c>
      <c r="BV203" s="2" t="s">
        <v>97</v>
      </c>
      <c r="BW203" s="2" t="s">
        <v>566</v>
      </c>
      <c r="BX203" s="2" t="s">
        <v>567</v>
      </c>
      <c r="BY203" s="2" t="s">
        <v>112</v>
      </c>
      <c r="BZ203" s="2" t="s">
        <v>100</v>
      </c>
    </row>
    <row r="204">
      <c r="A204" s="2" t="s">
        <v>883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864</v>
      </c>
      <c r="G204" s="2" t="s">
        <v>865</v>
      </c>
      <c r="H204" s="2" t="s">
        <v>866</v>
      </c>
      <c r="I204" s="2" t="s">
        <v>867</v>
      </c>
      <c r="J204" s="2" t="s">
        <v>124</v>
      </c>
      <c r="K204" s="2" t="s">
        <v>185</v>
      </c>
      <c r="L204" s="3">
        <v>70.55</v>
      </c>
      <c r="M204" s="3">
        <v>74.08</v>
      </c>
      <c r="N204" s="3">
        <v>149.99</v>
      </c>
      <c r="O204" s="2" t="s">
        <v>97</v>
      </c>
      <c r="P204" s="2" t="s">
        <v>98</v>
      </c>
      <c r="Q204" s="2" t="s">
        <v>99</v>
      </c>
      <c r="R204" s="2" t="s">
        <v>100</v>
      </c>
      <c r="S204" s="2" t="s">
        <v>878</v>
      </c>
      <c r="T204" s="2" t="s">
        <v>359</v>
      </c>
      <c r="U204" s="2" t="s">
        <v>102</v>
      </c>
      <c r="V204" s="2" t="s">
        <v>284</v>
      </c>
      <c r="W204" s="2" t="s">
        <v>104</v>
      </c>
      <c r="X204" s="2" t="s">
        <v>581</v>
      </c>
      <c r="Y204" s="2" t="s">
        <v>879</v>
      </c>
      <c r="Z204" s="4">
        <v>184</v>
      </c>
      <c r="AA204" s="4">
        <f>=ROUNDDOWN(23,0)</f>
      </c>
      <c r="AB204" s="5">
        <v>8</v>
      </c>
      <c r="AC204" s="2" t="s">
        <v>695</v>
      </c>
      <c r="AD204" s="4">
        <v>100</v>
      </c>
      <c r="AE204" s="4">
        <v>260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/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1</v>
      </c>
      <c r="BK204" s="8">
        <v>78.12</v>
      </c>
      <c r="BL204" s="2" t="s">
        <v>715</v>
      </c>
      <c r="BM204" s="7"/>
      <c r="BN204" s="7"/>
      <c r="BO204" s="4"/>
      <c r="BP204" s="8"/>
      <c r="BQ204" s="4"/>
      <c r="BR204" s="8"/>
      <c r="BS204" s="7"/>
      <c r="BT204" s="7"/>
      <c r="BU204" s="2" t="s">
        <v>109</v>
      </c>
      <c r="BV204" s="2" t="s">
        <v>97</v>
      </c>
      <c r="BW204" s="2" t="s">
        <v>566</v>
      </c>
      <c r="BX204" s="2" t="s">
        <v>884</v>
      </c>
      <c r="BY204" s="2" t="s">
        <v>112</v>
      </c>
      <c r="BZ204" s="2" t="s">
        <v>100</v>
      </c>
    </row>
    <row r="205">
      <c r="A205" s="2" t="s">
        <v>885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864</v>
      </c>
      <c r="G205" s="2" t="s">
        <v>865</v>
      </c>
      <c r="H205" s="2" t="s">
        <v>866</v>
      </c>
      <c r="I205" s="2" t="s">
        <v>867</v>
      </c>
      <c r="J205" s="2" t="s">
        <v>114</v>
      </c>
      <c r="K205" s="2" t="s">
        <v>146</v>
      </c>
      <c r="L205" s="3">
        <v>61.73</v>
      </c>
      <c r="M205" s="3">
        <v>64.82</v>
      </c>
      <c r="N205" s="3">
        <v>129.99</v>
      </c>
      <c r="O205" s="2" t="s">
        <v>97</v>
      </c>
      <c r="P205" s="2" t="s">
        <v>98</v>
      </c>
      <c r="Q205" s="2" t="s">
        <v>99</v>
      </c>
      <c r="R205" s="2" t="s">
        <v>100</v>
      </c>
      <c r="S205" s="2" t="s">
        <v>886</v>
      </c>
      <c r="T205" s="2" t="s">
        <v>100</v>
      </c>
      <c r="U205" s="2" t="s">
        <v>102</v>
      </c>
      <c r="V205" s="2" t="s">
        <v>284</v>
      </c>
      <c r="W205" s="2" t="s">
        <v>104</v>
      </c>
      <c r="X205" s="2" t="s">
        <v>399</v>
      </c>
      <c r="Y205" s="2" t="s">
        <v>131</v>
      </c>
      <c r="Z205" s="4">
        <v>365</v>
      </c>
      <c r="AA205" s="4">
        <f>=ROUNDDOWN(36.5,0)</f>
      </c>
      <c r="AB205" s="5">
        <v>10</v>
      </c>
      <c r="AC205" s="2" t="s">
        <v>132</v>
      </c>
      <c r="AD205" s="4">
        <v>30</v>
      </c>
      <c r="AE205" s="4">
        <v>170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3</v>
      </c>
      <c r="BK205" s="8">
        <v>188.96</v>
      </c>
      <c r="BL205" s="2" t="s">
        <v>887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97</v>
      </c>
      <c r="BW205" s="2" t="s">
        <v>137</v>
      </c>
      <c r="BX205" s="2" t="s">
        <v>515</v>
      </c>
      <c r="BY205" s="2" t="s">
        <v>112</v>
      </c>
      <c r="BZ205" s="2" t="s">
        <v>100</v>
      </c>
    </row>
    <row r="206">
      <c r="A206" s="2" t="s">
        <v>888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864</v>
      </c>
      <c r="G206" s="2" t="s">
        <v>865</v>
      </c>
      <c r="H206" s="2" t="s">
        <v>866</v>
      </c>
      <c r="I206" s="2" t="s">
        <v>867</v>
      </c>
      <c r="J206" s="2" t="s">
        <v>120</v>
      </c>
      <c r="K206" s="2" t="s">
        <v>146</v>
      </c>
      <c r="L206" s="3">
        <v>70.55</v>
      </c>
      <c r="M206" s="3">
        <v>74.08</v>
      </c>
      <c r="N206" s="3">
        <v>149.99</v>
      </c>
      <c r="O206" s="2" t="s">
        <v>97</v>
      </c>
      <c r="P206" s="2" t="s">
        <v>98</v>
      </c>
      <c r="Q206" s="2" t="s">
        <v>99</v>
      </c>
      <c r="R206" s="2" t="s">
        <v>100</v>
      </c>
      <c r="S206" s="2" t="s">
        <v>886</v>
      </c>
      <c r="T206" s="2" t="s">
        <v>100</v>
      </c>
      <c r="U206" s="2" t="s">
        <v>102</v>
      </c>
      <c r="V206" s="2" t="s">
        <v>284</v>
      </c>
      <c r="W206" s="2" t="s">
        <v>104</v>
      </c>
      <c r="X206" s="2" t="s">
        <v>399</v>
      </c>
      <c r="Y206" s="2" t="s">
        <v>131</v>
      </c>
      <c r="Z206" s="4">
        <v>134</v>
      </c>
      <c r="AA206" s="4">
        <f>=ROUNDDOWN(14.8888888888889,0)</f>
      </c>
      <c r="AB206" s="5">
        <v>9</v>
      </c>
      <c r="AC206" s="2" t="s">
        <v>132</v>
      </c>
      <c r="AD206" s="4">
        <v>30</v>
      </c>
      <c r="AE206" s="4">
        <v>470</v>
      </c>
      <c r="AF206" s="6">
        <v>65</v>
      </c>
      <c r="AG206" s="6">
        <v>73</v>
      </c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100</v>
      </c>
      <c r="AW206" s="8" t="s">
        <v>100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/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 t="s">
        <v>100</v>
      </c>
      <c r="BJ206" s="4">
        <v>7</v>
      </c>
      <c r="BK206" s="8">
        <v>573.95</v>
      </c>
      <c r="BL206" s="2" t="s">
        <v>300</v>
      </c>
      <c r="BM206" s="7"/>
      <c r="BN206" s="7"/>
      <c r="BO206" s="4"/>
      <c r="BP206" s="8"/>
      <c r="BQ206" s="4"/>
      <c r="BR206" s="8"/>
      <c r="BS206" s="7"/>
      <c r="BT206" s="7"/>
      <c r="BU206" s="2" t="s">
        <v>109</v>
      </c>
      <c r="BV206" s="2" t="s">
        <v>97</v>
      </c>
      <c r="BW206" s="2" t="s">
        <v>137</v>
      </c>
      <c r="BX206" s="2" t="s">
        <v>889</v>
      </c>
      <c r="BY206" s="2" t="s">
        <v>112</v>
      </c>
      <c r="BZ206" s="2" t="s">
        <v>100</v>
      </c>
    </row>
    <row r="207">
      <c r="A207" s="2" t="s">
        <v>890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864</v>
      </c>
      <c r="G207" s="2" t="s">
        <v>865</v>
      </c>
      <c r="H207" s="2" t="s">
        <v>866</v>
      </c>
      <c r="I207" s="2" t="s">
        <v>867</v>
      </c>
      <c r="J207" s="2" t="s">
        <v>124</v>
      </c>
      <c r="K207" s="2" t="s">
        <v>146</v>
      </c>
      <c r="L207" s="3">
        <v>70.55</v>
      </c>
      <c r="M207" s="3">
        <v>74.08</v>
      </c>
      <c r="N207" s="3">
        <v>149.99</v>
      </c>
      <c r="O207" s="2" t="s">
        <v>97</v>
      </c>
      <c r="P207" s="2" t="s">
        <v>98</v>
      </c>
      <c r="Q207" s="2" t="s">
        <v>99</v>
      </c>
      <c r="R207" s="2" t="s">
        <v>100</v>
      </c>
      <c r="S207" s="2" t="s">
        <v>886</v>
      </c>
      <c r="T207" s="2" t="s">
        <v>100</v>
      </c>
      <c r="U207" s="2" t="s">
        <v>102</v>
      </c>
      <c r="V207" s="2" t="s">
        <v>284</v>
      </c>
      <c r="W207" s="2" t="s">
        <v>104</v>
      </c>
      <c r="X207" s="2" t="s">
        <v>399</v>
      </c>
      <c r="Y207" s="2" t="s">
        <v>131</v>
      </c>
      <c r="Z207" s="4">
        <v>197</v>
      </c>
      <c r="AA207" s="4">
        <f>=ROUNDDOWN(28.1428571428571,0)</f>
      </c>
      <c r="AB207" s="5">
        <v>7</v>
      </c>
      <c r="AC207" s="2" t="s">
        <v>132</v>
      </c>
      <c r="AD207" s="4">
        <v>30</v>
      </c>
      <c r="AE207" s="4">
        <v>250</v>
      </c>
      <c r="AF207" s="6">
        <v>65</v>
      </c>
      <c r="AG207" s="6">
        <v>73</v>
      </c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/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5</v>
      </c>
      <c r="BK207" s="8">
        <v>396.16</v>
      </c>
      <c r="BL207" s="2" t="s">
        <v>305</v>
      </c>
      <c r="BM207" s="7"/>
      <c r="BN207" s="7"/>
      <c r="BO207" s="4"/>
      <c r="BP207" s="8"/>
      <c r="BQ207" s="4"/>
      <c r="BR207" s="8"/>
      <c r="BS207" s="7"/>
      <c r="BT207" s="7"/>
      <c r="BU207" s="2" t="s">
        <v>109</v>
      </c>
      <c r="BV207" s="2" t="s">
        <v>97</v>
      </c>
      <c r="BW207" s="2" t="s">
        <v>137</v>
      </c>
      <c r="BX207" s="2" t="s">
        <v>891</v>
      </c>
      <c r="BY207" s="2" t="s">
        <v>112</v>
      </c>
      <c r="BZ207" s="2" t="s">
        <v>100</v>
      </c>
    </row>
    <row r="208">
      <c r="A208" s="2" t="s">
        <v>892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893</v>
      </c>
      <c r="G208" s="2" t="s">
        <v>894</v>
      </c>
      <c r="H208" s="2" t="s">
        <v>895</v>
      </c>
      <c r="I208" s="2" t="s">
        <v>896</v>
      </c>
      <c r="J208" s="2" t="s">
        <v>114</v>
      </c>
      <c r="K208" s="2" t="s">
        <v>163</v>
      </c>
      <c r="L208" s="3">
        <v>75.2</v>
      </c>
      <c r="M208" s="3">
        <v>78.96</v>
      </c>
      <c r="N208" s="3">
        <v>159.99</v>
      </c>
      <c r="O208" s="2" t="s">
        <v>97</v>
      </c>
      <c r="P208" s="2" t="s">
        <v>242</v>
      </c>
      <c r="Q208" s="2" t="s">
        <v>99</v>
      </c>
      <c r="R208" s="2" t="s">
        <v>100</v>
      </c>
      <c r="S208" s="2" t="s">
        <v>897</v>
      </c>
      <c r="T208" s="2" t="s">
        <v>359</v>
      </c>
      <c r="U208" s="2" t="s">
        <v>283</v>
      </c>
      <c r="V208" s="2" t="s">
        <v>677</v>
      </c>
      <c r="W208" s="2" t="s">
        <v>646</v>
      </c>
      <c r="X208" s="2" t="s">
        <v>898</v>
      </c>
      <c r="Y208" s="2" t="s">
        <v>899</v>
      </c>
      <c r="Z208" s="4">
        <v>312</v>
      </c>
      <c r="AA208" s="4">
        <f>=ROUNDDOWN(11.5555555555556,0)</f>
      </c>
      <c r="AB208" s="5">
        <v>27</v>
      </c>
      <c r="AC208" s="2" t="s">
        <v>900</v>
      </c>
      <c r="AD208" s="4">
        <v>183</v>
      </c>
      <c r="AE208" s="4">
        <v>757</v>
      </c>
      <c r="AF208" s="6">
        <v>65</v>
      </c>
      <c r="AG208" s="6">
        <v>73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1</v>
      </c>
      <c r="AQ208" s="8">
        <v>82.91</v>
      </c>
      <c r="AR208" s="4"/>
      <c r="AS208" s="8"/>
      <c r="AT208" s="7"/>
      <c r="AU208" s="7"/>
      <c r="AV208" s="4">
        <v>1</v>
      </c>
      <c r="AW208" s="8">
        <v>82.91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1</v>
      </c>
      <c r="BC208" s="4">
        <v>1</v>
      </c>
      <c r="BD208" s="8">
        <v>82.91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1</v>
      </c>
      <c r="BJ208" s="4">
        <v>18</v>
      </c>
      <c r="BK208" s="8">
        <v>1483.43</v>
      </c>
      <c r="BL208" s="2" t="s">
        <v>901</v>
      </c>
      <c r="BM208" s="7">
        <v>0.0556</v>
      </c>
      <c r="BN208" s="7">
        <v>0.0559</v>
      </c>
      <c r="BO208" s="4">
        <v>1</v>
      </c>
      <c r="BP208" s="8">
        <v>82.91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266</v>
      </c>
      <c r="BX208" s="2" t="s">
        <v>902</v>
      </c>
      <c r="BY208" s="2" t="s">
        <v>112</v>
      </c>
      <c r="BZ208" s="2" t="s">
        <v>100</v>
      </c>
    </row>
    <row r="209">
      <c r="A209" s="2" t="s">
        <v>903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893</v>
      </c>
      <c r="G209" s="2" t="s">
        <v>894</v>
      </c>
      <c r="H209" s="2" t="s">
        <v>895</v>
      </c>
      <c r="I209" s="2" t="s">
        <v>896</v>
      </c>
      <c r="J209" s="2" t="s">
        <v>120</v>
      </c>
      <c r="K209" s="2" t="s">
        <v>163</v>
      </c>
      <c r="L209" s="3">
        <v>84.6</v>
      </c>
      <c r="M209" s="3">
        <v>88.83</v>
      </c>
      <c r="N209" s="3">
        <v>179.99</v>
      </c>
      <c r="O209" s="2" t="s">
        <v>97</v>
      </c>
      <c r="P209" s="2" t="s">
        <v>242</v>
      </c>
      <c r="Q209" s="2" t="s">
        <v>99</v>
      </c>
      <c r="R209" s="2" t="s">
        <v>100</v>
      </c>
      <c r="S209" s="2" t="s">
        <v>897</v>
      </c>
      <c r="T209" s="2" t="s">
        <v>359</v>
      </c>
      <c r="U209" s="2" t="s">
        <v>283</v>
      </c>
      <c r="V209" s="2" t="s">
        <v>677</v>
      </c>
      <c r="W209" s="2" t="s">
        <v>646</v>
      </c>
      <c r="X209" s="2" t="s">
        <v>898</v>
      </c>
      <c r="Y209" s="2" t="s">
        <v>899</v>
      </c>
      <c r="Z209" s="4">
        <v>364</v>
      </c>
      <c r="AA209" s="4">
        <f>=ROUNDDOWN(20.2222222222222,0)</f>
      </c>
      <c r="AB209" s="5">
        <v>18</v>
      </c>
      <c r="AC209" s="2" t="s">
        <v>900</v>
      </c>
      <c r="AD209" s="4">
        <v>40</v>
      </c>
      <c r="AE209" s="4">
        <v>290</v>
      </c>
      <c r="AF209" s="6">
        <v>65</v>
      </c>
      <c r="AG209" s="6">
        <v>73</v>
      </c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/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16</v>
      </c>
      <c r="BK209" s="8">
        <v>1474.63</v>
      </c>
      <c r="BL209" s="2" t="s">
        <v>904</v>
      </c>
      <c r="BM209" s="7"/>
      <c r="BN209" s="7"/>
      <c r="BO209" s="4"/>
      <c r="BP209" s="8"/>
      <c r="BQ209" s="4"/>
      <c r="BR209" s="8"/>
      <c r="BS209" s="7"/>
      <c r="BT209" s="7"/>
      <c r="BU209" s="2" t="s">
        <v>109</v>
      </c>
      <c r="BV209" s="2" t="s">
        <v>97</v>
      </c>
      <c r="BW209" s="2" t="s">
        <v>266</v>
      </c>
      <c r="BX209" s="2" t="s">
        <v>905</v>
      </c>
      <c r="BY209" s="2" t="s">
        <v>112</v>
      </c>
      <c r="BZ209" s="2" t="s">
        <v>100</v>
      </c>
    </row>
    <row r="210">
      <c r="A210" s="2" t="s">
        <v>906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893</v>
      </c>
      <c r="G210" s="2" t="s">
        <v>894</v>
      </c>
      <c r="H210" s="2" t="s">
        <v>895</v>
      </c>
      <c r="I210" s="2" t="s">
        <v>896</v>
      </c>
      <c r="J210" s="2" t="s">
        <v>124</v>
      </c>
      <c r="K210" s="2" t="s">
        <v>163</v>
      </c>
      <c r="L210" s="3">
        <v>84.6</v>
      </c>
      <c r="M210" s="3">
        <v>88.83</v>
      </c>
      <c r="N210" s="3">
        <v>179.99</v>
      </c>
      <c r="O210" s="2" t="s">
        <v>97</v>
      </c>
      <c r="P210" s="2" t="s">
        <v>242</v>
      </c>
      <c r="Q210" s="2" t="s">
        <v>99</v>
      </c>
      <c r="R210" s="2" t="s">
        <v>100</v>
      </c>
      <c r="S210" s="2" t="s">
        <v>897</v>
      </c>
      <c r="T210" s="2" t="s">
        <v>359</v>
      </c>
      <c r="U210" s="2" t="s">
        <v>283</v>
      </c>
      <c r="V210" s="2" t="s">
        <v>677</v>
      </c>
      <c r="W210" s="2" t="s">
        <v>646</v>
      </c>
      <c r="X210" s="2" t="s">
        <v>898</v>
      </c>
      <c r="Y210" s="2" t="s">
        <v>899</v>
      </c>
      <c r="Z210" s="4">
        <v>169</v>
      </c>
      <c r="AA210" s="4">
        <f>=ROUNDDOWN(14.0833333333333,0)</f>
      </c>
      <c r="AB210" s="5">
        <v>12</v>
      </c>
      <c r="AC210" s="2" t="s">
        <v>907</v>
      </c>
      <c r="AD210" s="4">
        <v>30</v>
      </c>
      <c r="AE210" s="4">
        <v>375</v>
      </c>
      <c r="AF210" s="6">
        <v>65</v>
      </c>
      <c r="AG210" s="6">
        <v>73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100</v>
      </c>
      <c r="AW210" s="8" t="s">
        <v>100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/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 t="s">
        <v>100</v>
      </c>
      <c r="BJ210" s="4">
        <v>9</v>
      </c>
      <c r="BK210" s="8">
        <v>821.78</v>
      </c>
      <c r="BL210" s="2" t="s">
        <v>908</v>
      </c>
      <c r="BM210" s="7"/>
      <c r="BN210" s="7"/>
      <c r="BO210" s="4"/>
      <c r="BP210" s="8"/>
      <c r="BQ210" s="4"/>
      <c r="BR210" s="8"/>
      <c r="BS210" s="7"/>
      <c r="BT210" s="7"/>
      <c r="BU210" s="2" t="s">
        <v>109</v>
      </c>
      <c r="BV210" s="2" t="s">
        <v>97</v>
      </c>
      <c r="BW210" s="2" t="s">
        <v>266</v>
      </c>
      <c r="BX210" s="2" t="s">
        <v>909</v>
      </c>
      <c r="BY210" s="2" t="s">
        <v>112</v>
      </c>
      <c r="BZ210" s="2" t="s">
        <v>100</v>
      </c>
    </row>
    <row r="211">
      <c r="A211" s="2" t="s">
        <v>910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911</v>
      </c>
      <c r="G211" s="2" t="s">
        <v>912</v>
      </c>
      <c r="H211" s="2" t="s">
        <v>913</v>
      </c>
      <c r="I211" s="2" t="s">
        <v>660</v>
      </c>
      <c r="J211" s="2" t="s">
        <v>114</v>
      </c>
      <c r="K211" s="2" t="s">
        <v>914</v>
      </c>
      <c r="L211" s="3">
        <v>67.2</v>
      </c>
      <c r="M211" s="3">
        <v>70.55</v>
      </c>
      <c r="N211" s="3">
        <v>139.99</v>
      </c>
      <c r="O211" s="2" t="s">
        <v>97</v>
      </c>
      <c r="P211" s="2" t="s">
        <v>98</v>
      </c>
      <c r="Q211" s="2" t="s">
        <v>99</v>
      </c>
      <c r="R211" s="2" t="s">
        <v>100</v>
      </c>
      <c r="S211" s="2" t="s">
        <v>915</v>
      </c>
      <c r="T211" s="2" t="s">
        <v>100</v>
      </c>
      <c r="U211" s="2" t="s">
        <v>102</v>
      </c>
      <c r="V211" s="2" t="s">
        <v>734</v>
      </c>
      <c r="W211" s="2" t="s">
        <v>104</v>
      </c>
      <c r="X211" s="2" t="s">
        <v>916</v>
      </c>
      <c r="Y211" s="2" t="s">
        <v>131</v>
      </c>
      <c r="Z211" s="4">
        <v>284</v>
      </c>
      <c r="AA211" s="4">
        <f>=ROUNDDOWN(21.8461538461538,0)</f>
      </c>
      <c r="AB211" s="5">
        <v>13</v>
      </c>
      <c r="AC211" s="2" t="s">
        <v>429</v>
      </c>
      <c r="AD211" s="4">
        <v>300</v>
      </c>
      <c r="AE211" s="4">
        <v>300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>
        <v>1</v>
      </c>
      <c r="AW211" s="8">
        <v>82.2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/>
      <c r="BC211" s="4">
        <v>1</v>
      </c>
      <c r="BD211" s="8">
        <v>82.2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>
        <v>1</v>
      </c>
      <c r="BJ211" s="4">
        <v>15</v>
      </c>
      <c r="BK211" s="8">
        <v>992.76</v>
      </c>
      <c r="BL211" s="2" t="s">
        <v>917</v>
      </c>
      <c r="BM211" s="7"/>
      <c r="BN211" s="7"/>
      <c r="BO211" s="4"/>
      <c r="BP211" s="8"/>
      <c r="BQ211" s="4"/>
      <c r="BR211" s="8"/>
      <c r="BS211" s="7"/>
      <c r="BT211" s="7"/>
      <c r="BU211" s="2" t="s">
        <v>109</v>
      </c>
      <c r="BV211" s="2" t="s">
        <v>97</v>
      </c>
      <c r="BW211" s="2" t="s">
        <v>137</v>
      </c>
      <c r="BX211" s="2" t="s">
        <v>454</v>
      </c>
      <c r="BY211" s="2" t="s">
        <v>112</v>
      </c>
      <c r="BZ211" s="2" t="s">
        <v>100</v>
      </c>
    </row>
    <row r="212">
      <c r="A212" s="2" t="s">
        <v>918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911</v>
      </c>
      <c r="G212" s="2" t="s">
        <v>912</v>
      </c>
      <c r="H212" s="2" t="s">
        <v>913</v>
      </c>
      <c r="I212" s="2" t="s">
        <v>660</v>
      </c>
      <c r="J212" s="2" t="s">
        <v>120</v>
      </c>
      <c r="K212" s="2" t="s">
        <v>914</v>
      </c>
      <c r="L212" s="3">
        <v>76.8</v>
      </c>
      <c r="M212" s="3">
        <v>80.63</v>
      </c>
      <c r="N212" s="3">
        <v>159.99</v>
      </c>
      <c r="O212" s="2" t="s">
        <v>97</v>
      </c>
      <c r="P212" s="2" t="s">
        <v>98</v>
      </c>
      <c r="Q212" s="2" t="s">
        <v>99</v>
      </c>
      <c r="R212" s="2" t="s">
        <v>100</v>
      </c>
      <c r="S212" s="2" t="s">
        <v>915</v>
      </c>
      <c r="T212" s="2" t="s">
        <v>100</v>
      </c>
      <c r="U212" s="2" t="s">
        <v>102</v>
      </c>
      <c r="V212" s="2" t="s">
        <v>734</v>
      </c>
      <c r="W212" s="2" t="s">
        <v>104</v>
      </c>
      <c r="X212" s="2" t="s">
        <v>916</v>
      </c>
      <c r="Y212" s="2" t="s">
        <v>131</v>
      </c>
      <c r="Z212" s="4">
        <v>182</v>
      </c>
      <c r="AA212" s="4">
        <f>=ROUNDDOWN(18.2,0)</f>
      </c>
      <c r="AB212" s="5">
        <v>10</v>
      </c>
      <c r="AC212" s="2" t="s">
        <v>429</v>
      </c>
      <c r="AD212" s="4">
        <v>300</v>
      </c>
      <c r="AE212" s="4">
        <v>300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 t="s">
        <v>100</v>
      </c>
      <c r="BJ212" s="4">
        <v>9</v>
      </c>
      <c r="BK212" s="8">
        <v>659.44</v>
      </c>
      <c r="BL212" s="2" t="s">
        <v>919</v>
      </c>
      <c r="BM212" s="7"/>
      <c r="BN212" s="7"/>
      <c r="BO212" s="4"/>
      <c r="BP212" s="8"/>
      <c r="BQ212" s="4"/>
      <c r="BR212" s="8"/>
      <c r="BS212" s="7"/>
      <c r="BT212" s="7"/>
      <c r="BU212" s="2" t="s">
        <v>109</v>
      </c>
      <c r="BV212" s="2" t="s">
        <v>97</v>
      </c>
      <c r="BW212" s="2" t="s">
        <v>137</v>
      </c>
      <c r="BX212" s="2" t="s">
        <v>249</v>
      </c>
      <c r="BY212" s="2" t="s">
        <v>112</v>
      </c>
      <c r="BZ212" s="2" t="s">
        <v>100</v>
      </c>
    </row>
    <row r="213">
      <c r="A213" s="2" t="s">
        <v>920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911</v>
      </c>
      <c r="G213" s="2" t="s">
        <v>912</v>
      </c>
      <c r="H213" s="2" t="s">
        <v>913</v>
      </c>
      <c r="I213" s="2" t="s">
        <v>660</v>
      </c>
      <c r="J213" s="2" t="s">
        <v>124</v>
      </c>
      <c r="K213" s="2" t="s">
        <v>914</v>
      </c>
      <c r="L213" s="3">
        <v>76.8</v>
      </c>
      <c r="M213" s="3">
        <v>80.63</v>
      </c>
      <c r="N213" s="3">
        <v>159.99</v>
      </c>
      <c r="O213" s="2" t="s">
        <v>97</v>
      </c>
      <c r="P213" s="2" t="s">
        <v>98</v>
      </c>
      <c r="Q213" s="2" t="s">
        <v>99</v>
      </c>
      <c r="R213" s="2" t="s">
        <v>100</v>
      </c>
      <c r="S213" s="2" t="s">
        <v>915</v>
      </c>
      <c r="T213" s="2" t="s">
        <v>100</v>
      </c>
      <c r="U213" s="2" t="s">
        <v>102</v>
      </c>
      <c r="V213" s="2" t="s">
        <v>734</v>
      </c>
      <c r="W213" s="2" t="s">
        <v>104</v>
      </c>
      <c r="X213" s="2" t="s">
        <v>916</v>
      </c>
      <c r="Y213" s="2" t="s">
        <v>131</v>
      </c>
      <c r="Z213" s="4">
        <v>215</v>
      </c>
      <c r="AA213" s="4">
        <f>=ROUNDDOWN(43,0)</f>
      </c>
      <c r="AB213" s="5">
        <v>5</v>
      </c>
      <c r="AC213" s="2" t="s">
        <v>107</v>
      </c>
      <c r="AD213" s="4">
        <v>100</v>
      </c>
      <c r="AE213" s="4">
        <v>100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>
        <v>1</v>
      </c>
      <c r="AQ213" s="8">
        <v>82.2</v>
      </c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1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2</v>
      </c>
      <c r="BK213" s="8">
        <v>162.67</v>
      </c>
      <c r="BL213" s="2" t="s">
        <v>183</v>
      </c>
      <c r="BM213" s="7">
        <v>0.5</v>
      </c>
      <c r="BN213" s="7">
        <v>0.5053</v>
      </c>
      <c r="BO213" s="4">
        <v>1</v>
      </c>
      <c r="BP213" s="8">
        <v>82.2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137</v>
      </c>
      <c r="BX213" s="2" t="s">
        <v>225</v>
      </c>
      <c r="BY213" s="2" t="s">
        <v>112</v>
      </c>
      <c r="BZ213" s="2" t="s">
        <v>100</v>
      </c>
    </row>
    <row r="214">
      <c r="A214" s="2" t="s">
        <v>921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922</v>
      </c>
      <c r="G214" s="2" t="s">
        <v>923</v>
      </c>
      <c r="H214" s="2" t="s">
        <v>924</v>
      </c>
      <c r="I214" s="2" t="s">
        <v>754</v>
      </c>
      <c r="J214" s="2" t="s">
        <v>114</v>
      </c>
      <c r="K214" s="2" t="s">
        <v>372</v>
      </c>
      <c r="L214" s="3">
        <v>69.55</v>
      </c>
      <c r="M214" s="3">
        <v>73.03</v>
      </c>
      <c r="N214" s="3">
        <v>149.99</v>
      </c>
      <c r="O214" s="2" t="s">
        <v>97</v>
      </c>
      <c r="P214" s="2" t="s">
        <v>98</v>
      </c>
      <c r="Q214" s="2" t="s">
        <v>99</v>
      </c>
      <c r="R214" s="2" t="s">
        <v>100</v>
      </c>
      <c r="S214" s="2" t="s">
        <v>925</v>
      </c>
      <c r="T214" s="2" t="s">
        <v>100</v>
      </c>
      <c r="U214" s="2" t="s">
        <v>102</v>
      </c>
      <c r="V214" s="2" t="s">
        <v>344</v>
      </c>
      <c r="W214" s="2" t="s">
        <v>104</v>
      </c>
      <c r="X214" s="2" t="s">
        <v>399</v>
      </c>
      <c r="Y214" s="2" t="s">
        <v>131</v>
      </c>
      <c r="Z214" s="4">
        <v>620</v>
      </c>
      <c r="AA214" s="4">
        <f>=ROUNDDOWN(34.4444444444444,0)</f>
      </c>
      <c r="AB214" s="5">
        <v>18</v>
      </c>
      <c r="AC214" s="2" t="s">
        <v>100</v>
      </c>
      <c r="AD214" s="4"/>
      <c r="AE214" s="4"/>
      <c r="AF214" s="6">
        <v>65</v>
      </c>
      <c r="AG214" s="6">
        <v>48</v>
      </c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>
        <v>1</v>
      </c>
      <c r="AW214" s="8">
        <v>79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>
        <v>1</v>
      </c>
      <c r="BD214" s="8">
        <v>79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>
        <v>1</v>
      </c>
      <c r="BJ214" s="4">
        <v>19</v>
      </c>
      <c r="BK214" s="8">
        <v>1051.18</v>
      </c>
      <c r="BL214" s="2" t="s">
        <v>388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97</v>
      </c>
      <c r="BW214" s="2" t="s">
        <v>137</v>
      </c>
      <c r="BX214" s="2" t="s">
        <v>427</v>
      </c>
      <c r="BY214" s="2" t="s">
        <v>112</v>
      </c>
      <c r="BZ214" s="2" t="s">
        <v>100</v>
      </c>
    </row>
    <row r="215">
      <c r="A215" s="2" t="s">
        <v>926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922</v>
      </c>
      <c r="G215" s="2" t="s">
        <v>923</v>
      </c>
      <c r="H215" s="2" t="s">
        <v>924</v>
      </c>
      <c r="I215" s="2" t="s">
        <v>754</v>
      </c>
      <c r="J215" s="2" t="s">
        <v>120</v>
      </c>
      <c r="K215" s="2" t="s">
        <v>372</v>
      </c>
      <c r="L215" s="3">
        <v>81.21</v>
      </c>
      <c r="M215" s="3">
        <v>85.27</v>
      </c>
      <c r="N215" s="3">
        <v>169.99</v>
      </c>
      <c r="O215" s="2" t="s">
        <v>97</v>
      </c>
      <c r="P215" s="2" t="s">
        <v>98</v>
      </c>
      <c r="Q215" s="2" t="s">
        <v>99</v>
      </c>
      <c r="R215" s="2" t="s">
        <v>100</v>
      </c>
      <c r="S215" s="2" t="s">
        <v>925</v>
      </c>
      <c r="T215" s="2" t="s">
        <v>100</v>
      </c>
      <c r="U215" s="2" t="s">
        <v>102</v>
      </c>
      <c r="V215" s="2" t="s">
        <v>344</v>
      </c>
      <c r="W215" s="2" t="s">
        <v>104</v>
      </c>
      <c r="X215" s="2" t="s">
        <v>399</v>
      </c>
      <c r="Y215" s="2" t="s">
        <v>131</v>
      </c>
      <c r="Z215" s="4">
        <v>608</v>
      </c>
      <c r="AA215" s="4">
        <f>=ROUNDDOWN(43.4285714285714,0)</f>
      </c>
      <c r="AB215" s="5">
        <v>14</v>
      </c>
      <c r="AC215" s="2" t="s">
        <v>100</v>
      </c>
      <c r="AD215" s="4"/>
      <c r="AE215" s="4"/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/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9</v>
      </c>
      <c r="BK215" s="8">
        <v>722.69</v>
      </c>
      <c r="BL215" s="2" t="s">
        <v>927</v>
      </c>
      <c r="BM215" s="7"/>
      <c r="BN215" s="7"/>
      <c r="BO215" s="4"/>
      <c r="BP215" s="8"/>
      <c r="BQ215" s="4"/>
      <c r="BR215" s="8"/>
      <c r="BS215" s="7"/>
      <c r="BT215" s="7"/>
      <c r="BU215" s="2" t="s">
        <v>109</v>
      </c>
      <c r="BV215" s="2" t="s">
        <v>97</v>
      </c>
      <c r="BW215" s="2" t="s">
        <v>137</v>
      </c>
      <c r="BX215" s="2" t="s">
        <v>928</v>
      </c>
      <c r="BY215" s="2" t="s">
        <v>112</v>
      </c>
      <c r="BZ215" s="2" t="s">
        <v>100</v>
      </c>
    </row>
    <row r="216">
      <c r="A216" s="2" t="s">
        <v>929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922</v>
      </c>
      <c r="G216" s="2" t="s">
        <v>923</v>
      </c>
      <c r="H216" s="2" t="s">
        <v>924</v>
      </c>
      <c r="I216" s="2" t="s">
        <v>754</v>
      </c>
      <c r="J216" s="2" t="s">
        <v>124</v>
      </c>
      <c r="K216" s="2" t="s">
        <v>372</v>
      </c>
      <c r="L216" s="3">
        <v>81.21</v>
      </c>
      <c r="M216" s="3">
        <v>85.27</v>
      </c>
      <c r="N216" s="3">
        <v>169.99</v>
      </c>
      <c r="O216" s="2" t="s">
        <v>97</v>
      </c>
      <c r="P216" s="2" t="s">
        <v>98</v>
      </c>
      <c r="Q216" s="2" t="s">
        <v>99</v>
      </c>
      <c r="R216" s="2" t="s">
        <v>100</v>
      </c>
      <c r="S216" s="2" t="s">
        <v>925</v>
      </c>
      <c r="T216" s="2" t="s">
        <v>100</v>
      </c>
      <c r="U216" s="2" t="s">
        <v>102</v>
      </c>
      <c r="V216" s="2" t="s">
        <v>344</v>
      </c>
      <c r="W216" s="2" t="s">
        <v>104</v>
      </c>
      <c r="X216" s="2" t="s">
        <v>399</v>
      </c>
      <c r="Y216" s="2" t="s">
        <v>131</v>
      </c>
      <c r="Z216" s="4">
        <v>336</v>
      </c>
      <c r="AA216" s="4">
        <f>=ROUNDDOWN(48,0)</f>
      </c>
      <c r="AB216" s="5">
        <v>7</v>
      </c>
      <c r="AC216" s="2" t="s">
        <v>100</v>
      </c>
      <c r="AD216" s="4"/>
      <c r="AE216" s="4"/>
      <c r="AF216" s="6">
        <v>65</v>
      </c>
      <c r="AG216" s="6">
        <v>48</v>
      </c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1</v>
      </c>
      <c r="AQ216" s="8">
        <v>79</v>
      </c>
      <c r="AR216" s="4"/>
      <c r="AS216" s="8"/>
      <c r="AT216" s="7"/>
      <c r="AU216" s="7"/>
      <c r="AV216" s="4" t="s">
        <v>100</v>
      </c>
      <c r="AW216" s="8" t="s">
        <v>100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1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 t="s">
        <v>100</v>
      </c>
      <c r="BJ216" s="4">
        <v>2</v>
      </c>
      <c r="BK216" s="8">
        <v>164.28</v>
      </c>
      <c r="BL216" s="2" t="s">
        <v>930</v>
      </c>
      <c r="BM216" s="7">
        <v>0.5</v>
      </c>
      <c r="BN216" s="7">
        <v>0.4809</v>
      </c>
      <c r="BO216" s="4">
        <v>1</v>
      </c>
      <c r="BP216" s="8">
        <v>79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137</v>
      </c>
      <c r="BX216" s="2" t="s">
        <v>931</v>
      </c>
      <c r="BY216" s="2" t="s">
        <v>112</v>
      </c>
      <c r="BZ216" s="2" t="s">
        <v>100</v>
      </c>
    </row>
    <row r="217">
      <c r="A217" s="2" t="s">
        <v>932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922</v>
      </c>
      <c r="G217" s="2" t="s">
        <v>923</v>
      </c>
      <c r="H217" s="2" t="s">
        <v>924</v>
      </c>
      <c r="I217" s="2" t="s">
        <v>754</v>
      </c>
      <c r="J217" s="2" t="s">
        <v>114</v>
      </c>
      <c r="K217" s="2" t="s">
        <v>185</v>
      </c>
      <c r="L217" s="3">
        <v>69.55</v>
      </c>
      <c r="M217" s="3">
        <v>73.03</v>
      </c>
      <c r="N217" s="3">
        <v>149.99</v>
      </c>
      <c r="O217" s="2" t="s">
        <v>97</v>
      </c>
      <c r="P217" s="2" t="s">
        <v>98</v>
      </c>
      <c r="Q217" s="2" t="s">
        <v>99</v>
      </c>
      <c r="R217" s="2" t="s">
        <v>100</v>
      </c>
      <c r="S217" s="2" t="s">
        <v>933</v>
      </c>
      <c r="T217" s="2" t="s">
        <v>934</v>
      </c>
      <c r="U217" s="2" t="s">
        <v>102</v>
      </c>
      <c r="V217" s="2" t="s">
        <v>344</v>
      </c>
      <c r="W217" s="2" t="s">
        <v>104</v>
      </c>
      <c r="X217" s="2" t="s">
        <v>581</v>
      </c>
      <c r="Y217" s="2" t="s">
        <v>935</v>
      </c>
      <c r="Z217" s="4">
        <v>326</v>
      </c>
      <c r="AA217" s="4">
        <f>=ROUNDDOWN(23.2857142857143,0)</f>
      </c>
      <c r="AB217" s="5">
        <v>14</v>
      </c>
      <c r="AC217" s="2" t="s">
        <v>583</v>
      </c>
      <c r="AD217" s="4">
        <v>209</v>
      </c>
      <c r="AE217" s="4">
        <v>209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/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3</v>
      </c>
      <c r="BK217" s="8">
        <v>191.2</v>
      </c>
      <c r="BL217" s="2" t="s">
        <v>936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97</v>
      </c>
      <c r="BW217" s="2" t="s">
        <v>937</v>
      </c>
      <c r="BX217" s="2" t="s">
        <v>938</v>
      </c>
      <c r="BY217" s="2" t="s">
        <v>112</v>
      </c>
      <c r="BZ217" s="2" t="s">
        <v>100</v>
      </c>
    </row>
    <row r="218">
      <c r="A218" s="2" t="s">
        <v>939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922</v>
      </c>
      <c r="G218" s="2" t="s">
        <v>923</v>
      </c>
      <c r="H218" s="2" t="s">
        <v>924</v>
      </c>
      <c r="I218" s="2" t="s">
        <v>754</v>
      </c>
      <c r="J218" s="2" t="s">
        <v>120</v>
      </c>
      <c r="K218" s="2" t="s">
        <v>185</v>
      </c>
      <c r="L218" s="3">
        <v>81.21</v>
      </c>
      <c r="M218" s="3">
        <v>85.27</v>
      </c>
      <c r="N218" s="3">
        <v>169.99</v>
      </c>
      <c r="O218" s="2" t="s">
        <v>97</v>
      </c>
      <c r="P218" s="2" t="s">
        <v>98</v>
      </c>
      <c r="Q218" s="2" t="s">
        <v>99</v>
      </c>
      <c r="R218" s="2" t="s">
        <v>100</v>
      </c>
      <c r="S218" s="2" t="s">
        <v>933</v>
      </c>
      <c r="T218" s="2" t="s">
        <v>934</v>
      </c>
      <c r="U218" s="2" t="s">
        <v>102</v>
      </c>
      <c r="V218" s="2" t="s">
        <v>344</v>
      </c>
      <c r="W218" s="2" t="s">
        <v>104</v>
      </c>
      <c r="X218" s="2" t="s">
        <v>581</v>
      </c>
      <c r="Y218" s="2" t="s">
        <v>935</v>
      </c>
      <c r="Z218" s="4">
        <v>288</v>
      </c>
      <c r="AA218" s="4">
        <f>=ROUNDDOWN(32,0)</f>
      </c>
      <c r="AB218" s="5">
        <v>9</v>
      </c>
      <c r="AC218" s="2" t="s">
        <v>583</v>
      </c>
      <c r="AD218" s="4">
        <v>150</v>
      </c>
      <c r="AE218" s="4">
        <v>150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6</v>
      </c>
      <c r="BK218" s="8">
        <v>481.88</v>
      </c>
      <c r="BL218" s="2" t="s">
        <v>940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97</v>
      </c>
      <c r="BW218" s="2" t="s">
        <v>270</v>
      </c>
      <c r="BX218" s="2" t="s">
        <v>941</v>
      </c>
      <c r="BY218" s="2" t="s">
        <v>112</v>
      </c>
      <c r="BZ218" s="2" t="s">
        <v>100</v>
      </c>
    </row>
    <row r="219">
      <c r="A219" s="2" t="s">
        <v>942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922</v>
      </c>
      <c r="G219" s="2" t="s">
        <v>923</v>
      </c>
      <c r="H219" s="2" t="s">
        <v>924</v>
      </c>
      <c r="I219" s="2" t="s">
        <v>754</v>
      </c>
      <c r="J219" s="2" t="s">
        <v>124</v>
      </c>
      <c r="K219" s="2" t="s">
        <v>185</v>
      </c>
      <c r="L219" s="3">
        <v>81.21</v>
      </c>
      <c r="M219" s="3">
        <v>85.27</v>
      </c>
      <c r="N219" s="3">
        <v>169.99</v>
      </c>
      <c r="O219" s="2" t="s">
        <v>97</v>
      </c>
      <c r="P219" s="2" t="s">
        <v>98</v>
      </c>
      <c r="Q219" s="2" t="s">
        <v>99</v>
      </c>
      <c r="R219" s="2" t="s">
        <v>100</v>
      </c>
      <c r="S219" s="2" t="s">
        <v>933</v>
      </c>
      <c r="T219" s="2" t="s">
        <v>934</v>
      </c>
      <c r="U219" s="2" t="s">
        <v>102</v>
      </c>
      <c r="V219" s="2" t="s">
        <v>344</v>
      </c>
      <c r="W219" s="2" t="s">
        <v>104</v>
      </c>
      <c r="X219" s="2" t="s">
        <v>581</v>
      </c>
      <c r="Y219" s="2" t="s">
        <v>943</v>
      </c>
      <c r="Z219" s="4">
        <v>157</v>
      </c>
      <c r="AA219" s="4">
        <f>=ROUNDDOWN(26.1666666666667,0)</f>
      </c>
      <c r="AB219" s="5">
        <v>6</v>
      </c>
      <c r="AC219" s="2" t="s">
        <v>583</v>
      </c>
      <c r="AD219" s="4">
        <v>70</v>
      </c>
      <c r="AE219" s="4">
        <v>70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/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 t="s">
        <v>100</v>
      </c>
      <c r="BJ219" s="4">
        <v>4</v>
      </c>
      <c r="BK219" s="8">
        <v>300.65</v>
      </c>
      <c r="BL219" s="2" t="s">
        <v>944</v>
      </c>
      <c r="BM219" s="7"/>
      <c r="BN219" s="7"/>
      <c r="BO219" s="4"/>
      <c r="BP219" s="8"/>
      <c r="BQ219" s="4"/>
      <c r="BR219" s="8"/>
      <c r="BS219" s="7"/>
      <c r="BT219" s="7"/>
      <c r="BU219" s="2" t="s">
        <v>109</v>
      </c>
      <c r="BV219" s="2" t="s">
        <v>97</v>
      </c>
      <c r="BW219" s="2" t="s">
        <v>945</v>
      </c>
      <c r="BX219" s="2" t="s">
        <v>946</v>
      </c>
      <c r="BY219" s="2" t="s">
        <v>112</v>
      </c>
      <c r="BZ219" s="2" t="s">
        <v>100</v>
      </c>
    </row>
    <row r="220">
      <c r="A220" s="2" t="s">
        <v>947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922</v>
      </c>
      <c r="G220" s="2" t="s">
        <v>923</v>
      </c>
      <c r="H220" s="2" t="s">
        <v>924</v>
      </c>
      <c r="I220" s="2" t="s">
        <v>754</v>
      </c>
      <c r="J220" s="2" t="s">
        <v>114</v>
      </c>
      <c r="K220" s="2" t="s">
        <v>253</v>
      </c>
      <c r="L220" s="3">
        <v>69.55</v>
      </c>
      <c r="M220" s="3">
        <v>73.03</v>
      </c>
      <c r="N220" s="3">
        <v>149.99</v>
      </c>
      <c r="O220" s="2" t="s">
        <v>97</v>
      </c>
      <c r="P220" s="2" t="s">
        <v>98</v>
      </c>
      <c r="Q220" s="2" t="s">
        <v>99</v>
      </c>
      <c r="R220" s="2" t="s">
        <v>100</v>
      </c>
      <c r="S220" s="2" t="s">
        <v>948</v>
      </c>
      <c r="T220" s="2" t="s">
        <v>100</v>
      </c>
      <c r="U220" s="2" t="s">
        <v>102</v>
      </c>
      <c r="V220" s="2" t="s">
        <v>344</v>
      </c>
      <c r="W220" s="2" t="s">
        <v>104</v>
      </c>
      <c r="X220" s="2" t="s">
        <v>399</v>
      </c>
      <c r="Y220" s="2" t="s">
        <v>131</v>
      </c>
      <c r="Z220" s="4">
        <v>897</v>
      </c>
      <c r="AA220" s="4">
        <f>=ROUNDDOWN(39,0)</f>
      </c>
      <c r="AB220" s="5">
        <v>23</v>
      </c>
      <c r="AC220" s="2" t="s">
        <v>100</v>
      </c>
      <c r="AD220" s="4"/>
      <c r="AE220" s="4"/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/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18</v>
      </c>
      <c r="BK220" s="8">
        <v>1304.59</v>
      </c>
      <c r="BL220" s="2" t="s">
        <v>949</v>
      </c>
      <c r="BM220" s="7"/>
      <c r="BN220" s="7"/>
      <c r="BO220" s="4"/>
      <c r="BP220" s="8"/>
      <c r="BQ220" s="4"/>
      <c r="BR220" s="8"/>
      <c r="BS220" s="7"/>
      <c r="BT220" s="7"/>
      <c r="BU220" s="2" t="s">
        <v>109</v>
      </c>
      <c r="BV220" s="2" t="s">
        <v>97</v>
      </c>
      <c r="BW220" s="2" t="s">
        <v>122</v>
      </c>
      <c r="BX220" s="2" t="s">
        <v>950</v>
      </c>
      <c r="BY220" s="2" t="s">
        <v>112</v>
      </c>
      <c r="BZ220" s="2" t="s">
        <v>100</v>
      </c>
    </row>
    <row r="221">
      <c r="A221" s="2" t="s">
        <v>951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922</v>
      </c>
      <c r="G221" s="2" t="s">
        <v>923</v>
      </c>
      <c r="H221" s="2" t="s">
        <v>924</v>
      </c>
      <c r="I221" s="2" t="s">
        <v>754</v>
      </c>
      <c r="J221" s="2" t="s">
        <v>120</v>
      </c>
      <c r="K221" s="2" t="s">
        <v>253</v>
      </c>
      <c r="L221" s="3">
        <v>81.21</v>
      </c>
      <c r="M221" s="3">
        <v>85.27</v>
      </c>
      <c r="N221" s="3">
        <v>169.99</v>
      </c>
      <c r="O221" s="2" t="s">
        <v>97</v>
      </c>
      <c r="P221" s="2" t="s">
        <v>98</v>
      </c>
      <c r="Q221" s="2" t="s">
        <v>99</v>
      </c>
      <c r="R221" s="2" t="s">
        <v>100</v>
      </c>
      <c r="S221" s="2" t="s">
        <v>948</v>
      </c>
      <c r="T221" s="2" t="s">
        <v>100</v>
      </c>
      <c r="U221" s="2" t="s">
        <v>102</v>
      </c>
      <c r="V221" s="2" t="s">
        <v>344</v>
      </c>
      <c r="W221" s="2" t="s">
        <v>104</v>
      </c>
      <c r="X221" s="2" t="s">
        <v>399</v>
      </c>
      <c r="Y221" s="2" t="s">
        <v>131</v>
      </c>
      <c r="Z221" s="4">
        <v>400</v>
      </c>
      <c r="AA221" s="4">
        <f>=ROUNDDOWN(25,0)</f>
      </c>
      <c r="AB221" s="5">
        <v>16</v>
      </c>
      <c r="AC221" s="2" t="s">
        <v>100</v>
      </c>
      <c r="AD221" s="4"/>
      <c r="AE221" s="4"/>
      <c r="AF221" s="6">
        <v>65</v>
      </c>
      <c r="AG221" s="6">
        <v>48</v>
      </c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/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 t="s">
        <v>100</v>
      </c>
      <c r="BJ221" s="4">
        <v>4</v>
      </c>
      <c r="BK221" s="8">
        <v>320.49</v>
      </c>
      <c r="BL221" s="2" t="s">
        <v>830</v>
      </c>
      <c r="BM221" s="7"/>
      <c r="BN221" s="7"/>
      <c r="BO221" s="4"/>
      <c r="BP221" s="8"/>
      <c r="BQ221" s="4"/>
      <c r="BR221" s="8"/>
      <c r="BS221" s="7"/>
      <c r="BT221" s="7"/>
      <c r="BU221" s="2" t="s">
        <v>109</v>
      </c>
      <c r="BV221" s="2" t="s">
        <v>97</v>
      </c>
      <c r="BW221" s="2" t="s">
        <v>122</v>
      </c>
      <c r="BX221" s="2" t="s">
        <v>173</v>
      </c>
      <c r="BY221" s="2" t="s">
        <v>112</v>
      </c>
      <c r="BZ221" s="2" t="s">
        <v>100</v>
      </c>
    </row>
    <row r="222">
      <c r="A222" s="2" t="s">
        <v>952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922</v>
      </c>
      <c r="G222" s="2" t="s">
        <v>923</v>
      </c>
      <c r="H222" s="2" t="s">
        <v>924</v>
      </c>
      <c r="I222" s="2" t="s">
        <v>754</v>
      </c>
      <c r="J222" s="2" t="s">
        <v>124</v>
      </c>
      <c r="K222" s="2" t="s">
        <v>253</v>
      </c>
      <c r="L222" s="3">
        <v>81.21</v>
      </c>
      <c r="M222" s="3">
        <v>85.27</v>
      </c>
      <c r="N222" s="3">
        <v>169.99</v>
      </c>
      <c r="O222" s="2" t="s">
        <v>97</v>
      </c>
      <c r="P222" s="2" t="s">
        <v>98</v>
      </c>
      <c r="Q222" s="2" t="s">
        <v>99</v>
      </c>
      <c r="R222" s="2" t="s">
        <v>100</v>
      </c>
      <c r="S222" s="2" t="s">
        <v>948</v>
      </c>
      <c r="T222" s="2" t="s">
        <v>100</v>
      </c>
      <c r="U222" s="2" t="s">
        <v>102</v>
      </c>
      <c r="V222" s="2" t="s">
        <v>344</v>
      </c>
      <c r="W222" s="2" t="s">
        <v>104</v>
      </c>
      <c r="X222" s="2" t="s">
        <v>399</v>
      </c>
      <c r="Y222" s="2" t="s">
        <v>131</v>
      </c>
      <c r="Z222" s="4">
        <v>228</v>
      </c>
      <c r="AA222" s="4">
        <f>=ROUNDDOWN(38,0)</f>
      </c>
      <c r="AB222" s="5">
        <v>6</v>
      </c>
      <c r="AC222" s="2" t="s">
        <v>100</v>
      </c>
      <c r="AD222" s="4"/>
      <c r="AE222" s="4"/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/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 t="s">
        <v>100</v>
      </c>
      <c r="BJ222" s="4">
        <v>1</v>
      </c>
      <c r="BK222" s="8">
        <v>82.67</v>
      </c>
      <c r="BL222" s="2" t="s">
        <v>625</v>
      </c>
      <c r="BM222" s="7"/>
      <c r="BN222" s="7"/>
      <c r="BO222" s="4"/>
      <c r="BP222" s="8"/>
      <c r="BQ222" s="4"/>
      <c r="BR222" s="8"/>
      <c r="BS222" s="7"/>
      <c r="BT222" s="7"/>
      <c r="BU222" s="2" t="s">
        <v>109</v>
      </c>
      <c r="BV222" s="2" t="s">
        <v>97</v>
      </c>
      <c r="BW222" s="2" t="s">
        <v>122</v>
      </c>
      <c r="BX222" s="2" t="s">
        <v>196</v>
      </c>
      <c r="BY222" s="2" t="s">
        <v>112</v>
      </c>
      <c r="BZ222" s="2" t="s">
        <v>100</v>
      </c>
    </row>
    <row r="223">
      <c r="A223" s="2" t="s">
        <v>953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922</v>
      </c>
      <c r="G223" s="2" t="s">
        <v>923</v>
      </c>
      <c r="H223" s="2" t="s">
        <v>924</v>
      </c>
      <c r="I223" s="2" t="s">
        <v>754</v>
      </c>
      <c r="J223" s="2" t="s">
        <v>114</v>
      </c>
      <c r="K223" s="2" t="s">
        <v>763</v>
      </c>
      <c r="L223" s="3">
        <v>69.55</v>
      </c>
      <c r="M223" s="3">
        <v>73.03</v>
      </c>
      <c r="N223" s="3">
        <v>149.99</v>
      </c>
      <c r="O223" s="2" t="s">
        <v>97</v>
      </c>
      <c r="P223" s="2" t="s">
        <v>242</v>
      </c>
      <c r="Q223" s="2" t="s">
        <v>99</v>
      </c>
      <c r="R223" s="2" t="s">
        <v>100</v>
      </c>
      <c r="S223" s="2" t="s">
        <v>954</v>
      </c>
      <c r="T223" s="2" t="s">
        <v>100</v>
      </c>
      <c r="U223" s="2" t="s">
        <v>102</v>
      </c>
      <c r="V223" s="2" t="s">
        <v>344</v>
      </c>
      <c r="W223" s="2" t="s">
        <v>104</v>
      </c>
      <c r="X223" s="2" t="s">
        <v>399</v>
      </c>
      <c r="Y223" s="2" t="s">
        <v>131</v>
      </c>
      <c r="Z223" s="4">
        <v>1138</v>
      </c>
      <c r="AA223" s="4">
        <f>=ROUNDDOWN(39.2413793103448,0)</f>
      </c>
      <c r="AB223" s="5">
        <v>29</v>
      </c>
      <c r="AC223" s="2" t="s">
        <v>955</v>
      </c>
      <c r="AD223" s="4">
        <v>150</v>
      </c>
      <c r="AE223" s="4">
        <v>150</v>
      </c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/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16</v>
      </c>
      <c r="BK223" s="8">
        <v>1141.58</v>
      </c>
      <c r="BL223" s="2" t="s">
        <v>927</v>
      </c>
      <c r="BM223" s="7"/>
      <c r="BN223" s="7"/>
      <c r="BO223" s="4"/>
      <c r="BP223" s="8"/>
      <c r="BQ223" s="4"/>
      <c r="BR223" s="8"/>
      <c r="BS223" s="7"/>
      <c r="BT223" s="7"/>
      <c r="BU223" s="2" t="s">
        <v>109</v>
      </c>
      <c r="BV223" s="2" t="s">
        <v>97</v>
      </c>
      <c r="BW223" s="2" t="s">
        <v>122</v>
      </c>
      <c r="BX223" s="2" t="s">
        <v>189</v>
      </c>
      <c r="BY223" s="2" t="s">
        <v>112</v>
      </c>
      <c r="BZ223" s="2" t="s">
        <v>100</v>
      </c>
    </row>
    <row r="224">
      <c r="A224" s="2" t="s">
        <v>956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922</v>
      </c>
      <c r="G224" s="2" t="s">
        <v>923</v>
      </c>
      <c r="H224" s="2" t="s">
        <v>924</v>
      </c>
      <c r="I224" s="2" t="s">
        <v>754</v>
      </c>
      <c r="J224" s="2" t="s">
        <v>120</v>
      </c>
      <c r="K224" s="2" t="s">
        <v>763</v>
      </c>
      <c r="L224" s="3">
        <v>81.21</v>
      </c>
      <c r="M224" s="3">
        <v>85.27</v>
      </c>
      <c r="N224" s="3">
        <v>169.99</v>
      </c>
      <c r="O224" s="2" t="s">
        <v>97</v>
      </c>
      <c r="P224" s="2" t="s">
        <v>242</v>
      </c>
      <c r="Q224" s="2" t="s">
        <v>99</v>
      </c>
      <c r="R224" s="2" t="s">
        <v>100</v>
      </c>
      <c r="S224" s="2" t="s">
        <v>954</v>
      </c>
      <c r="T224" s="2" t="s">
        <v>100</v>
      </c>
      <c r="U224" s="2" t="s">
        <v>102</v>
      </c>
      <c r="V224" s="2" t="s">
        <v>344</v>
      </c>
      <c r="W224" s="2" t="s">
        <v>104</v>
      </c>
      <c r="X224" s="2" t="s">
        <v>399</v>
      </c>
      <c r="Y224" s="2" t="s">
        <v>131</v>
      </c>
      <c r="Z224" s="4">
        <v>788</v>
      </c>
      <c r="AA224" s="4">
        <f>=ROUNDDOWN(23.8787878787879,0)</f>
      </c>
      <c r="AB224" s="5">
        <v>33</v>
      </c>
      <c r="AC224" s="2" t="s">
        <v>400</v>
      </c>
      <c r="AD224" s="4">
        <v>200</v>
      </c>
      <c r="AE224" s="4">
        <v>480</v>
      </c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/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 t="s">
        <v>100</v>
      </c>
      <c r="BJ224" s="4">
        <v>25</v>
      </c>
      <c r="BK224" s="8">
        <v>2001.61</v>
      </c>
      <c r="BL224" s="2" t="s">
        <v>957</v>
      </c>
      <c r="BM224" s="7"/>
      <c r="BN224" s="7"/>
      <c r="BO224" s="4"/>
      <c r="BP224" s="8"/>
      <c r="BQ224" s="4"/>
      <c r="BR224" s="8"/>
      <c r="BS224" s="7"/>
      <c r="BT224" s="7"/>
      <c r="BU224" s="2" t="s">
        <v>109</v>
      </c>
      <c r="BV224" s="2" t="s">
        <v>97</v>
      </c>
      <c r="BW224" s="2" t="s">
        <v>122</v>
      </c>
      <c r="BX224" s="2" t="s">
        <v>134</v>
      </c>
      <c r="BY224" s="2" t="s">
        <v>112</v>
      </c>
      <c r="BZ224" s="2" t="s">
        <v>100</v>
      </c>
    </row>
    <row r="225">
      <c r="A225" s="2" t="s">
        <v>958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922</v>
      </c>
      <c r="G225" s="2" t="s">
        <v>923</v>
      </c>
      <c r="H225" s="2" t="s">
        <v>924</v>
      </c>
      <c r="I225" s="2" t="s">
        <v>754</v>
      </c>
      <c r="J225" s="2" t="s">
        <v>124</v>
      </c>
      <c r="K225" s="2" t="s">
        <v>763</v>
      </c>
      <c r="L225" s="3">
        <v>81.21</v>
      </c>
      <c r="M225" s="3">
        <v>85.27</v>
      </c>
      <c r="N225" s="3">
        <v>169.99</v>
      </c>
      <c r="O225" s="2" t="s">
        <v>97</v>
      </c>
      <c r="P225" s="2" t="s">
        <v>242</v>
      </c>
      <c r="Q225" s="2" t="s">
        <v>99</v>
      </c>
      <c r="R225" s="2" t="s">
        <v>100</v>
      </c>
      <c r="S225" s="2" t="s">
        <v>954</v>
      </c>
      <c r="T225" s="2" t="s">
        <v>100</v>
      </c>
      <c r="U225" s="2" t="s">
        <v>102</v>
      </c>
      <c r="V225" s="2" t="s">
        <v>344</v>
      </c>
      <c r="W225" s="2" t="s">
        <v>104</v>
      </c>
      <c r="X225" s="2" t="s">
        <v>399</v>
      </c>
      <c r="Y225" s="2" t="s">
        <v>959</v>
      </c>
      <c r="Z225" s="4">
        <v>317</v>
      </c>
      <c r="AA225" s="4">
        <f>=ROUNDDOWN(21.1333333333333,0)</f>
      </c>
      <c r="AB225" s="5">
        <v>15</v>
      </c>
      <c r="AC225" s="2" t="s">
        <v>955</v>
      </c>
      <c r="AD225" s="4">
        <v>100</v>
      </c>
      <c r="AE225" s="4">
        <v>100</v>
      </c>
      <c r="AF225" s="6">
        <v>65</v>
      </c>
      <c r="AG225" s="6">
        <v>48</v>
      </c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/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6</v>
      </c>
      <c r="BK225" s="8">
        <v>474.68</v>
      </c>
      <c r="BL225" s="2" t="s">
        <v>960</v>
      </c>
      <c r="BM225" s="7"/>
      <c r="BN225" s="7"/>
      <c r="BO225" s="4"/>
      <c r="BP225" s="8"/>
      <c r="BQ225" s="4"/>
      <c r="BR225" s="8"/>
      <c r="BS225" s="7"/>
      <c r="BT225" s="7"/>
      <c r="BU225" s="2" t="s">
        <v>109</v>
      </c>
      <c r="BV225" s="2" t="s">
        <v>97</v>
      </c>
      <c r="BW225" s="2" t="s">
        <v>122</v>
      </c>
      <c r="BX225" s="2" t="s">
        <v>889</v>
      </c>
      <c r="BY225" s="2" t="s">
        <v>112</v>
      </c>
      <c r="BZ225" s="2" t="s">
        <v>100</v>
      </c>
    </row>
    <row r="226">
      <c r="A226" s="2" t="s">
        <v>961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922</v>
      </c>
      <c r="G226" s="2" t="s">
        <v>923</v>
      </c>
      <c r="H226" s="2" t="s">
        <v>924</v>
      </c>
      <c r="I226" s="2" t="s">
        <v>754</v>
      </c>
      <c r="J226" s="2" t="s">
        <v>114</v>
      </c>
      <c r="K226" s="2" t="s">
        <v>416</v>
      </c>
      <c r="L226" s="3">
        <v>69.55</v>
      </c>
      <c r="M226" s="3">
        <v>73.03</v>
      </c>
      <c r="N226" s="3">
        <v>149.99</v>
      </c>
      <c r="O226" s="2" t="s">
        <v>97</v>
      </c>
      <c r="P226" s="2" t="s">
        <v>447</v>
      </c>
      <c r="Q226" s="2" t="s">
        <v>99</v>
      </c>
      <c r="R226" s="2" t="s">
        <v>100</v>
      </c>
      <c r="S226" s="2" t="s">
        <v>962</v>
      </c>
      <c r="T226" s="2" t="s">
        <v>100</v>
      </c>
      <c r="U226" s="2" t="s">
        <v>102</v>
      </c>
      <c r="V226" s="2" t="s">
        <v>344</v>
      </c>
      <c r="W226" s="2" t="s">
        <v>104</v>
      </c>
      <c r="X226" s="2" t="s">
        <v>399</v>
      </c>
      <c r="Y226" s="2" t="s">
        <v>963</v>
      </c>
      <c r="Z226" s="4">
        <v>187</v>
      </c>
      <c r="AA226" s="4">
        <f>=ROUNDDOWN(26.7142857142857,0)</f>
      </c>
      <c r="AB226" s="5">
        <v>7</v>
      </c>
      <c r="AC226" s="2" t="s">
        <v>100</v>
      </c>
      <c r="AD226" s="4"/>
      <c r="AE226" s="4"/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/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5</v>
      </c>
      <c r="BK226" s="8">
        <v>332.2</v>
      </c>
      <c r="BL226" s="2" t="s">
        <v>388</v>
      </c>
      <c r="BM226" s="7"/>
      <c r="BN226" s="7"/>
      <c r="BO226" s="4"/>
      <c r="BP226" s="8"/>
      <c r="BQ226" s="4"/>
      <c r="BR226" s="8"/>
      <c r="BS226" s="7"/>
      <c r="BT226" s="7"/>
      <c r="BU226" s="2" t="s">
        <v>109</v>
      </c>
      <c r="BV226" s="2" t="s">
        <v>97</v>
      </c>
      <c r="BW226" s="2" t="s">
        <v>266</v>
      </c>
      <c r="BX226" s="2" t="s">
        <v>964</v>
      </c>
      <c r="BY226" s="2" t="s">
        <v>112</v>
      </c>
      <c r="BZ226" s="2" t="s">
        <v>100</v>
      </c>
    </row>
    <row r="227">
      <c r="A227" s="2" t="s">
        <v>965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922</v>
      </c>
      <c r="G227" s="2" t="s">
        <v>923</v>
      </c>
      <c r="H227" s="2" t="s">
        <v>924</v>
      </c>
      <c r="I227" s="2" t="s">
        <v>754</v>
      </c>
      <c r="J227" s="2" t="s">
        <v>120</v>
      </c>
      <c r="K227" s="2" t="s">
        <v>416</v>
      </c>
      <c r="L227" s="3">
        <v>81.21</v>
      </c>
      <c r="M227" s="3">
        <v>85.27</v>
      </c>
      <c r="N227" s="3">
        <v>169.99</v>
      </c>
      <c r="O227" s="2" t="s">
        <v>97</v>
      </c>
      <c r="P227" s="2" t="s">
        <v>447</v>
      </c>
      <c r="Q227" s="2" t="s">
        <v>99</v>
      </c>
      <c r="R227" s="2" t="s">
        <v>100</v>
      </c>
      <c r="S227" s="2" t="s">
        <v>962</v>
      </c>
      <c r="T227" s="2" t="s">
        <v>100</v>
      </c>
      <c r="U227" s="2" t="s">
        <v>102</v>
      </c>
      <c r="V227" s="2" t="s">
        <v>344</v>
      </c>
      <c r="W227" s="2" t="s">
        <v>104</v>
      </c>
      <c r="X227" s="2" t="s">
        <v>399</v>
      </c>
      <c r="Y227" s="2" t="s">
        <v>963</v>
      </c>
      <c r="Z227" s="4">
        <v>236</v>
      </c>
      <c r="AA227" s="4">
        <f>=ROUNDDOWN(33.7142857142857,0)</f>
      </c>
      <c r="AB227" s="5">
        <v>7</v>
      </c>
      <c r="AC227" s="2" t="s">
        <v>100</v>
      </c>
      <c r="AD227" s="4"/>
      <c r="AE227" s="4"/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/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6</v>
      </c>
      <c r="BK227" s="8">
        <v>483.7</v>
      </c>
      <c r="BL227" s="2" t="s">
        <v>966</v>
      </c>
      <c r="BM227" s="7"/>
      <c r="BN227" s="7"/>
      <c r="BO227" s="4"/>
      <c r="BP227" s="8"/>
      <c r="BQ227" s="4"/>
      <c r="BR227" s="8"/>
      <c r="BS227" s="7"/>
      <c r="BT227" s="7"/>
      <c r="BU227" s="2" t="s">
        <v>109</v>
      </c>
      <c r="BV227" s="2" t="s">
        <v>97</v>
      </c>
      <c r="BW227" s="2" t="s">
        <v>266</v>
      </c>
      <c r="BX227" s="2" t="s">
        <v>967</v>
      </c>
      <c r="BY227" s="2" t="s">
        <v>112</v>
      </c>
      <c r="BZ227" s="2" t="s">
        <v>100</v>
      </c>
    </row>
    <row r="228">
      <c r="A228" s="2" t="s">
        <v>968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922</v>
      </c>
      <c r="G228" s="2" t="s">
        <v>923</v>
      </c>
      <c r="H228" s="2" t="s">
        <v>924</v>
      </c>
      <c r="I228" s="2" t="s">
        <v>754</v>
      </c>
      <c r="J228" s="2" t="s">
        <v>124</v>
      </c>
      <c r="K228" s="2" t="s">
        <v>416</v>
      </c>
      <c r="L228" s="3">
        <v>81.21</v>
      </c>
      <c r="M228" s="3">
        <v>85.27</v>
      </c>
      <c r="N228" s="3">
        <v>169.99</v>
      </c>
      <c r="O228" s="2" t="s">
        <v>97</v>
      </c>
      <c r="P228" s="2" t="s">
        <v>447</v>
      </c>
      <c r="Q228" s="2" t="s">
        <v>99</v>
      </c>
      <c r="R228" s="2" t="s">
        <v>100</v>
      </c>
      <c r="S228" s="2" t="s">
        <v>962</v>
      </c>
      <c r="T228" s="2" t="s">
        <v>100</v>
      </c>
      <c r="U228" s="2" t="s">
        <v>102</v>
      </c>
      <c r="V228" s="2" t="s">
        <v>344</v>
      </c>
      <c r="W228" s="2" t="s">
        <v>104</v>
      </c>
      <c r="X228" s="2" t="s">
        <v>399</v>
      </c>
      <c r="Y228" s="2" t="s">
        <v>963</v>
      </c>
      <c r="Z228" s="4">
        <v>161</v>
      </c>
      <c r="AA228" s="4">
        <f>=ROUNDDOWN(32.2,0)</f>
      </c>
      <c r="AB228" s="5">
        <v>5</v>
      </c>
      <c r="AC228" s="2" t="s">
        <v>100</v>
      </c>
      <c r="AD228" s="4"/>
      <c r="AE228" s="4"/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 t="s">
        <v>100</v>
      </c>
      <c r="BJ228" s="4">
        <v>1</v>
      </c>
      <c r="BK228" s="8">
        <v>65.62</v>
      </c>
      <c r="BL228" s="2" t="s">
        <v>715</v>
      </c>
      <c r="BM228" s="7"/>
      <c r="BN228" s="7"/>
      <c r="BO228" s="4"/>
      <c r="BP228" s="8"/>
      <c r="BQ228" s="4"/>
      <c r="BR228" s="8"/>
      <c r="BS228" s="7"/>
      <c r="BT228" s="7"/>
      <c r="BU228" s="2" t="s">
        <v>109</v>
      </c>
      <c r="BV228" s="2" t="s">
        <v>97</v>
      </c>
      <c r="BW228" s="2" t="s">
        <v>266</v>
      </c>
      <c r="BX228" s="2" t="s">
        <v>969</v>
      </c>
      <c r="BY228" s="2" t="s">
        <v>112</v>
      </c>
      <c r="BZ228" s="2" t="s">
        <v>100</v>
      </c>
    </row>
    <row r="229">
      <c r="A229" s="2" t="s">
        <v>970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971</v>
      </c>
      <c r="G229" s="2" t="s">
        <v>972</v>
      </c>
      <c r="H229" s="2" t="s">
        <v>973</v>
      </c>
      <c r="I229" s="2" t="s">
        <v>974</v>
      </c>
      <c r="J229" s="2" t="s">
        <v>114</v>
      </c>
      <c r="K229" s="2" t="s">
        <v>163</v>
      </c>
      <c r="L229" s="3">
        <v>64.4</v>
      </c>
      <c r="M229" s="3">
        <v>67.62</v>
      </c>
      <c r="N229" s="3">
        <v>139.99</v>
      </c>
      <c r="O229" s="2" t="s">
        <v>97</v>
      </c>
      <c r="P229" s="2" t="s">
        <v>98</v>
      </c>
      <c r="Q229" s="2" t="s">
        <v>99</v>
      </c>
      <c r="R229" s="2" t="s">
        <v>100</v>
      </c>
      <c r="S229" s="2" t="s">
        <v>975</v>
      </c>
      <c r="T229" s="2" t="s">
        <v>100</v>
      </c>
      <c r="U229" s="2" t="s">
        <v>102</v>
      </c>
      <c r="V229" s="2" t="s">
        <v>344</v>
      </c>
      <c r="W229" s="2" t="s">
        <v>976</v>
      </c>
      <c r="X229" s="2" t="s">
        <v>104</v>
      </c>
      <c r="Y229" s="2" t="s">
        <v>131</v>
      </c>
      <c r="Z229" s="4">
        <v>652</v>
      </c>
      <c r="AA229" s="4">
        <f>=ROUNDDOWN(36.2222222222222,0)</f>
      </c>
      <c r="AB229" s="5">
        <v>18</v>
      </c>
      <c r="AC229" s="2" t="s">
        <v>790</v>
      </c>
      <c r="AD229" s="4">
        <v>210</v>
      </c>
      <c r="AE229" s="4">
        <v>210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>
        <v>1</v>
      </c>
      <c r="AW229" s="8">
        <v>78.91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/>
      <c r="BC229" s="4">
        <v>1</v>
      </c>
      <c r="BD229" s="8">
        <v>78.91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>
        <v>1</v>
      </c>
      <c r="BJ229" s="4">
        <v>16</v>
      </c>
      <c r="BK229" s="8">
        <v>1064.77</v>
      </c>
      <c r="BL229" s="2" t="s">
        <v>977</v>
      </c>
      <c r="BM229" s="7"/>
      <c r="BN229" s="7"/>
      <c r="BO229" s="4"/>
      <c r="BP229" s="8"/>
      <c r="BQ229" s="4"/>
      <c r="BR229" s="8"/>
      <c r="BS229" s="7"/>
      <c r="BT229" s="7"/>
      <c r="BU229" s="2" t="s">
        <v>109</v>
      </c>
      <c r="BV229" s="2" t="s">
        <v>97</v>
      </c>
      <c r="BW229" s="2" t="s">
        <v>122</v>
      </c>
      <c r="BX229" s="2" t="s">
        <v>222</v>
      </c>
      <c r="BY229" s="2" t="s">
        <v>112</v>
      </c>
      <c r="BZ229" s="2" t="s">
        <v>100</v>
      </c>
    </row>
    <row r="230">
      <c r="A230" s="2" t="s">
        <v>978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971</v>
      </c>
      <c r="G230" s="2" t="s">
        <v>972</v>
      </c>
      <c r="H230" s="2" t="s">
        <v>973</v>
      </c>
      <c r="I230" s="2" t="s">
        <v>974</v>
      </c>
      <c r="J230" s="2" t="s">
        <v>120</v>
      </c>
      <c r="K230" s="2" t="s">
        <v>163</v>
      </c>
      <c r="L230" s="3">
        <v>75.2</v>
      </c>
      <c r="M230" s="3">
        <v>78.96</v>
      </c>
      <c r="N230" s="3">
        <v>159.99</v>
      </c>
      <c r="O230" s="2" t="s">
        <v>97</v>
      </c>
      <c r="P230" s="2" t="s">
        <v>98</v>
      </c>
      <c r="Q230" s="2" t="s">
        <v>99</v>
      </c>
      <c r="R230" s="2" t="s">
        <v>100</v>
      </c>
      <c r="S230" s="2" t="s">
        <v>975</v>
      </c>
      <c r="T230" s="2" t="s">
        <v>100</v>
      </c>
      <c r="U230" s="2" t="s">
        <v>102</v>
      </c>
      <c r="V230" s="2" t="s">
        <v>344</v>
      </c>
      <c r="W230" s="2" t="s">
        <v>976</v>
      </c>
      <c r="X230" s="2" t="s">
        <v>104</v>
      </c>
      <c r="Y230" s="2" t="s">
        <v>131</v>
      </c>
      <c r="Z230" s="4">
        <v>449</v>
      </c>
      <c r="AA230" s="4">
        <f>=ROUNDDOWN(29.9333333333333,0)</f>
      </c>
      <c r="AB230" s="5">
        <v>15</v>
      </c>
      <c r="AC230" s="2" t="s">
        <v>790</v>
      </c>
      <c r="AD230" s="4">
        <v>150</v>
      </c>
      <c r="AE230" s="4">
        <v>150</v>
      </c>
      <c r="AF230" s="6">
        <v>65</v>
      </c>
      <c r="AG230" s="6">
        <v>48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>
        <v>0</v>
      </c>
      <c r="AP230" s="4">
        <v>1</v>
      </c>
      <c r="AQ230" s="8">
        <v>78.91</v>
      </c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1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 t="s">
        <v>100</v>
      </c>
      <c r="BJ230" s="4">
        <v>15</v>
      </c>
      <c r="BK230" s="8">
        <v>879.22</v>
      </c>
      <c r="BL230" s="2" t="s">
        <v>979</v>
      </c>
      <c r="BM230" s="7">
        <v>0.0667</v>
      </c>
      <c r="BN230" s="7">
        <v>0.0898</v>
      </c>
      <c r="BO230" s="4">
        <v>1</v>
      </c>
      <c r="BP230" s="8">
        <v>78.91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122</v>
      </c>
      <c r="BX230" s="2" t="s">
        <v>222</v>
      </c>
      <c r="BY230" s="2" t="s">
        <v>112</v>
      </c>
      <c r="BZ230" s="2" t="s">
        <v>100</v>
      </c>
    </row>
    <row r="231">
      <c r="A231" s="2" t="s">
        <v>980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971</v>
      </c>
      <c r="G231" s="2" t="s">
        <v>972</v>
      </c>
      <c r="H231" s="2" t="s">
        <v>973</v>
      </c>
      <c r="I231" s="2" t="s">
        <v>974</v>
      </c>
      <c r="J231" s="2" t="s">
        <v>124</v>
      </c>
      <c r="K231" s="2" t="s">
        <v>163</v>
      </c>
      <c r="L231" s="3">
        <v>75.2</v>
      </c>
      <c r="M231" s="3">
        <v>78.96</v>
      </c>
      <c r="N231" s="3">
        <v>159.99</v>
      </c>
      <c r="O231" s="2" t="s">
        <v>97</v>
      </c>
      <c r="P231" s="2" t="s">
        <v>98</v>
      </c>
      <c r="Q231" s="2" t="s">
        <v>99</v>
      </c>
      <c r="R231" s="2" t="s">
        <v>100</v>
      </c>
      <c r="S231" s="2" t="s">
        <v>975</v>
      </c>
      <c r="T231" s="2" t="s">
        <v>100</v>
      </c>
      <c r="U231" s="2" t="s">
        <v>102</v>
      </c>
      <c r="V231" s="2" t="s">
        <v>344</v>
      </c>
      <c r="W231" s="2" t="s">
        <v>976</v>
      </c>
      <c r="X231" s="2" t="s">
        <v>104</v>
      </c>
      <c r="Y231" s="2" t="s">
        <v>131</v>
      </c>
      <c r="Z231" s="4">
        <v>146</v>
      </c>
      <c r="AA231" s="4">
        <f>=ROUNDDOWN(24.3333333333333,0)</f>
      </c>
      <c r="AB231" s="5">
        <v>6</v>
      </c>
      <c r="AC231" s="2" t="s">
        <v>790</v>
      </c>
      <c r="AD231" s="4">
        <v>50</v>
      </c>
      <c r="AE231" s="4">
        <v>50</v>
      </c>
      <c r="AF231" s="6">
        <v>65</v>
      </c>
      <c r="AG231" s="6">
        <v>48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/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 t="s">
        <v>100</v>
      </c>
      <c r="BJ231" s="4">
        <v>6</v>
      </c>
      <c r="BK231" s="8">
        <v>476.09</v>
      </c>
      <c r="BL231" s="2" t="s">
        <v>760</v>
      </c>
      <c r="BM231" s="7"/>
      <c r="BN231" s="7"/>
      <c r="BO231" s="4"/>
      <c r="BP231" s="8"/>
      <c r="BQ231" s="4"/>
      <c r="BR231" s="8"/>
      <c r="BS231" s="7"/>
      <c r="BT231" s="7"/>
      <c r="BU231" s="2" t="s">
        <v>109</v>
      </c>
      <c r="BV231" s="2" t="s">
        <v>97</v>
      </c>
      <c r="BW231" s="2" t="s">
        <v>122</v>
      </c>
      <c r="BX231" s="2" t="s">
        <v>846</v>
      </c>
      <c r="BY231" s="2" t="s">
        <v>112</v>
      </c>
      <c r="BZ231" s="2" t="s">
        <v>100</v>
      </c>
    </row>
    <row r="232">
      <c r="A232" s="2" t="s">
        <v>981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982</v>
      </c>
      <c r="G232" s="2" t="s">
        <v>983</v>
      </c>
      <c r="H232" s="2" t="s">
        <v>984</v>
      </c>
      <c r="I232" s="2" t="s">
        <v>974</v>
      </c>
      <c r="J232" s="2" t="s">
        <v>114</v>
      </c>
      <c r="K232" s="2" t="s">
        <v>434</v>
      </c>
      <c r="L232" s="3">
        <v>63</v>
      </c>
      <c r="M232" s="3">
        <v>66.15</v>
      </c>
      <c r="N232" s="3">
        <v>139.99</v>
      </c>
      <c r="O232" s="2" t="s">
        <v>97</v>
      </c>
      <c r="P232" s="2" t="s">
        <v>383</v>
      </c>
      <c r="Q232" s="2" t="s">
        <v>99</v>
      </c>
      <c r="R232" s="2" t="s">
        <v>100</v>
      </c>
      <c r="S232" s="2" t="s">
        <v>985</v>
      </c>
      <c r="T232" s="2" t="s">
        <v>100</v>
      </c>
      <c r="U232" s="2" t="s">
        <v>102</v>
      </c>
      <c r="V232" s="2" t="s">
        <v>344</v>
      </c>
      <c r="W232" s="2" t="s">
        <v>756</v>
      </c>
      <c r="X232" s="2" t="s">
        <v>399</v>
      </c>
      <c r="Y232" s="2" t="s">
        <v>131</v>
      </c>
      <c r="Z232" s="4">
        <v>534</v>
      </c>
      <c r="AA232" s="4">
        <f>=ROUNDDOWN(41.0769230769231,0)</f>
      </c>
      <c r="AB232" s="5">
        <v>13</v>
      </c>
      <c r="AC232" s="2" t="s">
        <v>100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>
        <v>1</v>
      </c>
      <c r="AW232" s="8">
        <v>78.91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>
        <v>1</v>
      </c>
      <c r="BD232" s="8">
        <v>78.91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>
        <v>1</v>
      </c>
      <c r="BJ232" s="4">
        <v>3</v>
      </c>
      <c r="BK232" s="8">
        <v>202.43</v>
      </c>
      <c r="BL232" s="2" t="s">
        <v>986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97</v>
      </c>
      <c r="BW232" s="2" t="s">
        <v>137</v>
      </c>
      <c r="BX232" s="2" t="s">
        <v>621</v>
      </c>
      <c r="BY232" s="2" t="s">
        <v>112</v>
      </c>
      <c r="BZ232" s="2" t="s">
        <v>100</v>
      </c>
    </row>
    <row r="233">
      <c r="A233" s="2" t="s">
        <v>987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982</v>
      </c>
      <c r="G233" s="2" t="s">
        <v>983</v>
      </c>
      <c r="H233" s="2" t="s">
        <v>984</v>
      </c>
      <c r="I233" s="2" t="s">
        <v>974</v>
      </c>
      <c r="J233" s="2" t="s">
        <v>120</v>
      </c>
      <c r="K233" s="2" t="s">
        <v>434</v>
      </c>
      <c r="L233" s="3">
        <v>73.6</v>
      </c>
      <c r="M233" s="3">
        <v>77.28</v>
      </c>
      <c r="N233" s="3">
        <v>159.99</v>
      </c>
      <c r="O233" s="2" t="s">
        <v>97</v>
      </c>
      <c r="P233" s="2" t="s">
        <v>383</v>
      </c>
      <c r="Q233" s="2" t="s">
        <v>99</v>
      </c>
      <c r="R233" s="2" t="s">
        <v>100</v>
      </c>
      <c r="S233" s="2" t="s">
        <v>985</v>
      </c>
      <c r="T233" s="2" t="s">
        <v>100</v>
      </c>
      <c r="U233" s="2" t="s">
        <v>102</v>
      </c>
      <c r="V233" s="2" t="s">
        <v>344</v>
      </c>
      <c r="W233" s="2" t="s">
        <v>756</v>
      </c>
      <c r="X233" s="2" t="s">
        <v>399</v>
      </c>
      <c r="Y233" s="2" t="s">
        <v>131</v>
      </c>
      <c r="Z233" s="4">
        <v>276</v>
      </c>
      <c r="AA233" s="4">
        <f>=ROUNDDOWN(27.6,0)</f>
      </c>
      <c r="AB233" s="5">
        <v>10</v>
      </c>
      <c r="AC233" s="2" t="s">
        <v>100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1</v>
      </c>
      <c r="AQ233" s="8">
        <v>78.91</v>
      </c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1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 t="s">
        <v>100</v>
      </c>
      <c r="BJ233" s="4">
        <v>3</v>
      </c>
      <c r="BK233" s="8">
        <v>237.81</v>
      </c>
      <c r="BL233" s="2" t="s">
        <v>930</v>
      </c>
      <c r="BM233" s="7">
        <v>0.3333</v>
      </c>
      <c r="BN233" s="7">
        <v>0.3318</v>
      </c>
      <c r="BO233" s="4">
        <v>1</v>
      </c>
      <c r="BP233" s="8">
        <v>78.91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137</v>
      </c>
      <c r="BX233" s="2" t="s">
        <v>723</v>
      </c>
      <c r="BY233" s="2" t="s">
        <v>112</v>
      </c>
      <c r="BZ233" s="2" t="s">
        <v>100</v>
      </c>
    </row>
    <row r="234">
      <c r="A234" s="2" t="s">
        <v>988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982</v>
      </c>
      <c r="G234" s="2" t="s">
        <v>983</v>
      </c>
      <c r="H234" s="2" t="s">
        <v>984</v>
      </c>
      <c r="I234" s="2" t="s">
        <v>974</v>
      </c>
      <c r="J234" s="2" t="s">
        <v>124</v>
      </c>
      <c r="K234" s="2" t="s">
        <v>434</v>
      </c>
      <c r="L234" s="3">
        <v>75.2</v>
      </c>
      <c r="M234" s="3">
        <v>78.96</v>
      </c>
      <c r="N234" s="3">
        <v>159.99</v>
      </c>
      <c r="O234" s="2" t="s">
        <v>97</v>
      </c>
      <c r="P234" s="2" t="s">
        <v>383</v>
      </c>
      <c r="Q234" s="2" t="s">
        <v>99</v>
      </c>
      <c r="R234" s="2" t="s">
        <v>100</v>
      </c>
      <c r="S234" s="2" t="s">
        <v>985</v>
      </c>
      <c r="T234" s="2" t="s">
        <v>100</v>
      </c>
      <c r="U234" s="2" t="s">
        <v>102</v>
      </c>
      <c r="V234" s="2" t="s">
        <v>344</v>
      </c>
      <c r="W234" s="2" t="s">
        <v>756</v>
      </c>
      <c r="X234" s="2" t="s">
        <v>399</v>
      </c>
      <c r="Y234" s="2" t="s">
        <v>131</v>
      </c>
      <c r="Z234" s="4">
        <v>329</v>
      </c>
      <c r="AA234" s="4">
        <f>=ROUNDDOWN(41.125,0)</f>
      </c>
      <c r="AB234" s="5">
        <v>8</v>
      </c>
      <c r="AC234" s="2" t="s">
        <v>100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/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 t="s">
        <v>100</v>
      </c>
      <c r="BJ234" s="4">
        <v>4</v>
      </c>
      <c r="BK234" s="8">
        <v>321.29</v>
      </c>
      <c r="BL234" s="2" t="s">
        <v>989</v>
      </c>
      <c r="BM234" s="7"/>
      <c r="BN234" s="7"/>
      <c r="BO234" s="4"/>
      <c r="BP234" s="8"/>
      <c r="BQ234" s="4"/>
      <c r="BR234" s="8"/>
      <c r="BS234" s="7"/>
      <c r="BT234" s="7"/>
      <c r="BU234" s="2" t="s">
        <v>109</v>
      </c>
      <c r="BV234" s="2" t="s">
        <v>97</v>
      </c>
      <c r="BW234" s="2" t="s">
        <v>137</v>
      </c>
      <c r="BX234" s="2" t="s">
        <v>196</v>
      </c>
      <c r="BY234" s="2" t="s">
        <v>112</v>
      </c>
      <c r="BZ234" s="2" t="s">
        <v>100</v>
      </c>
    </row>
    <row r="235">
      <c r="A235" s="2" t="s">
        <v>990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991</v>
      </c>
      <c r="G235" s="2" t="s">
        <v>992</v>
      </c>
      <c r="H235" s="2" t="s">
        <v>993</v>
      </c>
      <c r="I235" s="2" t="s">
        <v>241</v>
      </c>
      <c r="J235" s="2" t="s">
        <v>114</v>
      </c>
      <c r="K235" s="2" t="s">
        <v>434</v>
      </c>
      <c r="L235" s="3">
        <v>57.6</v>
      </c>
      <c r="M235" s="3">
        <v>60.47</v>
      </c>
      <c r="N235" s="3">
        <v>119.99</v>
      </c>
      <c r="O235" s="2" t="s">
        <v>97</v>
      </c>
      <c r="P235" s="2" t="s">
        <v>98</v>
      </c>
      <c r="Q235" s="2" t="s">
        <v>99</v>
      </c>
      <c r="R235" s="2" t="s">
        <v>100</v>
      </c>
      <c r="S235" s="2" t="s">
        <v>994</v>
      </c>
      <c r="T235" s="2" t="s">
        <v>100</v>
      </c>
      <c r="U235" s="2" t="s">
        <v>102</v>
      </c>
      <c r="V235" s="2" t="s">
        <v>284</v>
      </c>
      <c r="W235" s="2" t="s">
        <v>244</v>
      </c>
      <c r="X235" s="2" t="s">
        <v>609</v>
      </c>
      <c r="Y235" s="2" t="s">
        <v>131</v>
      </c>
      <c r="Z235" s="4">
        <v>264</v>
      </c>
      <c r="AA235" s="4">
        <f>=ROUNDDOWN(24,0)</f>
      </c>
      <c r="AB235" s="5">
        <v>11</v>
      </c>
      <c r="AC235" s="2" t="s">
        <v>955</v>
      </c>
      <c r="AD235" s="4">
        <v>105</v>
      </c>
      <c r="AE235" s="4">
        <v>335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>
        <v>1</v>
      </c>
      <c r="AW235" s="8">
        <v>76.72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/>
      <c r="BC235" s="4">
        <v>1</v>
      </c>
      <c r="BD235" s="8">
        <v>76.72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>
        <v>1</v>
      </c>
      <c r="BJ235" s="4">
        <v>20</v>
      </c>
      <c r="BK235" s="8">
        <v>1194.94</v>
      </c>
      <c r="BL235" s="2" t="s">
        <v>407</v>
      </c>
      <c r="BM235" s="7"/>
      <c r="BN235" s="7"/>
      <c r="BO235" s="4"/>
      <c r="BP235" s="8"/>
      <c r="BQ235" s="4"/>
      <c r="BR235" s="8"/>
      <c r="BS235" s="7"/>
      <c r="BT235" s="7"/>
      <c r="BU235" s="2" t="s">
        <v>109</v>
      </c>
      <c r="BV235" s="2" t="s">
        <v>97</v>
      </c>
      <c r="BW235" s="2" t="s">
        <v>122</v>
      </c>
      <c r="BX235" s="2" t="s">
        <v>117</v>
      </c>
      <c r="BY235" s="2" t="s">
        <v>112</v>
      </c>
      <c r="BZ235" s="2" t="s">
        <v>100</v>
      </c>
    </row>
    <row r="236">
      <c r="A236" s="2" t="s">
        <v>995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991</v>
      </c>
      <c r="G236" s="2" t="s">
        <v>992</v>
      </c>
      <c r="H236" s="2" t="s">
        <v>993</v>
      </c>
      <c r="I236" s="2" t="s">
        <v>241</v>
      </c>
      <c r="J236" s="2" t="s">
        <v>120</v>
      </c>
      <c r="K236" s="2" t="s">
        <v>434</v>
      </c>
      <c r="L236" s="3">
        <v>76.49</v>
      </c>
      <c r="M236" s="3">
        <v>80.32</v>
      </c>
      <c r="N236" s="3">
        <v>149.99</v>
      </c>
      <c r="O236" s="2" t="s">
        <v>97</v>
      </c>
      <c r="P236" s="2" t="s">
        <v>98</v>
      </c>
      <c r="Q236" s="2" t="s">
        <v>99</v>
      </c>
      <c r="R236" s="2" t="s">
        <v>100</v>
      </c>
      <c r="S236" s="2" t="s">
        <v>994</v>
      </c>
      <c r="T236" s="2" t="s">
        <v>100</v>
      </c>
      <c r="U236" s="2" t="s">
        <v>102</v>
      </c>
      <c r="V236" s="2" t="s">
        <v>284</v>
      </c>
      <c r="W236" s="2" t="s">
        <v>244</v>
      </c>
      <c r="X236" s="2" t="s">
        <v>609</v>
      </c>
      <c r="Y236" s="2" t="s">
        <v>131</v>
      </c>
      <c r="Z236" s="4">
        <v>256</v>
      </c>
      <c r="AA236" s="4">
        <f>=ROUNDDOWN(28.4444444444444,0)</f>
      </c>
      <c r="AB236" s="5">
        <v>9</v>
      </c>
      <c r="AC236" s="2" t="s">
        <v>955</v>
      </c>
      <c r="AD236" s="4">
        <v>100</v>
      </c>
      <c r="AE236" s="4">
        <v>190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 t="s">
        <v>100</v>
      </c>
      <c r="BJ236" s="4">
        <v>14</v>
      </c>
      <c r="BK236" s="8">
        <v>1174.02</v>
      </c>
      <c r="BL236" s="2" t="s">
        <v>927</v>
      </c>
      <c r="BM236" s="7"/>
      <c r="BN236" s="7"/>
      <c r="BO236" s="4"/>
      <c r="BP236" s="8"/>
      <c r="BQ236" s="4"/>
      <c r="BR236" s="8"/>
      <c r="BS236" s="7"/>
      <c r="BT236" s="7"/>
      <c r="BU236" s="2" t="s">
        <v>109</v>
      </c>
      <c r="BV236" s="2" t="s">
        <v>97</v>
      </c>
      <c r="BW236" s="2" t="s">
        <v>122</v>
      </c>
      <c r="BX236" s="2" t="s">
        <v>170</v>
      </c>
      <c r="BY236" s="2" t="s">
        <v>112</v>
      </c>
      <c r="BZ236" s="2" t="s">
        <v>100</v>
      </c>
    </row>
    <row r="237">
      <c r="A237" s="2" t="s">
        <v>996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991</v>
      </c>
      <c r="G237" s="2" t="s">
        <v>992</v>
      </c>
      <c r="H237" s="2" t="s">
        <v>993</v>
      </c>
      <c r="I237" s="2" t="s">
        <v>241</v>
      </c>
      <c r="J237" s="2" t="s">
        <v>124</v>
      </c>
      <c r="K237" s="2" t="s">
        <v>434</v>
      </c>
      <c r="L237" s="3">
        <v>76.49</v>
      </c>
      <c r="M237" s="3">
        <v>80.32</v>
      </c>
      <c r="N237" s="3">
        <v>149.99</v>
      </c>
      <c r="O237" s="2" t="s">
        <v>97</v>
      </c>
      <c r="P237" s="2" t="s">
        <v>98</v>
      </c>
      <c r="Q237" s="2" t="s">
        <v>99</v>
      </c>
      <c r="R237" s="2" t="s">
        <v>100</v>
      </c>
      <c r="S237" s="2" t="s">
        <v>994</v>
      </c>
      <c r="T237" s="2" t="s">
        <v>100</v>
      </c>
      <c r="U237" s="2" t="s">
        <v>102</v>
      </c>
      <c r="V237" s="2" t="s">
        <v>284</v>
      </c>
      <c r="W237" s="2" t="s">
        <v>244</v>
      </c>
      <c r="X237" s="2" t="s">
        <v>609</v>
      </c>
      <c r="Y237" s="2" t="s">
        <v>131</v>
      </c>
      <c r="Z237" s="4">
        <v>71</v>
      </c>
      <c r="AA237" s="4">
        <f>=ROUNDDOWN(11.8333333333333,0)</f>
      </c>
      <c r="AB237" s="5">
        <v>6</v>
      </c>
      <c r="AC237" s="2" t="s">
        <v>955</v>
      </c>
      <c r="AD237" s="4">
        <v>30</v>
      </c>
      <c r="AE237" s="4">
        <v>310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>
        <v>1</v>
      </c>
      <c r="AQ237" s="8">
        <v>76.72</v>
      </c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1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 t="s">
        <v>100</v>
      </c>
      <c r="BJ237" s="4">
        <v>5</v>
      </c>
      <c r="BK237" s="8">
        <v>396.16</v>
      </c>
      <c r="BL237" s="2" t="s">
        <v>997</v>
      </c>
      <c r="BM237" s="7">
        <v>0.2</v>
      </c>
      <c r="BN237" s="7">
        <v>0.1937</v>
      </c>
      <c r="BO237" s="4">
        <v>1</v>
      </c>
      <c r="BP237" s="8">
        <v>76.72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122</v>
      </c>
      <c r="BX237" s="2" t="s">
        <v>173</v>
      </c>
      <c r="BY237" s="2" t="s">
        <v>112</v>
      </c>
      <c r="BZ237" s="2" t="s">
        <v>100</v>
      </c>
    </row>
    <row r="238">
      <c r="A238" s="2" t="s">
        <v>998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991</v>
      </c>
      <c r="G238" s="2" t="s">
        <v>992</v>
      </c>
      <c r="H238" s="2" t="s">
        <v>993</v>
      </c>
      <c r="I238" s="2" t="s">
        <v>241</v>
      </c>
      <c r="J238" s="2" t="s">
        <v>114</v>
      </c>
      <c r="K238" s="2" t="s">
        <v>253</v>
      </c>
      <c r="L238" s="3">
        <v>57.6</v>
      </c>
      <c r="M238" s="3">
        <v>60.47</v>
      </c>
      <c r="N238" s="3">
        <v>119.99</v>
      </c>
      <c r="O238" s="2" t="s">
        <v>97</v>
      </c>
      <c r="P238" s="2" t="s">
        <v>98</v>
      </c>
      <c r="Q238" s="2" t="s">
        <v>99</v>
      </c>
      <c r="R238" s="2" t="s">
        <v>100</v>
      </c>
      <c r="S238" s="2" t="s">
        <v>994</v>
      </c>
      <c r="T238" s="2" t="s">
        <v>100</v>
      </c>
      <c r="U238" s="2" t="s">
        <v>102</v>
      </c>
      <c r="V238" s="2" t="s">
        <v>284</v>
      </c>
      <c r="W238" s="2" t="s">
        <v>244</v>
      </c>
      <c r="X238" s="2" t="s">
        <v>609</v>
      </c>
      <c r="Y238" s="2" t="s">
        <v>131</v>
      </c>
      <c r="Z238" s="4">
        <v>223</v>
      </c>
      <c r="AA238" s="4">
        <f>=ROUNDDOWN(24.7777777777778,0)</f>
      </c>
      <c r="AB238" s="5">
        <v>9</v>
      </c>
      <c r="AC238" s="2" t="s">
        <v>583</v>
      </c>
      <c r="AD238" s="4">
        <v>180</v>
      </c>
      <c r="AE238" s="4">
        <v>210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5</v>
      </c>
      <c r="BK238" s="8">
        <v>279.59</v>
      </c>
      <c r="BL238" s="2" t="s">
        <v>999</v>
      </c>
      <c r="BM238" s="7"/>
      <c r="BN238" s="7"/>
      <c r="BO238" s="4"/>
      <c r="BP238" s="8"/>
      <c r="BQ238" s="4"/>
      <c r="BR238" s="8"/>
      <c r="BS238" s="7"/>
      <c r="BT238" s="7"/>
      <c r="BU238" s="2" t="s">
        <v>109</v>
      </c>
      <c r="BV238" s="2" t="s">
        <v>97</v>
      </c>
      <c r="BW238" s="2" t="s">
        <v>122</v>
      </c>
      <c r="BX238" s="2" t="s">
        <v>728</v>
      </c>
      <c r="BY238" s="2" t="s">
        <v>112</v>
      </c>
      <c r="BZ238" s="2" t="s">
        <v>100</v>
      </c>
    </row>
    <row r="239">
      <c r="A239" s="2" t="s">
        <v>1000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991</v>
      </c>
      <c r="G239" s="2" t="s">
        <v>992</v>
      </c>
      <c r="H239" s="2" t="s">
        <v>993</v>
      </c>
      <c r="I239" s="2" t="s">
        <v>241</v>
      </c>
      <c r="J239" s="2" t="s">
        <v>120</v>
      </c>
      <c r="K239" s="2" t="s">
        <v>253</v>
      </c>
      <c r="L239" s="3">
        <v>76.49</v>
      </c>
      <c r="M239" s="3">
        <v>80.32</v>
      </c>
      <c r="N239" s="3">
        <v>149.99</v>
      </c>
      <c r="O239" s="2" t="s">
        <v>97</v>
      </c>
      <c r="P239" s="2" t="s">
        <v>98</v>
      </c>
      <c r="Q239" s="2" t="s">
        <v>99</v>
      </c>
      <c r="R239" s="2" t="s">
        <v>100</v>
      </c>
      <c r="S239" s="2" t="s">
        <v>994</v>
      </c>
      <c r="T239" s="2" t="s">
        <v>100</v>
      </c>
      <c r="U239" s="2" t="s">
        <v>102</v>
      </c>
      <c r="V239" s="2" t="s">
        <v>284</v>
      </c>
      <c r="W239" s="2" t="s">
        <v>244</v>
      </c>
      <c r="X239" s="2" t="s">
        <v>609</v>
      </c>
      <c r="Y239" s="2" t="s">
        <v>131</v>
      </c>
      <c r="Z239" s="4">
        <v>96</v>
      </c>
      <c r="AA239" s="4">
        <f>=ROUNDDOWN(10.6666666666667,0)</f>
      </c>
      <c r="AB239" s="5">
        <v>9</v>
      </c>
      <c r="AC239" s="2" t="s">
        <v>583</v>
      </c>
      <c r="AD239" s="4">
        <v>270</v>
      </c>
      <c r="AE239" s="4">
        <v>320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 t="s">
        <v>100</v>
      </c>
      <c r="BJ239" s="4">
        <v>4</v>
      </c>
      <c r="BK239" s="8">
        <v>253.39</v>
      </c>
      <c r="BL239" s="2" t="s">
        <v>741</v>
      </c>
      <c r="BM239" s="7"/>
      <c r="BN239" s="7"/>
      <c r="BO239" s="4"/>
      <c r="BP239" s="8"/>
      <c r="BQ239" s="4"/>
      <c r="BR239" s="8"/>
      <c r="BS239" s="7"/>
      <c r="BT239" s="7"/>
      <c r="BU239" s="2" t="s">
        <v>109</v>
      </c>
      <c r="BV239" s="2" t="s">
        <v>97</v>
      </c>
      <c r="BW239" s="2" t="s">
        <v>122</v>
      </c>
      <c r="BX239" s="2" t="s">
        <v>196</v>
      </c>
      <c r="BY239" s="2" t="s">
        <v>112</v>
      </c>
      <c r="BZ239" s="2" t="s">
        <v>100</v>
      </c>
    </row>
    <row r="240">
      <c r="A240" s="2" t="s">
        <v>1001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991</v>
      </c>
      <c r="G240" s="2" t="s">
        <v>992</v>
      </c>
      <c r="H240" s="2" t="s">
        <v>993</v>
      </c>
      <c r="I240" s="2" t="s">
        <v>241</v>
      </c>
      <c r="J240" s="2" t="s">
        <v>124</v>
      </c>
      <c r="K240" s="2" t="s">
        <v>253</v>
      </c>
      <c r="L240" s="3">
        <v>76.49</v>
      </c>
      <c r="M240" s="3">
        <v>80.32</v>
      </c>
      <c r="N240" s="3">
        <v>149.99</v>
      </c>
      <c r="O240" s="2" t="s">
        <v>97</v>
      </c>
      <c r="P240" s="2" t="s">
        <v>98</v>
      </c>
      <c r="Q240" s="2" t="s">
        <v>99</v>
      </c>
      <c r="R240" s="2" t="s">
        <v>100</v>
      </c>
      <c r="S240" s="2" t="s">
        <v>994</v>
      </c>
      <c r="T240" s="2" t="s">
        <v>100</v>
      </c>
      <c r="U240" s="2" t="s">
        <v>102</v>
      </c>
      <c r="V240" s="2" t="s">
        <v>284</v>
      </c>
      <c r="W240" s="2" t="s">
        <v>244</v>
      </c>
      <c r="X240" s="2" t="s">
        <v>609</v>
      </c>
      <c r="Y240" s="2" t="s">
        <v>131</v>
      </c>
      <c r="Z240" s="4">
        <v>146</v>
      </c>
      <c r="AA240" s="4">
        <f>=ROUNDDOWN(36.5,0)</f>
      </c>
      <c r="AB240" s="5">
        <v>4</v>
      </c>
      <c r="AC240" s="2" t="s">
        <v>583</v>
      </c>
      <c r="AD240" s="4">
        <v>30</v>
      </c>
      <c r="AE240" s="4">
        <v>60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/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>
        <v>1</v>
      </c>
      <c r="BK240" s="8">
        <v>60.11</v>
      </c>
      <c r="BL240" s="2" t="s">
        <v>133</v>
      </c>
      <c r="BM240" s="7"/>
      <c r="BN240" s="7"/>
      <c r="BO240" s="4"/>
      <c r="BP240" s="8"/>
      <c r="BQ240" s="4"/>
      <c r="BR240" s="8"/>
      <c r="BS240" s="7"/>
      <c r="BT240" s="7"/>
      <c r="BU240" s="2" t="s">
        <v>109</v>
      </c>
      <c r="BV240" s="2" t="s">
        <v>97</v>
      </c>
      <c r="BW240" s="2" t="s">
        <v>122</v>
      </c>
      <c r="BX240" s="2" t="s">
        <v>225</v>
      </c>
      <c r="BY240" s="2" t="s">
        <v>112</v>
      </c>
      <c r="BZ240" s="2" t="s">
        <v>100</v>
      </c>
    </row>
    <row r="241">
      <c r="A241" s="2" t="s">
        <v>1002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1003</v>
      </c>
      <c r="G241" s="2" t="s">
        <v>1004</v>
      </c>
      <c r="H241" s="2" t="s">
        <v>1005</v>
      </c>
      <c r="I241" s="2" t="s">
        <v>1006</v>
      </c>
      <c r="J241" s="2" t="s">
        <v>95</v>
      </c>
      <c r="K241" s="2" t="s">
        <v>185</v>
      </c>
      <c r="L241" s="3">
        <v>56.87</v>
      </c>
      <c r="M241" s="3">
        <v>59.71</v>
      </c>
      <c r="N241" s="3">
        <v>119.99</v>
      </c>
      <c r="O241" s="2" t="s">
        <v>97</v>
      </c>
      <c r="P241" s="2" t="s">
        <v>242</v>
      </c>
      <c r="Q241" s="2" t="s">
        <v>99</v>
      </c>
      <c r="R241" s="2" t="s">
        <v>100</v>
      </c>
      <c r="S241" s="2" t="s">
        <v>1007</v>
      </c>
      <c r="T241" s="2" t="s">
        <v>100</v>
      </c>
      <c r="U241" s="2" t="s">
        <v>102</v>
      </c>
      <c r="V241" s="2" t="s">
        <v>344</v>
      </c>
      <c r="W241" s="2" t="s">
        <v>104</v>
      </c>
      <c r="X241" s="2" t="s">
        <v>399</v>
      </c>
      <c r="Y241" s="2" t="s">
        <v>131</v>
      </c>
      <c r="Z241" s="4">
        <v>343</v>
      </c>
      <c r="AA241" s="4">
        <f>=ROUNDDOWN(31.1818181818182,0)</f>
      </c>
      <c r="AB241" s="5">
        <v>11</v>
      </c>
      <c r="AC241" s="2" t="s">
        <v>648</v>
      </c>
      <c r="AD241" s="4">
        <v>60</v>
      </c>
      <c r="AE241" s="4">
        <v>170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>
        <v>1</v>
      </c>
      <c r="AW241" s="8">
        <v>76.68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/>
      <c r="BC241" s="4">
        <v>1</v>
      </c>
      <c r="BD241" s="8">
        <v>76.68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>
        <v>1</v>
      </c>
      <c r="BJ241" s="4">
        <v>6</v>
      </c>
      <c r="BK241" s="8">
        <v>361.23</v>
      </c>
      <c r="BL241" s="2" t="s">
        <v>1008</v>
      </c>
      <c r="BM241" s="7"/>
      <c r="BN241" s="7"/>
      <c r="BO241" s="4"/>
      <c r="BP241" s="8"/>
      <c r="BQ241" s="4"/>
      <c r="BR241" s="8"/>
      <c r="BS241" s="7"/>
      <c r="BT241" s="7"/>
      <c r="BU241" s="2" t="s">
        <v>109</v>
      </c>
      <c r="BV241" s="2" t="s">
        <v>97</v>
      </c>
      <c r="BW241" s="2" t="s">
        <v>122</v>
      </c>
      <c r="BX241" s="2" t="s">
        <v>1009</v>
      </c>
      <c r="BY241" s="2" t="s">
        <v>112</v>
      </c>
      <c r="BZ241" s="2" t="s">
        <v>100</v>
      </c>
    </row>
    <row r="242">
      <c r="A242" s="2" t="s">
        <v>1010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1003</v>
      </c>
      <c r="G242" s="2" t="s">
        <v>1004</v>
      </c>
      <c r="H242" s="2" t="s">
        <v>1005</v>
      </c>
      <c r="I242" s="2" t="s">
        <v>1006</v>
      </c>
      <c r="J242" s="2" t="s">
        <v>114</v>
      </c>
      <c r="K242" s="2" t="s">
        <v>185</v>
      </c>
      <c r="L242" s="3">
        <v>62.6</v>
      </c>
      <c r="M242" s="3">
        <v>65.73</v>
      </c>
      <c r="N242" s="3">
        <v>129.99</v>
      </c>
      <c r="O242" s="2" t="s">
        <v>97</v>
      </c>
      <c r="P242" s="2" t="s">
        <v>242</v>
      </c>
      <c r="Q242" s="2" t="s">
        <v>99</v>
      </c>
      <c r="R242" s="2" t="s">
        <v>100</v>
      </c>
      <c r="S242" s="2" t="s">
        <v>1007</v>
      </c>
      <c r="T242" s="2" t="s">
        <v>100</v>
      </c>
      <c r="U242" s="2" t="s">
        <v>102</v>
      </c>
      <c r="V242" s="2" t="s">
        <v>344</v>
      </c>
      <c r="W242" s="2" t="s">
        <v>104</v>
      </c>
      <c r="X242" s="2" t="s">
        <v>399</v>
      </c>
      <c r="Y242" s="2" t="s">
        <v>131</v>
      </c>
      <c r="Z242" s="4">
        <v>937</v>
      </c>
      <c r="AA242" s="4">
        <f>=ROUNDDOWN(25.3243243243243,0)</f>
      </c>
      <c r="AB242" s="5">
        <v>37</v>
      </c>
      <c r="AC242" s="2" t="s">
        <v>648</v>
      </c>
      <c r="AD242" s="4">
        <v>50</v>
      </c>
      <c r="AE242" s="4">
        <v>520</v>
      </c>
      <c r="AF242" s="6">
        <v>65</v>
      </c>
      <c r="AG242" s="6">
        <v>48</v>
      </c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>
        <v>0</v>
      </c>
      <c r="AP242" s="4">
        <v>1</v>
      </c>
      <c r="AQ242" s="8">
        <v>76.68</v>
      </c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1</v>
      </c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 t="s">
        <v>100</v>
      </c>
      <c r="BJ242" s="4">
        <v>21</v>
      </c>
      <c r="BK242" s="8">
        <v>1447.41</v>
      </c>
      <c r="BL242" s="2" t="s">
        <v>1011</v>
      </c>
      <c r="BM242" s="7">
        <v>0.0476</v>
      </c>
      <c r="BN242" s="7">
        <v>0.053</v>
      </c>
      <c r="BO242" s="4">
        <v>1</v>
      </c>
      <c r="BP242" s="8">
        <v>76.68</v>
      </c>
      <c r="BQ242" s="4"/>
      <c r="BR242" s="8"/>
      <c r="BS242" s="7"/>
      <c r="BT242" s="7"/>
      <c r="BU242" s="2" t="s">
        <v>109</v>
      </c>
      <c r="BV242" s="2" t="s">
        <v>97</v>
      </c>
      <c r="BW242" s="2" t="s">
        <v>122</v>
      </c>
      <c r="BX242" s="2" t="s">
        <v>216</v>
      </c>
      <c r="BY242" s="2" t="s">
        <v>112</v>
      </c>
      <c r="BZ242" s="2" t="s">
        <v>100</v>
      </c>
    </row>
    <row r="243">
      <c r="A243" s="2" t="s">
        <v>1012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1003</v>
      </c>
      <c r="G243" s="2" t="s">
        <v>1004</v>
      </c>
      <c r="H243" s="2" t="s">
        <v>1005</v>
      </c>
      <c r="I243" s="2" t="s">
        <v>1006</v>
      </c>
      <c r="J243" s="2" t="s">
        <v>120</v>
      </c>
      <c r="K243" s="2" t="s">
        <v>185</v>
      </c>
      <c r="L243" s="3">
        <v>71.53</v>
      </c>
      <c r="M243" s="3">
        <v>75.11</v>
      </c>
      <c r="N243" s="3">
        <v>149.99</v>
      </c>
      <c r="O243" s="2" t="s">
        <v>97</v>
      </c>
      <c r="P243" s="2" t="s">
        <v>242</v>
      </c>
      <c r="Q243" s="2" t="s">
        <v>99</v>
      </c>
      <c r="R243" s="2" t="s">
        <v>100</v>
      </c>
      <c r="S243" s="2" t="s">
        <v>1007</v>
      </c>
      <c r="T243" s="2" t="s">
        <v>100</v>
      </c>
      <c r="U243" s="2" t="s">
        <v>102</v>
      </c>
      <c r="V243" s="2" t="s">
        <v>344</v>
      </c>
      <c r="W243" s="2" t="s">
        <v>104</v>
      </c>
      <c r="X243" s="2" t="s">
        <v>399</v>
      </c>
      <c r="Y243" s="2" t="s">
        <v>131</v>
      </c>
      <c r="Z243" s="4">
        <v>617</v>
      </c>
      <c r="AA243" s="4">
        <f>=ROUNDDOWN(25.7083333333333,0)</f>
      </c>
      <c r="AB243" s="5">
        <v>24</v>
      </c>
      <c r="AC243" s="2" t="s">
        <v>648</v>
      </c>
      <c r="AD243" s="4">
        <v>140</v>
      </c>
      <c r="AE243" s="4">
        <v>560</v>
      </c>
      <c r="AF243" s="6">
        <v>65</v>
      </c>
      <c r="AG243" s="6">
        <v>48</v>
      </c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 t="s">
        <v>100</v>
      </c>
      <c r="BJ243" s="4">
        <v>10</v>
      </c>
      <c r="BK243" s="8">
        <v>807.89</v>
      </c>
      <c r="BL243" s="2" t="s">
        <v>849</v>
      </c>
      <c r="BM243" s="7"/>
      <c r="BN243" s="7"/>
      <c r="BO243" s="4"/>
      <c r="BP243" s="8"/>
      <c r="BQ243" s="4"/>
      <c r="BR243" s="8"/>
      <c r="BS243" s="7"/>
      <c r="BT243" s="7"/>
      <c r="BU243" s="2" t="s">
        <v>109</v>
      </c>
      <c r="BV243" s="2" t="s">
        <v>97</v>
      </c>
      <c r="BW243" s="2" t="s">
        <v>122</v>
      </c>
      <c r="BX243" s="2" t="s">
        <v>1013</v>
      </c>
      <c r="BY243" s="2" t="s">
        <v>112</v>
      </c>
      <c r="BZ243" s="2" t="s">
        <v>100</v>
      </c>
    </row>
    <row r="244">
      <c r="A244" s="2" t="s">
        <v>1014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1003</v>
      </c>
      <c r="G244" s="2" t="s">
        <v>1004</v>
      </c>
      <c r="H244" s="2" t="s">
        <v>1005</v>
      </c>
      <c r="I244" s="2" t="s">
        <v>1006</v>
      </c>
      <c r="J244" s="2" t="s">
        <v>124</v>
      </c>
      <c r="K244" s="2" t="s">
        <v>185</v>
      </c>
      <c r="L244" s="3">
        <v>71.53</v>
      </c>
      <c r="M244" s="3">
        <v>75.11</v>
      </c>
      <c r="N244" s="3">
        <v>149.99</v>
      </c>
      <c r="O244" s="2" t="s">
        <v>97</v>
      </c>
      <c r="P244" s="2" t="s">
        <v>242</v>
      </c>
      <c r="Q244" s="2" t="s">
        <v>99</v>
      </c>
      <c r="R244" s="2" t="s">
        <v>100</v>
      </c>
      <c r="S244" s="2" t="s">
        <v>1007</v>
      </c>
      <c r="T244" s="2" t="s">
        <v>100</v>
      </c>
      <c r="U244" s="2" t="s">
        <v>102</v>
      </c>
      <c r="V244" s="2" t="s">
        <v>344</v>
      </c>
      <c r="W244" s="2" t="s">
        <v>104</v>
      </c>
      <c r="X244" s="2" t="s">
        <v>399</v>
      </c>
      <c r="Y244" s="2" t="s">
        <v>131</v>
      </c>
      <c r="Z244" s="4">
        <v>312</v>
      </c>
      <c r="AA244" s="4">
        <f>=ROUNDDOWN(18.3529411764706,0)</f>
      </c>
      <c r="AB244" s="5">
        <v>17</v>
      </c>
      <c r="AC244" s="2" t="s">
        <v>648</v>
      </c>
      <c r="AD244" s="4">
        <v>190</v>
      </c>
      <c r="AE244" s="4">
        <v>460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 t="s">
        <v>100</v>
      </c>
      <c r="BJ244" s="4">
        <v>7</v>
      </c>
      <c r="BK244" s="8">
        <v>579.2</v>
      </c>
      <c r="BL244" s="2" t="s">
        <v>1015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97</v>
      </c>
      <c r="BW244" s="2" t="s">
        <v>122</v>
      </c>
      <c r="BX244" s="2" t="s">
        <v>423</v>
      </c>
      <c r="BY244" s="2" t="s">
        <v>112</v>
      </c>
      <c r="BZ244" s="2" t="s">
        <v>100</v>
      </c>
    </row>
    <row r="245">
      <c r="A245" s="2" t="s">
        <v>1016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1003</v>
      </c>
      <c r="G245" s="2" t="s">
        <v>1004</v>
      </c>
      <c r="H245" s="2" t="s">
        <v>1005</v>
      </c>
      <c r="I245" s="2" t="s">
        <v>1006</v>
      </c>
      <c r="J245" s="2" t="s">
        <v>114</v>
      </c>
      <c r="K245" s="2" t="s">
        <v>253</v>
      </c>
      <c r="L245" s="3">
        <v>62.6</v>
      </c>
      <c r="M245" s="3">
        <v>65.73</v>
      </c>
      <c r="N245" s="3">
        <v>129.99</v>
      </c>
      <c r="O245" s="2" t="s">
        <v>97</v>
      </c>
      <c r="P245" s="2" t="s">
        <v>242</v>
      </c>
      <c r="Q245" s="2" t="s">
        <v>99</v>
      </c>
      <c r="R245" s="2" t="s">
        <v>100</v>
      </c>
      <c r="S245" s="2" t="s">
        <v>1017</v>
      </c>
      <c r="T245" s="2" t="s">
        <v>100</v>
      </c>
      <c r="U245" s="2" t="s">
        <v>102</v>
      </c>
      <c r="V245" s="2" t="s">
        <v>344</v>
      </c>
      <c r="W245" s="2" t="s">
        <v>104</v>
      </c>
      <c r="X245" s="2" t="s">
        <v>399</v>
      </c>
      <c r="Y245" s="2" t="s">
        <v>131</v>
      </c>
      <c r="Z245" s="4">
        <v>898</v>
      </c>
      <c r="AA245" s="4">
        <f>=ROUNDDOWN(32.0714285714286,0)</f>
      </c>
      <c r="AB245" s="5">
        <v>28</v>
      </c>
      <c r="AC245" s="2" t="s">
        <v>648</v>
      </c>
      <c r="AD245" s="4">
        <v>170</v>
      </c>
      <c r="AE245" s="4">
        <v>620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 t="s">
        <v>100</v>
      </c>
      <c r="BJ245" s="4">
        <v>21</v>
      </c>
      <c r="BK245" s="8">
        <v>1450.3</v>
      </c>
      <c r="BL245" s="2" t="s">
        <v>1018</v>
      </c>
      <c r="BM245" s="7"/>
      <c r="BN245" s="7"/>
      <c r="BO245" s="4"/>
      <c r="BP245" s="8"/>
      <c r="BQ245" s="4"/>
      <c r="BR245" s="8"/>
      <c r="BS245" s="7"/>
      <c r="BT245" s="7"/>
      <c r="BU245" s="2" t="s">
        <v>109</v>
      </c>
      <c r="BV245" s="2" t="s">
        <v>97</v>
      </c>
      <c r="BW245" s="2" t="s">
        <v>122</v>
      </c>
      <c r="BX245" s="2" t="s">
        <v>525</v>
      </c>
      <c r="BY245" s="2" t="s">
        <v>112</v>
      </c>
      <c r="BZ245" s="2" t="s">
        <v>100</v>
      </c>
    </row>
    <row r="246">
      <c r="A246" s="2" t="s">
        <v>1019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1003</v>
      </c>
      <c r="G246" s="2" t="s">
        <v>1004</v>
      </c>
      <c r="H246" s="2" t="s">
        <v>1005</v>
      </c>
      <c r="I246" s="2" t="s">
        <v>1006</v>
      </c>
      <c r="J246" s="2" t="s">
        <v>120</v>
      </c>
      <c r="K246" s="2" t="s">
        <v>253</v>
      </c>
      <c r="L246" s="3">
        <v>71.53</v>
      </c>
      <c r="M246" s="3">
        <v>75.11</v>
      </c>
      <c r="N246" s="3">
        <v>149.99</v>
      </c>
      <c r="O246" s="2" t="s">
        <v>97</v>
      </c>
      <c r="P246" s="2" t="s">
        <v>242</v>
      </c>
      <c r="Q246" s="2" t="s">
        <v>99</v>
      </c>
      <c r="R246" s="2" t="s">
        <v>100</v>
      </c>
      <c r="S246" s="2" t="s">
        <v>1017</v>
      </c>
      <c r="T246" s="2" t="s">
        <v>100</v>
      </c>
      <c r="U246" s="2" t="s">
        <v>102</v>
      </c>
      <c r="V246" s="2" t="s">
        <v>344</v>
      </c>
      <c r="W246" s="2" t="s">
        <v>104</v>
      </c>
      <c r="X246" s="2" t="s">
        <v>399</v>
      </c>
      <c r="Y246" s="2" t="s">
        <v>709</v>
      </c>
      <c r="Z246" s="4">
        <v>557</v>
      </c>
      <c r="AA246" s="4">
        <f>=ROUNDDOWN(24.2173913043478,0)</f>
      </c>
      <c r="AB246" s="5">
        <v>23</v>
      </c>
      <c r="AC246" s="2" t="s">
        <v>648</v>
      </c>
      <c r="AD246" s="4">
        <v>100</v>
      </c>
      <c r="AE246" s="4">
        <v>590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 t="s">
        <v>100</v>
      </c>
      <c r="BJ246" s="4">
        <v>8</v>
      </c>
      <c r="BK246" s="8">
        <v>620.54</v>
      </c>
      <c r="BL246" s="2" t="s">
        <v>851</v>
      </c>
      <c r="BM246" s="7"/>
      <c r="BN246" s="7"/>
      <c r="BO246" s="4"/>
      <c r="BP246" s="8"/>
      <c r="BQ246" s="4"/>
      <c r="BR246" s="8"/>
      <c r="BS246" s="7"/>
      <c r="BT246" s="7"/>
      <c r="BU246" s="2" t="s">
        <v>109</v>
      </c>
      <c r="BV246" s="2" t="s">
        <v>97</v>
      </c>
      <c r="BW246" s="2" t="s">
        <v>122</v>
      </c>
      <c r="BX246" s="2" t="s">
        <v>118</v>
      </c>
      <c r="BY246" s="2" t="s">
        <v>112</v>
      </c>
      <c r="BZ246" s="2" t="s">
        <v>100</v>
      </c>
    </row>
    <row r="247">
      <c r="A247" s="2" t="s">
        <v>1020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1003</v>
      </c>
      <c r="G247" s="2" t="s">
        <v>1004</v>
      </c>
      <c r="H247" s="2" t="s">
        <v>1005</v>
      </c>
      <c r="I247" s="2" t="s">
        <v>1006</v>
      </c>
      <c r="J247" s="2" t="s">
        <v>124</v>
      </c>
      <c r="K247" s="2" t="s">
        <v>253</v>
      </c>
      <c r="L247" s="3">
        <v>71.53</v>
      </c>
      <c r="M247" s="3">
        <v>75.11</v>
      </c>
      <c r="N247" s="3">
        <v>149.99</v>
      </c>
      <c r="O247" s="2" t="s">
        <v>97</v>
      </c>
      <c r="P247" s="2" t="s">
        <v>242</v>
      </c>
      <c r="Q247" s="2" t="s">
        <v>99</v>
      </c>
      <c r="R247" s="2" t="s">
        <v>100</v>
      </c>
      <c r="S247" s="2" t="s">
        <v>1017</v>
      </c>
      <c r="T247" s="2" t="s">
        <v>100</v>
      </c>
      <c r="U247" s="2" t="s">
        <v>102</v>
      </c>
      <c r="V247" s="2" t="s">
        <v>344</v>
      </c>
      <c r="W247" s="2" t="s">
        <v>104</v>
      </c>
      <c r="X247" s="2" t="s">
        <v>399</v>
      </c>
      <c r="Y247" s="2" t="s">
        <v>131</v>
      </c>
      <c r="Z247" s="4">
        <v>273</v>
      </c>
      <c r="AA247" s="4">
        <f>=ROUNDDOWN(24.8181818181818,0)</f>
      </c>
      <c r="AB247" s="5">
        <v>11</v>
      </c>
      <c r="AC247" s="2" t="s">
        <v>648</v>
      </c>
      <c r="AD247" s="4">
        <v>120</v>
      </c>
      <c r="AE247" s="4">
        <v>490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 t="s">
        <v>100</v>
      </c>
      <c r="BJ247" s="4">
        <v>1</v>
      </c>
      <c r="BK247" s="8">
        <v>75.8</v>
      </c>
      <c r="BL247" s="2" t="s">
        <v>715</v>
      </c>
      <c r="BM247" s="7"/>
      <c r="BN247" s="7"/>
      <c r="BO247" s="4"/>
      <c r="BP247" s="8"/>
      <c r="BQ247" s="4"/>
      <c r="BR247" s="8"/>
      <c r="BS247" s="7"/>
      <c r="BT247" s="7"/>
      <c r="BU247" s="2" t="s">
        <v>109</v>
      </c>
      <c r="BV247" s="2" t="s">
        <v>97</v>
      </c>
      <c r="BW247" s="2" t="s">
        <v>122</v>
      </c>
      <c r="BX247" s="2" t="s">
        <v>419</v>
      </c>
      <c r="BY247" s="2" t="s">
        <v>112</v>
      </c>
      <c r="BZ247" s="2" t="s">
        <v>100</v>
      </c>
    </row>
    <row r="248">
      <c r="A248" s="2" t="s">
        <v>1021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1003</v>
      </c>
      <c r="G248" s="2" t="s">
        <v>1004</v>
      </c>
      <c r="H248" s="2" t="s">
        <v>1005</v>
      </c>
      <c r="I248" s="2" t="s">
        <v>1006</v>
      </c>
      <c r="J248" s="2" t="s">
        <v>114</v>
      </c>
      <c r="K248" s="2" t="s">
        <v>409</v>
      </c>
      <c r="L248" s="3">
        <v>62.6</v>
      </c>
      <c r="M248" s="3">
        <v>65.73</v>
      </c>
      <c r="N248" s="3">
        <v>129.99</v>
      </c>
      <c r="O248" s="2" t="s">
        <v>97</v>
      </c>
      <c r="P248" s="2" t="s">
        <v>242</v>
      </c>
      <c r="Q248" s="2" t="s">
        <v>99</v>
      </c>
      <c r="R248" s="2" t="s">
        <v>100</v>
      </c>
      <c r="S248" s="2" t="s">
        <v>1022</v>
      </c>
      <c r="T248" s="2" t="s">
        <v>787</v>
      </c>
      <c r="U248" s="2" t="s">
        <v>102</v>
      </c>
      <c r="V248" s="2" t="s">
        <v>344</v>
      </c>
      <c r="W248" s="2" t="s">
        <v>104</v>
      </c>
      <c r="X248" s="2" t="s">
        <v>563</v>
      </c>
      <c r="Y248" s="2" t="s">
        <v>1023</v>
      </c>
      <c r="Z248" s="4">
        <v>750</v>
      </c>
      <c r="AA248" s="4">
        <f>=ROUNDDOWN(28.8461538461538,0)</f>
      </c>
      <c r="AB248" s="5">
        <v>26</v>
      </c>
      <c r="AC248" s="2" t="s">
        <v>287</v>
      </c>
      <c r="AD248" s="4">
        <v>160</v>
      </c>
      <c r="AE248" s="4">
        <v>380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/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21</v>
      </c>
      <c r="BK248" s="8">
        <v>1440.44</v>
      </c>
      <c r="BL248" s="2" t="s">
        <v>685</v>
      </c>
      <c r="BM248" s="7"/>
      <c r="BN248" s="7"/>
      <c r="BO248" s="4"/>
      <c r="BP248" s="8"/>
      <c r="BQ248" s="4"/>
      <c r="BR248" s="8"/>
      <c r="BS248" s="7"/>
      <c r="BT248" s="7"/>
      <c r="BU248" s="2" t="s">
        <v>109</v>
      </c>
      <c r="BV248" s="2" t="s">
        <v>97</v>
      </c>
      <c r="BW248" s="2" t="s">
        <v>270</v>
      </c>
      <c r="BX248" s="2" t="s">
        <v>1024</v>
      </c>
      <c r="BY248" s="2" t="s">
        <v>112</v>
      </c>
      <c r="BZ248" s="2" t="s">
        <v>100</v>
      </c>
    </row>
    <row r="249">
      <c r="A249" s="2" t="s">
        <v>1025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1003</v>
      </c>
      <c r="G249" s="2" t="s">
        <v>1004</v>
      </c>
      <c r="H249" s="2" t="s">
        <v>1005</v>
      </c>
      <c r="I249" s="2" t="s">
        <v>1006</v>
      </c>
      <c r="J249" s="2" t="s">
        <v>120</v>
      </c>
      <c r="K249" s="2" t="s">
        <v>409</v>
      </c>
      <c r="L249" s="3">
        <v>71.53</v>
      </c>
      <c r="M249" s="3">
        <v>75.11</v>
      </c>
      <c r="N249" s="3">
        <v>149.99</v>
      </c>
      <c r="O249" s="2" t="s">
        <v>97</v>
      </c>
      <c r="P249" s="2" t="s">
        <v>242</v>
      </c>
      <c r="Q249" s="2" t="s">
        <v>99</v>
      </c>
      <c r="R249" s="2" t="s">
        <v>100</v>
      </c>
      <c r="S249" s="2" t="s">
        <v>1022</v>
      </c>
      <c r="T249" s="2" t="s">
        <v>787</v>
      </c>
      <c r="U249" s="2" t="s">
        <v>102</v>
      </c>
      <c r="V249" s="2" t="s">
        <v>344</v>
      </c>
      <c r="W249" s="2" t="s">
        <v>104</v>
      </c>
      <c r="X249" s="2" t="s">
        <v>563</v>
      </c>
      <c r="Y249" s="2" t="s">
        <v>1023</v>
      </c>
      <c r="Z249" s="4">
        <v>630</v>
      </c>
      <c r="AA249" s="4">
        <f>=ROUNDDOWN(42,0)</f>
      </c>
      <c r="AB249" s="5">
        <v>15</v>
      </c>
      <c r="AC249" s="2" t="s">
        <v>287</v>
      </c>
      <c r="AD249" s="4">
        <v>60</v>
      </c>
      <c r="AE249" s="4">
        <v>180</v>
      </c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 t="s">
        <v>100</v>
      </c>
      <c r="BJ249" s="4">
        <v>14</v>
      </c>
      <c r="BK249" s="8">
        <v>978.34</v>
      </c>
      <c r="BL249" s="2" t="s">
        <v>830</v>
      </c>
      <c r="BM249" s="7"/>
      <c r="BN249" s="7"/>
      <c r="BO249" s="4"/>
      <c r="BP249" s="8"/>
      <c r="BQ249" s="4"/>
      <c r="BR249" s="8"/>
      <c r="BS249" s="7"/>
      <c r="BT249" s="7"/>
      <c r="BU249" s="2" t="s">
        <v>109</v>
      </c>
      <c r="BV249" s="2" t="s">
        <v>97</v>
      </c>
      <c r="BW249" s="2" t="s">
        <v>270</v>
      </c>
      <c r="BX249" s="2" t="s">
        <v>1024</v>
      </c>
      <c r="BY249" s="2" t="s">
        <v>112</v>
      </c>
      <c r="BZ249" s="2" t="s">
        <v>100</v>
      </c>
    </row>
    <row r="250">
      <c r="A250" s="2" t="s">
        <v>1026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1003</v>
      </c>
      <c r="G250" s="2" t="s">
        <v>1004</v>
      </c>
      <c r="H250" s="2" t="s">
        <v>1005</v>
      </c>
      <c r="I250" s="2" t="s">
        <v>1006</v>
      </c>
      <c r="J250" s="2" t="s">
        <v>124</v>
      </c>
      <c r="K250" s="2" t="s">
        <v>409</v>
      </c>
      <c r="L250" s="3">
        <v>71.53</v>
      </c>
      <c r="M250" s="3">
        <v>75.11</v>
      </c>
      <c r="N250" s="3">
        <v>149.99</v>
      </c>
      <c r="O250" s="2" t="s">
        <v>97</v>
      </c>
      <c r="P250" s="2" t="s">
        <v>242</v>
      </c>
      <c r="Q250" s="2" t="s">
        <v>99</v>
      </c>
      <c r="R250" s="2" t="s">
        <v>100</v>
      </c>
      <c r="S250" s="2" t="s">
        <v>1022</v>
      </c>
      <c r="T250" s="2" t="s">
        <v>787</v>
      </c>
      <c r="U250" s="2" t="s">
        <v>102</v>
      </c>
      <c r="V250" s="2" t="s">
        <v>344</v>
      </c>
      <c r="W250" s="2" t="s">
        <v>104</v>
      </c>
      <c r="X250" s="2" t="s">
        <v>563</v>
      </c>
      <c r="Y250" s="2" t="s">
        <v>1023</v>
      </c>
      <c r="Z250" s="4">
        <v>349</v>
      </c>
      <c r="AA250" s="4">
        <f>=ROUNDDOWN(43.625,0)</f>
      </c>
      <c r="AB250" s="5">
        <v>8</v>
      </c>
      <c r="AC250" s="2" t="s">
        <v>287</v>
      </c>
      <c r="AD250" s="4">
        <v>30</v>
      </c>
      <c r="AE250" s="4">
        <v>100</v>
      </c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8</v>
      </c>
      <c r="BK250" s="8">
        <v>642.28</v>
      </c>
      <c r="BL250" s="2" t="s">
        <v>1027</v>
      </c>
      <c r="BM250" s="7"/>
      <c r="BN250" s="7"/>
      <c r="BO250" s="4"/>
      <c r="BP250" s="8"/>
      <c r="BQ250" s="4"/>
      <c r="BR250" s="8"/>
      <c r="BS250" s="7"/>
      <c r="BT250" s="7"/>
      <c r="BU250" s="2" t="s">
        <v>109</v>
      </c>
      <c r="BV250" s="2" t="s">
        <v>97</v>
      </c>
      <c r="BW250" s="2" t="s">
        <v>1028</v>
      </c>
      <c r="BX250" s="2" t="s">
        <v>1029</v>
      </c>
      <c r="BY250" s="2" t="s">
        <v>112</v>
      </c>
      <c r="BZ250" s="2" t="s">
        <v>100</v>
      </c>
    </row>
    <row r="251">
      <c r="A251" s="2" t="s">
        <v>1030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1003</v>
      </c>
      <c r="G251" s="2" t="s">
        <v>1004</v>
      </c>
      <c r="H251" s="2" t="s">
        <v>1005</v>
      </c>
      <c r="I251" s="2" t="s">
        <v>1006</v>
      </c>
      <c r="J251" s="2" t="s">
        <v>95</v>
      </c>
      <c r="K251" s="2" t="s">
        <v>521</v>
      </c>
      <c r="L251" s="3">
        <v>56.87</v>
      </c>
      <c r="M251" s="3">
        <v>59.71</v>
      </c>
      <c r="N251" s="3">
        <v>119.99</v>
      </c>
      <c r="O251" s="2" t="s">
        <v>97</v>
      </c>
      <c r="P251" s="2" t="s">
        <v>281</v>
      </c>
      <c r="Q251" s="2" t="s">
        <v>99</v>
      </c>
      <c r="R251" s="2" t="s">
        <v>100</v>
      </c>
      <c r="S251" s="2" t="s">
        <v>1031</v>
      </c>
      <c r="T251" s="2" t="s">
        <v>100</v>
      </c>
      <c r="U251" s="2" t="s">
        <v>102</v>
      </c>
      <c r="V251" s="2" t="s">
        <v>344</v>
      </c>
      <c r="W251" s="2" t="s">
        <v>104</v>
      </c>
      <c r="X251" s="2" t="s">
        <v>399</v>
      </c>
      <c r="Y251" s="2" t="s">
        <v>131</v>
      </c>
      <c r="Z251" s="4">
        <v>373</v>
      </c>
      <c r="AA251" s="4">
        <f>=ROUNDDOWN(33.9090909090909,0)</f>
      </c>
      <c r="AB251" s="5">
        <v>11</v>
      </c>
      <c r="AC251" s="2" t="s">
        <v>287</v>
      </c>
      <c r="AD251" s="4">
        <v>150</v>
      </c>
      <c r="AE251" s="4">
        <v>410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12</v>
      </c>
      <c r="BK251" s="8">
        <v>737.3</v>
      </c>
      <c r="BL251" s="2" t="s">
        <v>1032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97</v>
      </c>
      <c r="BW251" s="2" t="s">
        <v>122</v>
      </c>
      <c r="BX251" s="2" t="s">
        <v>181</v>
      </c>
      <c r="BY251" s="2" t="s">
        <v>112</v>
      </c>
      <c r="BZ251" s="2" t="s">
        <v>100</v>
      </c>
    </row>
    <row r="252">
      <c r="A252" s="2" t="s">
        <v>1033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1003</v>
      </c>
      <c r="G252" s="2" t="s">
        <v>1004</v>
      </c>
      <c r="H252" s="2" t="s">
        <v>1005</v>
      </c>
      <c r="I252" s="2" t="s">
        <v>1006</v>
      </c>
      <c r="J252" s="2" t="s">
        <v>114</v>
      </c>
      <c r="K252" s="2" t="s">
        <v>521</v>
      </c>
      <c r="L252" s="3">
        <v>62.6</v>
      </c>
      <c r="M252" s="3">
        <v>65.73</v>
      </c>
      <c r="N252" s="3">
        <v>129.99</v>
      </c>
      <c r="O252" s="2" t="s">
        <v>97</v>
      </c>
      <c r="P252" s="2" t="s">
        <v>281</v>
      </c>
      <c r="Q252" s="2" t="s">
        <v>99</v>
      </c>
      <c r="R252" s="2" t="s">
        <v>100</v>
      </c>
      <c r="S252" s="2" t="s">
        <v>1031</v>
      </c>
      <c r="T252" s="2" t="s">
        <v>100</v>
      </c>
      <c r="U252" s="2" t="s">
        <v>102</v>
      </c>
      <c r="V252" s="2" t="s">
        <v>344</v>
      </c>
      <c r="W252" s="2" t="s">
        <v>104</v>
      </c>
      <c r="X252" s="2" t="s">
        <v>399</v>
      </c>
      <c r="Y252" s="2" t="s">
        <v>131</v>
      </c>
      <c r="Z252" s="4">
        <v>1407</v>
      </c>
      <c r="AA252" s="4">
        <f>=ROUNDDOWN(23.8474576271186,0)</f>
      </c>
      <c r="AB252" s="5">
        <v>59</v>
      </c>
      <c r="AC252" s="2" t="s">
        <v>287</v>
      </c>
      <c r="AD252" s="4">
        <v>400</v>
      </c>
      <c r="AE252" s="4">
        <v>1780</v>
      </c>
      <c r="AF252" s="6">
        <v>65</v>
      </c>
      <c r="AG252" s="6">
        <v>48</v>
      </c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 t="s">
        <v>100</v>
      </c>
      <c r="BJ252" s="4">
        <v>23</v>
      </c>
      <c r="BK252" s="8">
        <v>1569.09</v>
      </c>
      <c r="BL252" s="2" t="s">
        <v>1034</v>
      </c>
      <c r="BM252" s="7"/>
      <c r="BN252" s="7"/>
      <c r="BO252" s="4"/>
      <c r="BP252" s="8"/>
      <c r="BQ252" s="4"/>
      <c r="BR252" s="8"/>
      <c r="BS252" s="7"/>
      <c r="BT252" s="7"/>
      <c r="BU252" s="2" t="s">
        <v>109</v>
      </c>
      <c r="BV252" s="2" t="s">
        <v>97</v>
      </c>
      <c r="BW252" s="2" t="s">
        <v>137</v>
      </c>
      <c r="BX252" s="2" t="s">
        <v>225</v>
      </c>
      <c r="BY252" s="2" t="s">
        <v>112</v>
      </c>
      <c r="BZ252" s="2" t="s">
        <v>100</v>
      </c>
    </row>
    <row r="253">
      <c r="A253" s="2" t="s">
        <v>1035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1003</v>
      </c>
      <c r="G253" s="2" t="s">
        <v>1004</v>
      </c>
      <c r="H253" s="2" t="s">
        <v>1005</v>
      </c>
      <c r="I253" s="2" t="s">
        <v>1006</v>
      </c>
      <c r="J253" s="2" t="s">
        <v>120</v>
      </c>
      <c r="K253" s="2" t="s">
        <v>521</v>
      </c>
      <c r="L253" s="3">
        <v>71.53</v>
      </c>
      <c r="M253" s="3">
        <v>75.11</v>
      </c>
      <c r="N253" s="3">
        <v>149.99</v>
      </c>
      <c r="O253" s="2" t="s">
        <v>97</v>
      </c>
      <c r="P253" s="2" t="s">
        <v>281</v>
      </c>
      <c r="Q253" s="2" t="s">
        <v>99</v>
      </c>
      <c r="R253" s="2" t="s">
        <v>100</v>
      </c>
      <c r="S253" s="2" t="s">
        <v>1031</v>
      </c>
      <c r="T253" s="2" t="s">
        <v>100</v>
      </c>
      <c r="U253" s="2" t="s">
        <v>102</v>
      </c>
      <c r="V253" s="2" t="s">
        <v>344</v>
      </c>
      <c r="W253" s="2" t="s">
        <v>104</v>
      </c>
      <c r="X253" s="2" t="s">
        <v>399</v>
      </c>
      <c r="Y253" s="2" t="s">
        <v>131</v>
      </c>
      <c r="Z253" s="4">
        <v>683</v>
      </c>
      <c r="AA253" s="4">
        <f>=ROUNDDOWN(14.8478260869565,0)</f>
      </c>
      <c r="AB253" s="5">
        <v>46</v>
      </c>
      <c r="AC253" s="2" t="s">
        <v>287</v>
      </c>
      <c r="AD253" s="4">
        <v>150</v>
      </c>
      <c r="AE253" s="4">
        <v>1400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/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 t="s">
        <v>100</v>
      </c>
      <c r="BJ253" s="4">
        <v>27</v>
      </c>
      <c r="BK253" s="8">
        <v>2135.81</v>
      </c>
      <c r="BL253" s="2" t="s">
        <v>1036</v>
      </c>
      <c r="BM253" s="7"/>
      <c r="BN253" s="7"/>
      <c r="BO253" s="4"/>
      <c r="BP253" s="8"/>
      <c r="BQ253" s="4"/>
      <c r="BR253" s="8"/>
      <c r="BS253" s="7"/>
      <c r="BT253" s="7"/>
      <c r="BU253" s="2" t="s">
        <v>109</v>
      </c>
      <c r="BV253" s="2" t="s">
        <v>97</v>
      </c>
      <c r="BW253" s="2" t="s">
        <v>137</v>
      </c>
      <c r="BX253" s="2" t="s">
        <v>758</v>
      </c>
      <c r="BY253" s="2" t="s">
        <v>112</v>
      </c>
      <c r="BZ253" s="2" t="s">
        <v>100</v>
      </c>
    </row>
    <row r="254">
      <c r="A254" s="2" t="s">
        <v>1037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1003</v>
      </c>
      <c r="G254" s="2" t="s">
        <v>1004</v>
      </c>
      <c r="H254" s="2" t="s">
        <v>1005</v>
      </c>
      <c r="I254" s="2" t="s">
        <v>1006</v>
      </c>
      <c r="J254" s="2" t="s">
        <v>124</v>
      </c>
      <c r="K254" s="2" t="s">
        <v>521</v>
      </c>
      <c r="L254" s="3">
        <v>71.53</v>
      </c>
      <c r="M254" s="3">
        <v>75.11</v>
      </c>
      <c r="N254" s="3">
        <v>149.99</v>
      </c>
      <c r="O254" s="2" t="s">
        <v>97</v>
      </c>
      <c r="P254" s="2" t="s">
        <v>281</v>
      </c>
      <c r="Q254" s="2" t="s">
        <v>99</v>
      </c>
      <c r="R254" s="2" t="s">
        <v>100</v>
      </c>
      <c r="S254" s="2" t="s">
        <v>1031</v>
      </c>
      <c r="T254" s="2" t="s">
        <v>100</v>
      </c>
      <c r="U254" s="2" t="s">
        <v>102</v>
      </c>
      <c r="V254" s="2" t="s">
        <v>344</v>
      </c>
      <c r="W254" s="2" t="s">
        <v>104</v>
      </c>
      <c r="X254" s="2" t="s">
        <v>399</v>
      </c>
      <c r="Y254" s="2" t="s">
        <v>131</v>
      </c>
      <c r="Z254" s="4">
        <v>596</v>
      </c>
      <c r="AA254" s="4">
        <f>=ROUNDDOWN(25.9130434782609,0)</f>
      </c>
      <c r="AB254" s="5">
        <v>23</v>
      </c>
      <c r="AC254" s="2" t="s">
        <v>648</v>
      </c>
      <c r="AD254" s="4">
        <v>200</v>
      </c>
      <c r="AE254" s="4">
        <v>820</v>
      </c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/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 t="s">
        <v>100</v>
      </c>
      <c r="BJ254" s="4">
        <v>12</v>
      </c>
      <c r="BK254" s="8">
        <v>978.12</v>
      </c>
      <c r="BL254" s="2" t="s">
        <v>1038</v>
      </c>
      <c r="BM254" s="7"/>
      <c r="BN254" s="7"/>
      <c r="BO254" s="4"/>
      <c r="BP254" s="8"/>
      <c r="BQ254" s="4"/>
      <c r="BR254" s="8"/>
      <c r="BS254" s="7"/>
      <c r="BT254" s="7"/>
      <c r="BU254" s="2" t="s">
        <v>109</v>
      </c>
      <c r="BV254" s="2" t="s">
        <v>97</v>
      </c>
      <c r="BW254" s="2" t="s">
        <v>137</v>
      </c>
      <c r="BX254" s="2" t="s">
        <v>216</v>
      </c>
      <c r="BY254" s="2" t="s">
        <v>112</v>
      </c>
      <c r="BZ254" s="2" t="s">
        <v>100</v>
      </c>
    </row>
    <row r="255">
      <c r="A255" s="2" t="s">
        <v>1039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1003</v>
      </c>
      <c r="G255" s="2" t="s">
        <v>1004</v>
      </c>
      <c r="H255" s="2" t="s">
        <v>1005</v>
      </c>
      <c r="I255" s="2" t="s">
        <v>1006</v>
      </c>
      <c r="J255" s="2" t="s">
        <v>95</v>
      </c>
      <c r="K255" s="2" t="s">
        <v>416</v>
      </c>
      <c r="L255" s="3">
        <v>56.87</v>
      </c>
      <c r="M255" s="3">
        <v>59.71</v>
      </c>
      <c r="N255" s="3">
        <v>119.99</v>
      </c>
      <c r="O255" s="2" t="s">
        <v>97</v>
      </c>
      <c r="P255" s="2" t="s">
        <v>242</v>
      </c>
      <c r="Q255" s="2" t="s">
        <v>99</v>
      </c>
      <c r="R255" s="2" t="s">
        <v>100</v>
      </c>
      <c r="S255" s="2" t="s">
        <v>1040</v>
      </c>
      <c r="T255" s="2" t="s">
        <v>100</v>
      </c>
      <c r="U255" s="2" t="s">
        <v>102</v>
      </c>
      <c r="V255" s="2" t="s">
        <v>344</v>
      </c>
      <c r="W255" s="2" t="s">
        <v>104</v>
      </c>
      <c r="X255" s="2" t="s">
        <v>399</v>
      </c>
      <c r="Y255" s="2" t="s">
        <v>131</v>
      </c>
      <c r="Z255" s="4">
        <v>292</v>
      </c>
      <c r="AA255" s="4">
        <f>=ROUNDDOWN(58.4,0)</f>
      </c>
      <c r="AB255" s="5">
        <v>5</v>
      </c>
      <c r="AC255" s="2" t="s">
        <v>648</v>
      </c>
      <c r="AD255" s="4">
        <v>40</v>
      </c>
      <c r="AE255" s="4">
        <v>40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 t="s">
        <v>100</v>
      </c>
      <c r="BJ255" s="4">
        <v>3</v>
      </c>
      <c r="BK255" s="8">
        <v>171.16</v>
      </c>
      <c r="BL255" s="2" t="s">
        <v>1041</v>
      </c>
      <c r="BM255" s="7"/>
      <c r="BN255" s="7"/>
      <c r="BO255" s="4"/>
      <c r="BP255" s="8"/>
      <c r="BQ255" s="4"/>
      <c r="BR255" s="8"/>
      <c r="BS255" s="7"/>
      <c r="BT255" s="7"/>
      <c r="BU255" s="2" t="s">
        <v>109</v>
      </c>
      <c r="BV255" s="2" t="s">
        <v>97</v>
      </c>
      <c r="BW255" s="2" t="s">
        <v>201</v>
      </c>
      <c r="BX255" s="2" t="s">
        <v>1042</v>
      </c>
      <c r="BY255" s="2" t="s">
        <v>112</v>
      </c>
      <c r="BZ255" s="2" t="s">
        <v>100</v>
      </c>
    </row>
    <row r="256">
      <c r="A256" s="2" t="s">
        <v>1043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1003</v>
      </c>
      <c r="G256" s="2" t="s">
        <v>1004</v>
      </c>
      <c r="H256" s="2" t="s">
        <v>1005</v>
      </c>
      <c r="I256" s="2" t="s">
        <v>1006</v>
      </c>
      <c r="J256" s="2" t="s">
        <v>114</v>
      </c>
      <c r="K256" s="2" t="s">
        <v>416</v>
      </c>
      <c r="L256" s="3">
        <v>62.6</v>
      </c>
      <c r="M256" s="3">
        <v>65.73</v>
      </c>
      <c r="N256" s="3">
        <v>129.99</v>
      </c>
      <c r="O256" s="2" t="s">
        <v>97</v>
      </c>
      <c r="P256" s="2" t="s">
        <v>242</v>
      </c>
      <c r="Q256" s="2" t="s">
        <v>99</v>
      </c>
      <c r="R256" s="2" t="s">
        <v>100</v>
      </c>
      <c r="S256" s="2" t="s">
        <v>1040</v>
      </c>
      <c r="T256" s="2" t="s">
        <v>100</v>
      </c>
      <c r="U256" s="2" t="s">
        <v>102</v>
      </c>
      <c r="V256" s="2" t="s">
        <v>344</v>
      </c>
      <c r="W256" s="2" t="s">
        <v>104</v>
      </c>
      <c r="X256" s="2" t="s">
        <v>399</v>
      </c>
      <c r="Y256" s="2" t="s">
        <v>131</v>
      </c>
      <c r="Z256" s="4">
        <v>866</v>
      </c>
      <c r="AA256" s="4">
        <f>=ROUNDDOWN(41.2380952380952,0)</f>
      </c>
      <c r="AB256" s="5">
        <v>21</v>
      </c>
      <c r="AC256" s="2" t="s">
        <v>648</v>
      </c>
      <c r="AD256" s="4">
        <v>200</v>
      </c>
      <c r="AE256" s="4">
        <v>200</v>
      </c>
      <c r="AF256" s="6">
        <v>65</v>
      </c>
      <c r="AG256" s="6">
        <v>48</v>
      </c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/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 t="s">
        <v>100</v>
      </c>
      <c r="BJ256" s="4">
        <v>7</v>
      </c>
      <c r="BK256" s="8">
        <v>489.71</v>
      </c>
      <c r="BL256" s="2" t="s">
        <v>1044</v>
      </c>
      <c r="BM256" s="7"/>
      <c r="BN256" s="7"/>
      <c r="BO256" s="4"/>
      <c r="BP256" s="8"/>
      <c r="BQ256" s="4"/>
      <c r="BR256" s="8"/>
      <c r="BS256" s="7"/>
      <c r="BT256" s="7"/>
      <c r="BU256" s="2" t="s">
        <v>109</v>
      </c>
      <c r="BV256" s="2" t="s">
        <v>97</v>
      </c>
      <c r="BW256" s="2" t="s">
        <v>137</v>
      </c>
      <c r="BX256" s="2" t="s">
        <v>1045</v>
      </c>
      <c r="BY256" s="2" t="s">
        <v>112</v>
      </c>
      <c r="BZ256" s="2" t="s">
        <v>100</v>
      </c>
    </row>
    <row r="257">
      <c r="A257" s="2" t="s">
        <v>1046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1003</v>
      </c>
      <c r="G257" s="2" t="s">
        <v>1004</v>
      </c>
      <c r="H257" s="2" t="s">
        <v>1005</v>
      </c>
      <c r="I257" s="2" t="s">
        <v>1006</v>
      </c>
      <c r="J257" s="2" t="s">
        <v>120</v>
      </c>
      <c r="K257" s="2" t="s">
        <v>416</v>
      </c>
      <c r="L257" s="3">
        <v>71.53</v>
      </c>
      <c r="M257" s="3">
        <v>75.11</v>
      </c>
      <c r="N257" s="3">
        <v>149.99</v>
      </c>
      <c r="O257" s="2" t="s">
        <v>97</v>
      </c>
      <c r="P257" s="2" t="s">
        <v>242</v>
      </c>
      <c r="Q257" s="2" t="s">
        <v>99</v>
      </c>
      <c r="R257" s="2" t="s">
        <v>100</v>
      </c>
      <c r="S257" s="2" t="s">
        <v>1040</v>
      </c>
      <c r="T257" s="2" t="s">
        <v>100</v>
      </c>
      <c r="U257" s="2" t="s">
        <v>102</v>
      </c>
      <c r="V257" s="2" t="s">
        <v>344</v>
      </c>
      <c r="W257" s="2" t="s">
        <v>104</v>
      </c>
      <c r="X257" s="2" t="s">
        <v>399</v>
      </c>
      <c r="Y257" s="2" t="s">
        <v>131</v>
      </c>
      <c r="Z257" s="4">
        <v>513</v>
      </c>
      <c r="AA257" s="4">
        <f>=ROUNDDOWN(28.5,0)</f>
      </c>
      <c r="AB257" s="5">
        <v>18</v>
      </c>
      <c r="AC257" s="2" t="s">
        <v>648</v>
      </c>
      <c r="AD257" s="4">
        <v>110</v>
      </c>
      <c r="AE257" s="4">
        <v>270</v>
      </c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/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 t="s">
        <v>100</v>
      </c>
      <c r="BJ257" s="4">
        <v>14</v>
      </c>
      <c r="BK257" s="8">
        <v>1089.88</v>
      </c>
      <c r="BL257" s="2" t="s">
        <v>1047</v>
      </c>
      <c r="BM257" s="7"/>
      <c r="BN257" s="7"/>
      <c r="BO257" s="4"/>
      <c r="BP257" s="8"/>
      <c r="BQ257" s="4"/>
      <c r="BR257" s="8"/>
      <c r="BS257" s="7"/>
      <c r="BT257" s="7"/>
      <c r="BU257" s="2" t="s">
        <v>109</v>
      </c>
      <c r="BV257" s="2" t="s">
        <v>97</v>
      </c>
      <c r="BW257" s="2" t="s">
        <v>137</v>
      </c>
      <c r="BX257" s="2" t="s">
        <v>352</v>
      </c>
      <c r="BY257" s="2" t="s">
        <v>112</v>
      </c>
      <c r="BZ257" s="2" t="s">
        <v>100</v>
      </c>
    </row>
    <row r="258">
      <c r="A258" s="2" t="s">
        <v>1048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1003</v>
      </c>
      <c r="G258" s="2" t="s">
        <v>1004</v>
      </c>
      <c r="H258" s="2" t="s">
        <v>1005</v>
      </c>
      <c r="I258" s="2" t="s">
        <v>1006</v>
      </c>
      <c r="J258" s="2" t="s">
        <v>124</v>
      </c>
      <c r="K258" s="2" t="s">
        <v>416</v>
      </c>
      <c r="L258" s="3">
        <v>71.53</v>
      </c>
      <c r="M258" s="3">
        <v>75.11</v>
      </c>
      <c r="N258" s="3">
        <v>149.99</v>
      </c>
      <c r="O258" s="2" t="s">
        <v>97</v>
      </c>
      <c r="P258" s="2" t="s">
        <v>242</v>
      </c>
      <c r="Q258" s="2" t="s">
        <v>99</v>
      </c>
      <c r="R258" s="2" t="s">
        <v>100</v>
      </c>
      <c r="S258" s="2" t="s">
        <v>1040</v>
      </c>
      <c r="T258" s="2" t="s">
        <v>100</v>
      </c>
      <c r="U258" s="2" t="s">
        <v>102</v>
      </c>
      <c r="V258" s="2" t="s">
        <v>344</v>
      </c>
      <c r="W258" s="2" t="s">
        <v>104</v>
      </c>
      <c r="X258" s="2" t="s">
        <v>399</v>
      </c>
      <c r="Y258" s="2" t="s">
        <v>131</v>
      </c>
      <c r="Z258" s="4">
        <v>203</v>
      </c>
      <c r="AA258" s="4">
        <f>=ROUNDDOWN(25.375,0)</f>
      </c>
      <c r="AB258" s="5">
        <v>8</v>
      </c>
      <c r="AC258" s="2" t="s">
        <v>648</v>
      </c>
      <c r="AD258" s="4">
        <v>80</v>
      </c>
      <c r="AE258" s="4">
        <v>290</v>
      </c>
      <c r="AF258" s="6">
        <v>65</v>
      </c>
      <c r="AG258" s="6">
        <v>48</v>
      </c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4</v>
      </c>
      <c r="BK258" s="8">
        <v>324.57</v>
      </c>
      <c r="BL258" s="2" t="s">
        <v>1049</v>
      </c>
      <c r="BM258" s="7"/>
      <c r="BN258" s="7"/>
      <c r="BO258" s="4"/>
      <c r="BP258" s="8"/>
      <c r="BQ258" s="4"/>
      <c r="BR258" s="8"/>
      <c r="BS258" s="7"/>
      <c r="BT258" s="7"/>
      <c r="BU258" s="2" t="s">
        <v>109</v>
      </c>
      <c r="BV258" s="2" t="s">
        <v>97</v>
      </c>
      <c r="BW258" s="2" t="s">
        <v>137</v>
      </c>
      <c r="BX258" s="2" t="s">
        <v>1050</v>
      </c>
      <c r="BY258" s="2" t="s">
        <v>112</v>
      </c>
      <c r="BZ258" s="2" t="s">
        <v>100</v>
      </c>
    </row>
    <row r="259">
      <c r="A259" s="2" t="s">
        <v>1051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1003</v>
      </c>
      <c r="G259" s="2" t="s">
        <v>1004</v>
      </c>
      <c r="H259" s="2" t="s">
        <v>1005</v>
      </c>
      <c r="I259" s="2" t="s">
        <v>1006</v>
      </c>
      <c r="J259" s="2" t="s">
        <v>114</v>
      </c>
      <c r="K259" s="2" t="s">
        <v>434</v>
      </c>
      <c r="L259" s="3">
        <v>62.6</v>
      </c>
      <c r="M259" s="3">
        <v>65.73</v>
      </c>
      <c r="N259" s="3">
        <v>129.99</v>
      </c>
      <c r="O259" s="2" t="s">
        <v>97</v>
      </c>
      <c r="P259" s="2" t="s">
        <v>242</v>
      </c>
      <c r="Q259" s="2" t="s">
        <v>99</v>
      </c>
      <c r="R259" s="2" t="s">
        <v>100</v>
      </c>
      <c r="S259" s="2" t="s">
        <v>1052</v>
      </c>
      <c r="T259" s="2" t="s">
        <v>100</v>
      </c>
      <c r="U259" s="2" t="s">
        <v>102</v>
      </c>
      <c r="V259" s="2" t="s">
        <v>344</v>
      </c>
      <c r="W259" s="2" t="s">
        <v>104</v>
      </c>
      <c r="X259" s="2" t="s">
        <v>399</v>
      </c>
      <c r="Y259" s="2" t="s">
        <v>131</v>
      </c>
      <c r="Z259" s="4">
        <v>644</v>
      </c>
      <c r="AA259" s="4">
        <f>=ROUNDDOWN(23.8518518518519,0)</f>
      </c>
      <c r="AB259" s="5">
        <v>27</v>
      </c>
      <c r="AC259" s="2" t="s">
        <v>287</v>
      </c>
      <c r="AD259" s="4">
        <v>320</v>
      </c>
      <c r="AE259" s="4">
        <v>720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/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 t="s">
        <v>100</v>
      </c>
      <c r="BJ259" s="4">
        <v>6</v>
      </c>
      <c r="BK259" s="8">
        <v>400.03</v>
      </c>
      <c r="BL259" s="2" t="s">
        <v>330</v>
      </c>
      <c r="BM259" s="7"/>
      <c r="BN259" s="7"/>
      <c r="BO259" s="4"/>
      <c r="BP259" s="8"/>
      <c r="BQ259" s="4"/>
      <c r="BR259" s="8"/>
      <c r="BS259" s="7"/>
      <c r="BT259" s="7"/>
      <c r="BU259" s="2" t="s">
        <v>109</v>
      </c>
      <c r="BV259" s="2" t="s">
        <v>97</v>
      </c>
      <c r="BW259" s="2" t="s">
        <v>122</v>
      </c>
      <c r="BX259" s="2" t="s">
        <v>1053</v>
      </c>
      <c r="BY259" s="2" t="s">
        <v>112</v>
      </c>
      <c r="BZ259" s="2" t="s">
        <v>100</v>
      </c>
    </row>
    <row r="260">
      <c r="A260" s="2" t="s">
        <v>1054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1003</v>
      </c>
      <c r="G260" s="2" t="s">
        <v>1004</v>
      </c>
      <c r="H260" s="2" t="s">
        <v>1005</v>
      </c>
      <c r="I260" s="2" t="s">
        <v>1006</v>
      </c>
      <c r="J260" s="2" t="s">
        <v>120</v>
      </c>
      <c r="K260" s="2" t="s">
        <v>434</v>
      </c>
      <c r="L260" s="3">
        <v>71.53</v>
      </c>
      <c r="M260" s="3">
        <v>75.11</v>
      </c>
      <c r="N260" s="3">
        <v>149.99</v>
      </c>
      <c r="O260" s="2" t="s">
        <v>97</v>
      </c>
      <c r="P260" s="2" t="s">
        <v>242</v>
      </c>
      <c r="Q260" s="2" t="s">
        <v>99</v>
      </c>
      <c r="R260" s="2" t="s">
        <v>100</v>
      </c>
      <c r="S260" s="2" t="s">
        <v>1052</v>
      </c>
      <c r="T260" s="2" t="s">
        <v>100</v>
      </c>
      <c r="U260" s="2" t="s">
        <v>102</v>
      </c>
      <c r="V260" s="2" t="s">
        <v>344</v>
      </c>
      <c r="W260" s="2" t="s">
        <v>104</v>
      </c>
      <c r="X260" s="2" t="s">
        <v>399</v>
      </c>
      <c r="Y260" s="2" t="s">
        <v>131</v>
      </c>
      <c r="Z260" s="4">
        <v>530</v>
      </c>
      <c r="AA260" s="4">
        <f>=ROUNDDOWN(26.5,0)</f>
      </c>
      <c r="AB260" s="5">
        <v>20</v>
      </c>
      <c r="AC260" s="2" t="s">
        <v>287</v>
      </c>
      <c r="AD260" s="4">
        <v>280</v>
      </c>
      <c r="AE260" s="4">
        <v>490</v>
      </c>
      <c r="AF260" s="6">
        <v>65</v>
      </c>
      <c r="AG260" s="6">
        <v>48</v>
      </c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15</v>
      </c>
      <c r="BK260" s="8">
        <v>1191.39</v>
      </c>
      <c r="BL260" s="2" t="s">
        <v>1055</v>
      </c>
      <c r="BM260" s="7"/>
      <c r="BN260" s="7"/>
      <c r="BO260" s="4"/>
      <c r="BP260" s="8"/>
      <c r="BQ260" s="4"/>
      <c r="BR260" s="8"/>
      <c r="BS260" s="7"/>
      <c r="BT260" s="7"/>
      <c r="BU260" s="2" t="s">
        <v>109</v>
      </c>
      <c r="BV260" s="2" t="s">
        <v>97</v>
      </c>
      <c r="BW260" s="2" t="s">
        <v>122</v>
      </c>
      <c r="BX260" s="2" t="s">
        <v>151</v>
      </c>
      <c r="BY260" s="2" t="s">
        <v>112</v>
      </c>
      <c r="BZ260" s="2" t="s">
        <v>100</v>
      </c>
    </row>
    <row r="261">
      <c r="A261" s="2" t="s">
        <v>1056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1003</v>
      </c>
      <c r="G261" s="2" t="s">
        <v>1004</v>
      </c>
      <c r="H261" s="2" t="s">
        <v>1005</v>
      </c>
      <c r="I261" s="2" t="s">
        <v>1006</v>
      </c>
      <c r="J261" s="2" t="s">
        <v>124</v>
      </c>
      <c r="K261" s="2" t="s">
        <v>434</v>
      </c>
      <c r="L261" s="3">
        <v>71.53</v>
      </c>
      <c r="M261" s="3">
        <v>75.11</v>
      </c>
      <c r="N261" s="3">
        <v>149.99</v>
      </c>
      <c r="O261" s="2" t="s">
        <v>97</v>
      </c>
      <c r="P261" s="2" t="s">
        <v>242</v>
      </c>
      <c r="Q261" s="2" t="s">
        <v>99</v>
      </c>
      <c r="R261" s="2" t="s">
        <v>100</v>
      </c>
      <c r="S261" s="2" t="s">
        <v>1052</v>
      </c>
      <c r="T261" s="2" t="s">
        <v>100</v>
      </c>
      <c r="U261" s="2" t="s">
        <v>102</v>
      </c>
      <c r="V261" s="2" t="s">
        <v>344</v>
      </c>
      <c r="W261" s="2" t="s">
        <v>104</v>
      </c>
      <c r="X261" s="2" t="s">
        <v>399</v>
      </c>
      <c r="Y261" s="2" t="s">
        <v>131</v>
      </c>
      <c r="Z261" s="4">
        <v>336</v>
      </c>
      <c r="AA261" s="4">
        <f>=ROUNDDOWN(24,0)</f>
      </c>
      <c r="AB261" s="5">
        <v>14</v>
      </c>
      <c r="AC261" s="2" t="s">
        <v>287</v>
      </c>
      <c r="AD261" s="4">
        <v>120</v>
      </c>
      <c r="AE261" s="4">
        <v>280</v>
      </c>
      <c r="AF261" s="6">
        <v>65</v>
      </c>
      <c r="AG261" s="6">
        <v>48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8</v>
      </c>
      <c r="BK261" s="8">
        <v>654.42</v>
      </c>
      <c r="BL261" s="2" t="s">
        <v>407</v>
      </c>
      <c r="BM261" s="7"/>
      <c r="BN261" s="7"/>
      <c r="BO261" s="4"/>
      <c r="BP261" s="8"/>
      <c r="BQ261" s="4"/>
      <c r="BR261" s="8"/>
      <c r="BS261" s="7"/>
      <c r="BT261" s="7"/>
      <c r="BU261" s="2" t="s">
        <v>109</v>
      </c>
      <c r="BV261" s="2" t="s">
        <v>97</v>
      </c>
      <c r="BW261" s="2" t="s">
        <v>122</v>
      </c>
      <c r="BX261" s="2" t="s">
        <v>621</v>
      </c>
      <c r="BY261" s="2" t="s">
        <v>112</v>
      </c>
      <c r="BZ261" s="2" t="s">
        <v>100</v>
      </c>
    </row>
    <row r="262">
      <c r="A262" s="2" t="s">
        <v>1057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1058</v>
      </c>
      <c r="G262" s="2" t="s">
        <v>1059</v>
      </c>
      <c r="H262" s="2" t="s">
        <v>1060</v>
      </c>
      <c r="I262" s="2" t="s">
        <v>1061</v>
      </c>
      <c r="J262" s="2" t="s">
        <v>785</v>
      </c>
      <c r="K262" s="2" t="s">
        <v>1062</v>
      </c>
      <c r="L262" s="3">
        <v>72</v>
      </c>
      <c r="M262" s="3">
        <v>75.59</v>
      </c>
      <c r="N262" s="3">
        <v>149.99</v>
      </c>
      <c r="O262" s="2" t="s">
        <v>97</v>
      </c>
      <c r="P262" s="2" t="s">
        <v>447</v>
      </c>
      <c r="Q262" s="2" t="s">
        <v>99</v>
      </c>
      <c r="R262" s="2" t="s">
        <v>100</v>
      </c>
      <c r="S262" s="2" t="s">
        <v>1063</v>
      </c>
      <c r="T262" s="2" t="s">
        <v>100</v>
      </c>
      <c r="U262" s="2" t="s">
        <v>102</v>
      </c>
      <c r="V262" s="2" t="s">
        <v>608</v>
      </c>
      <c r="W262" s="2" t="s">
        <v>1064</v>
      </c>
      <c r="X262" s="2" t="s">
        <v>552</v>
      </c>
      <c r="Y262" s="2" t="s">
        <v>131</v>
      </c>
      <c r="Z262" s="4">
        <v>226</v>
      </c>
      <c r="AA262" s="4">
        <f>=ROUNDDOWN(18.8333333333333,0)</f>
      </c>
      <c r="AB262" s="5">
        <v>12</v>
      </c>
      <c r="AC262" s="2" t="s">
        <v>100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1</v>
      </c>
      <c r="AQ262" s="8">
        <v>74.03</v>
      </c>
      <c r="AR262" s="4"/>
      <c r="AS262" s="8"/>
      <c r="AT262" s="7"/>
      <c r="AU262" s="7"/>
      <c r="AV262" s="4">
        <v>1</v>
      </c>
      <c r="AW262" s="8">
        <v>74.03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1</v>
      </c>
      <c r="BC262" s="4">
        <v>1</v>
      </c>
      <c r="BD262" s="8">
        <v>74.03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>
        <v>1</v>
      </c>
      <c r="BJ262" s="4">
        <v>4</v>
      </c>
      <c r="BK262" s="8">
        <v>300.33</v>
      </c>
      <c r="BL262" s="2" t="s">
        <v>1065</v>
      </c>
      <c r="BM262" s="7">
        <v>0.25</v>
      </c>
      <c r="BN262" s="7">
        <v>0.2465</v>
      </c>
      <c r="BO262" s="4">
        <v>1</v>
      </c>
      <c r="BP262" s="8">
        <v>74.03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122</v>
      </c>
      <c r="BX262" s="2" t="s">
        <v>723</v>
      </c>
      <c r="BY262" s="2" t="s">
        <v>112</v>
      </c>
      <c r="BZ262" s="2" t="s">
        <v>100</v>
      </c>
    </row>
    <row r="263">
      <c r="A263" s="2" t="s">
        <v>1066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1058</v>
      </c>
      <c r="G263" s="2" t="s">
        <v>1059</v>
      </c>
      <c r="H263" s="2" t="s">
        <v>1060</v>
      </c>
      <c r="I263" s="2" t="s">
        <v>1061</v>
      </c>
      <c r="J263" s="2" t="s">
        <v>795</v>
      </c>
      <c r="K263" s="2" t="s">
        <v>1062</v>
      </c>
      <c r="L263" s="3">
        <v>81.6</v>
      </c>
      <c r="M263" s="3">
        <v>85.67</v>
      </c>
      <c r="N263" s="3">
        <v>169.99</v>
      </c>
      <c r="O263" s="2" t="s">
        <v>97</v>
      </c>
      <c r="P263" s="2" t="s">
        <v>447</v>
      </c>
      <c r="Q263" s="2" t="s">
        <v>99</v>
      </c>
      <c r="R263" s="2" t="s">
        <v>100</v>
      </c>
      <c r="S263" s="2" t="s">
        <v>1063</v>
      </c>
      <c r="T263" s="2" t="s">
        <v>100</v>
      </c>
      <c r="U263" s="2" t="s">
        <v>102</v>
      </c>
      <c r="V263" s="2" t="s">
        <v>608</v>
      </c>
      <c r="W263" s="2" t="s">
        <v>1064</v>
      </c>
      <c r="X263" s="2" t="s">
        <v>552</v>
      </c>
      <c r="Y263" s="2" t="s">
        <v>131</v>
      </c>
      <c r="Z263" s="4">
        <v>247</v>
      </c>
      <c r="AA263" s="4">
        <f>=ROUNDDOWN(16.4666666666667,0)</f>
      </c>
      <c r="AB263" s="5">
        <v>15</v>
      </c>
      <c r="AC263" s="2" t="s">
        <v>100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/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4</v>
      </c>
      <c r="BK263" s="8">
        <v>325.87</v>
      </c>
      <c r="BL263" s="2" t="s">
        <v>330</v>
      </c>
      <c r="BM263" s="7"/>
      <c r="BN263" s="7"/>
      <c r="BO263" s="4"/>
      <c r="BP263" s="8"/>
      <c r="BQ263" s="4"/>
      <c r="BR263" s="8"/>
      <c r="BS263" s="7"/>
      <c r="BT263" s="7"/>
      <c r="BU263" s="2" t="s">
        <v>109</v>
      </c>
      <c r="BV263" s="2" t="s">
        <v>97</v>
      </c>
      <c r="BW263" s="2" t="s">
        <v>122</v>
      </c>
      <c r="BX263" s="2" t="s">
        <v>585</v>
      </c>
      <c r="BY263" s="2" t="s">
        <v>112</v>
      </c>
      <c r="BZ263" s="2" t="s">
        <v>100</v>
      </c>
    </row>
    <row r="264">
      <c r="A264" s="2" t="s">
        <v>1067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1068</v>
      </c>
      <c r="G264" s="2" t="s">
        <v>640</v>
      </c>
      <c r="H264" s="2" t="s">
        <v>1069</v>
      </c>
      <c r="I264" s="2" t="s">
        <v>896</v>
      </c>
      <c r="J264" s="2" t="s">
        <v>114</v>
      </c>
      <c r="K264" s="2" t="s">
        <v>1070</v>
      </c>
      <c r="L264" s="3">
        <v>70.5</v>
      </c>
      <c r="M264" s="3">
        <v>74.02</v>
      </c>
      <c r="N264" s="3">
        <v>149.99</v>
      </c>
      <c r="O264" s="2" t="s">
        <v>97</v>
      </c>
      <c r="P264" s="2" t="s">
        <v>98</v>
      </c>
      <c r="Q264" s="2" t="s">
        <v>99</v>
      </c>
      <c r="R264" s="2" t="s">
        <v>100</v>
      </c>
      <c r="S264" s="2" t="s">
        <v>1071</v>
      </c>
      <c r="T264" s="2" t="s">
        <v>100</v>
      </c>
      <c r="U264" s="2" t="s">
        <v>283</v>
      </c>
      <c r="V264" s="2" t="s">
        <v>677</v>
      </c>
      <c r="W264" s="2" t="s">
        <v>104</v>
      </c>
      <c r="X264" s="2" t="s">
        <v>450</v>
      </c>
      <c r="Y264" s="2" t="s">
        <v>131</v>
      </c>
      <c r="Z264" s="4">
        <v>413</v>
      </c>
      <c r="AA264" s="4">
        <f>=ROUNDDOWN(19.6666666666667,0)</f>
      </c>
      <c r="AB264" s="5">
        <v>21</v>
      </c>
      <c r="AC264" s="2" t="s">
        <v>411</v>
      </c>
      <c r="AD264" s="4">
        <v>240</v>
      </c>
      <c r="AE264" s="4">
        <v>490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1</v>
      </c>
      <c r="AQ264" s="8">
        <v>73.97</v>
      </c>
      <c r="AR264" s="4"/>
      <c r="AS264" s="8"/>
      <c r="AT264" s="7"/>
      <c r="AU264" s="7"/>
      <c r="AV264" s="4">
        <v>1</v>
      </c>
      <c r="AW264" s="8">
        <v>73.97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1</v>
      </c>
      <c r="BC264" s="4">
        <v>1</v>
      </c>
      <c r="BD264" s="8">
        <v>73.97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>
        <v>1</v>
      </c>
      <c r="BJ264" s="4">
        <v>12</v>
      </c>
      <c r="BK264" s="8">
        <v>875.19</v>
      </c>
      <c r="BL264" s="2" t="s">
        <v>1072</v>
      </c>
      <c r="BM264" s="7">
        <v>0.0833</v>
      </c>
      <c r="BN264" s="7">
        <v>0.0845</v>
      </c>
      <c r="BO264" s="4">
        <v>1</v>
      </c>
      <c r="BP264" s="8">
        <v>73.97</v>
      </c>
      <c r="BQ264" s="4"/>
      <c r="BR264" s="8"/>
      <c r="BS264" s="7"/>
      <c r="BT264" s="7"/>
      <c r="BU264" s="2" t="s">
        <v>109</v>
      </c>
      <c r="BV264" s="2" t="s">
        <v>97</v>
      </c>
      <c r="BW264" s="2" t="s">
        <v>122</v>
      </c>
      <c r="BX264" s="2" t="s">
        <v>544</v>
      </c>
      <c r="BY264" s="2" t="s">
        <v>112</v>
      </c>
      <c r="BZ264" s="2" t="s">
        <v>100</v>
      </c>
    </row>
    <row r="265">
      <c r="A265" s="2" t="s">
        <v>1073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1068</v>
      </c>
      <c r="G265" s="2" t="s">
        <v>640</v>
      </c>
      <c r="H265" s="2" t="s">
        <v>1069</v>
      </c>
      <c r="I265" s="2" t="s">
        <v>896</v>
      </c>
      <c r="J265" s="2" t="s">
        <v>120</v>
      </c>
      <c r="K265" s="2" t="s">
        <v>1070</v>
      </c>
      <c r="L265" s="3">
        <v>79.9</v>
      </c>
      <c r="M265" s="3">
        <v>83.89</v>
      </c>
      <c r="N265" s="3">
        <v>169.99</v>
      </c>
      <c r="O265" s="2" t="s">
        <v>97</v>
      </c>
      <c r="P265" s="2" t="s">
        <v>98</v>
      </c>
      <c r="Q265" s="2" t="s">
        <v>99</v>
      </c>
      <c r="R265" s="2" t="s">
        <v>100</v>
      </c>
      <c r="S265" s="2" t="s">
        <v>1071</v>
      </c>
      <c r="T265" s="2" t="s">
        <v>100</v>
      </c>
      <c r="U265" s="2" t="s">
        <v>283</v>
      </c>
      <c r="V265" s="2" t="s">
        <v>677</v>
      </c>
      <c r="W265" s="2" t="s">
        <v>104</v>
      </c>
      <c r="X265" s="2" t="s">
        <v>450</v>
      </c>
      <c r="Y265" s="2" t="s">
        <v>131</v>
      </c>
      <c r="Z265" s="4">
        <v>195</v>
      </c>
      <c r="AA265" s="4">
        <f>=ROUNDDOWN(21.6666666666667,0)</f>
      </c>
      <c r="AB265" s="5">
        <v>9</v>
      </c>
      <c r="AC265" s="2" t="s">
        <v>411</v>
      </c>
      <c r="AD265" s="4">
        <v>70</v>
      </c>
      <c r="AE265" s="4">
        <v>170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5</v>
      </c>
      <c r="BK265" s="8">
        <v>382.9</v>
      </c>
      <c r="BL265" s="2" t="s">
        <v>501</v>
      </c>
      <c r="BM265" s="7"/>
      <c r="BN265" s="7"/>
      <c r="BO265" s="4"/>
      <c r="BP265" s="8"/>
      <c r="BQ265" s="4"/>
      <c r="BR265" s="8"/>
      <c r="BS265" s="7"/>
      <c r="BT265" s="7"/>
      <c r="BU265" s="2" t="s">
        <v>109</v>
      </c>
      <c r="BV265" s="2" t="s">
        <v>97</v>
      </c>
      <c r="BW265" s="2" t="s">
        <v>122</v>
      </c>
      <c r="BX265" s="2" t="s">
        <v>1074</v>
      </c>
      <c r="BY265" s="2" t="s">
        <v>112</v>
      </c>
      <c r="BZ265" s="2" t="s">
        <v>100</v>
      </c>
    </row>
    <row r="266">
      <c r="A266" s="2" t="s">
        <v>1075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1068</v>
      </c>
      <c r="G266" s="2" t="s">
        <v>640</v>
      </c>
      <c r="H266" s="2" t="s">
        <v>1069</v>
      </c>
      <c r="I266" s="2" t="s">
        <v>896</v>
      </c>
      <c r="J266" s="2" t="s">
        <v>124</v>
      </c>
      <c r="K266" s="2" t="s">
        <v>1070</v>
      </c>
      <c r="L266" s="3">
        <v>78.2</v>
      </c>
      <c r="M266" s="3">
        <v>82.11</v>
      </c>
      <c r="N266" s="3">
        <v>169.99</v>
      </c>
      <c r="O266" s="2" t="s">
        <v>97</v>
      </c>
      <c r="P266" s="2" t="s">
        <v>98</v>
      </c>
      <c r="Q266" s="2" t="s">
        <v>99</v>
      </c>
      <c r="R266" s="2" t="s">
        <v>100</v>
      </c>
      <c r="S266" s="2" t="s">
        <v>1076</v>
      </c>
      <c r="T266" s="2" t="s">
        <v>100</v>
      </c>
      <c r="U266" s="2" t="s">
        <v>283</v>
      </c>
      <c r="V266" s="2" t="s">
        <v>677</v>
      </c>
      <c r="W266" s="2" t="s">
        <v>104</v>
      </c>
      <c r="X266" s="2" t="s">
        <v>450</v>
      </c>
      <c r="Y266" s="2" t="s">
        <v>131</v>
      </c>
      <c r="Z266" s="4">
        <v>120</v>
      </c>
      <c r="AA266" s="4">
        <f>=ROUNDDOWN(20,0)</f>
      </c>
      <c r="AB266" s="5">
        <v>6</v>
      </c>
      <c r="AC266" s="2" t="s">
        <v>411</v>
      </c>
      <c r="AD266" s="4">
        <v>70</v>
      </c>
      <c r="AE266" s="4">
        <v>140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/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 t="s">
        <v>100</v>
      </c>
      <c r="BJ266" s="4">
        <v>2</v>
      </c>
      <c r="BK266" s="8">
        <v>164.81</v>
      </c>
      <c r="BL266" s="2" t="s">
        <v>1077</v>
      </c>
      <c r="BM266" s="7"/>
      <c r="BN266" s="7"/>
      <c r="BO266" s="4"/>
      <c r="BP266" s="8"/>
      <c r="BQ266" s="4"/>
      <c r="BR266" s="8"/>
      <c r="BS266" s="7"/>
      <c r="BT266" s="7"/>
      <c r="BU266" s="2" t="s">
        <v>109</v>
      </c>
      <c r="BV266" s="2" t="s">
        <v>97</v>
      </c>
      <c r="BW266" s="2" t="s">
        <v>122</v>
      </c>
      <c r="BX266" s="2" t="s">
        <v>1078</v>
      </c>
      <c r="BY266" s="2" t="s">
        <v>112</v>
      </c>
      <c r="BZ266" s="2" t="s">
        <v>100</v>
      </c>
    </row>
    <row r="267">
      <c r="A267" s="2" t="s">
        <v>1079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1080</v>
      </c>
      <c r="G267" s="2" t="s">
        <v>1081</v>
      </c>
      <c r="H267" s="2" t="s">
        <v>1082</v>
      </c>
      <c r="I267" s="2" t="s">
        <v>1083</v>
      </c>
      <c r="J267" s="2" t="s">
        <v>785</v>
      </c>
      <c r="K267" s="2" t="s">
        <v>253</v>
      </c>
      <c r="L267" s="3">
        <v>57.14</v>
      </c>
      <c r="M267" s="3">
        <v>60</v>
      </c>
      <c r="N267" s="3">
        <v>119.99</v>
      </c>
      <c r="O267" s="2" t="s">
        <v>473</v>
      </c>
      <c r="P267" s="2" t="s">
        <v>447</v>
      </c>
      <c r="Q267" s="2" t="s">
        <v>99</v>
      </c>
      <c r="R267" s="2" t="s">
        <v>100</v>
      </c>
      <c r="S267" s="2" t="s">
        <v>1084</v>
      </c>
      <c r="T267" s="2" t="s">
        <v>787</v>
      </c>
      <c r="U267" s="2" t="s">
        <v>283</v>
      </c>
      <c r="V267" s="2" t="s">
        <v>663</v>
      </c>
      <c r="W267" s="2" t="s">
        <v>104</v>
      </c>
      <c r="X267" s="2" t="s">
        <v>1085</v>
      </c>
      <c r="Y267" s="2" t="s">
        <v>1086</v>
      </c>
      <c r="Z267" s="4">
        <v>315</v>
      </c>
      <c r="AA267" s="4">
        <f>=ROUNDDOWN(31.8181818181818,0)</f>
      </c>
      <c r="AB267" s="5">
        <v>9.9</v>
      </c>
      <c r="AC267" s="2" t="s">
        <v>100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>
        <v>1</v>
      </c>
      <c r="AW267" s="8">
        <v>73.49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/>
      <c r="BC267" s="4">
        <v>1</v>
      </c>
      <c r="BD267" s="8">
        <v>73.49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>
        <v>1</v>
      </c>
      <c r="BJ267" s="4">
        <v>8</v>
      </c>
      <c r="BK267" s="8">
        <v>509.64</v>
      </c>
      <c r="BL267" s="2" t="s">
        <v>1087</v>
      </c>
      <c r="BM267" s="7"/>
      <c r="BN267" s="7"/>
      <c r="BO267" s="4"/>
      <c r="BP267" s="8"/>
      <c r="BQ267" s="4"/>
      <c r="BR267" s="8"/>
      <c r="BS267" s="7"/>
      <c r="BT267" s="7"/>
      <c r="BU267" s="2" t="s">
        <v>109</v>
      </c>
      <c r="BV267" s="2" t="s">
        <v>97</v>
      </c>
      <c r="BW267" s="2" t="s">
        <v>566</v>
      </c>
      <c r="BX267" s="2" t="s">
        <v>884</v>
      </c>
      <c r="BY267" s="2" t="s">
        <v>112</v>
      </c>
      <c r="BZ267" s="2" t="s">
        <v>100</v>
      </c>
    </row>
    <row r="268">
      <c r="A268" s="2" t="s">
        <v>1088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1080</v>
      </c>
      <c r="G268" s="2" t="s">
        <v>1081</v>
      </c>
      <c r="H268" s="2" t="s">
        <v>1082</v>
      </c>
      <c r="I268" s="2" t="s">
        <v>1083</v>
      </c>
      <c r="J268" s="2" t="s">
        <v>795</v>
      </c>
      <c r="K268" s="2" t="s">
        <v>253</v>
      </c>
      <c r="L268" s="3">
        <v>66.66</v>
      </c>
      <c r="M268" s="3">
        <v>69.99</v>
      </c>
      <c r="N268" s="3">
        <v>139.99</v>
      </c>
      <c r="O268" s="2" t="s">
        <v>473</v>
      </c>
      <c r="P268" s="2" t="s">
        <v>447</v>
      </c>
      <c r="Q268" s="2" t="s">
        <v>99</v>
      </c>
      <c r="R268" s="2" t="s">
        <v>100</v>
      </c>
      <c r="S268" s="2" t="s">
        <v>1084</v>
      </c>
      <c r="T268" s="2" t="s">
        <v>787</v>
      </c>
      <c r="U268" s="2" t="s">
        <v>283</v>
      </c>
      <c r="V268" s="2" t="s">
        <v>663</v>
      </c>
      <c r="W268" s="2" t="s">
        <v>104</v>
      </c>
      <c r="X268" s="2" t="s">
        <v>1085</v>
      </c>
      <c r="Y268" s="2" t="s">
        <v>1086</v>
      </c>
      <c r="Z268" s="4">
        <v>330</v>
      </c>
      <c r="AA268" s="4">
        <f>=ROUNDDOWN(39.2857142857143,0)</f>
      </c>
      <c r="AB268" s="5">
        <v>8.4</v>
      </c>
      <c r="AC268" s="2" t="s">
        <v>100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1</v>
      </c>
      <c r="AQ268" s="8">
        <v>73.49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1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12</v>
      </c>
      <c r="BK268" s="8">
        <v>808.62</v>
      </c>
      <c r="BL268" s="2" t="s">
        <v>1089</v>
      </c>
      <c r="BM268" s="7">
        <v>0.0833</v>
      </c>
      <c r="BN268" s="7">
        <v>0.0909</v>
      </c>
      <c r="BO268" s="4">
        <v>1</v>
      </c>
      <c r="BP268" s="8">
        <v>73.49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566</v>
      </c>
      <c r="BX268" s="2" t="s">
        <v>1090</v>
      </c>
      <c r="BY268" s="2" t="s">
        <v>112</v>
      </c>
      <c r="BZ268" s="2" t="s">
        <v>100</v>
      </c>
    </row>
    <row r="269">
      <c r="A269" s="2" t="s">
        <v>1091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1092</v>
      </c>
      <c r="G269" s="2" t="s">
        <v>1093</v>
      </c>
      <c r="H269" s="2" t="s">
        <v>1094</v>
      </c>
      <c r="I269" s="2" t="s">
        <v>660</v>
      </c>
      <c r="J269" s="2" t="s">
        <v>114</v>
      </c>
      <c r="K269" s="2" t="s">
        <v>129</v>
      </c>
      <c r="L269" s="3">
        <v>67.2</v>
      </c>
      <c r="M269" s="3">
        <v>70.55</v>
      </c>
      <c r="N269" s="3">
        <v>139.99</v>
      </c>
      <c r="O269" s="2" t="s">
        <v>473</v>
      </c>
      <c r="P269" s="2" t="s">
        <v>447</v>
      </c>
      <c r="Q269" s="2" t="s">
        <v>99</v>
      </c>
      <c r="R269" s="2" t="s">
        <v>100</v>
      </c>
      <c r="S269" s="2" t="s">
        <v>1095</v>
      </c>
      <c r="T269" s="2" t="s">
        <v>100</v>
      </c>
      <c r="U269" s="2" t="s">
        <v>102</v>
      </c>
      <c r="V269" s="2" t="s">
        <v>645</v>
      </c>
      <c r="W269" s="2" t="s">
        <v>104</v>
      </c>
      <c r="X269" s="2" t="s">
        <v>450</v>
      </c>
      <c r="Y269" s="2" t="s">
        <v>131</v>
      </c>
      <c r="Z269" s="4">
        <v>538</v>
      </c>
      <c r="AA269" s="4">
        <f>=ROUNDDOWN(53.8,0)</f>
      </c>
      <c r="AB269" s="5">
        <v>10</v>
      </c>
      <c r="AC269" s="2" t="s">
        <v>100</v>
      </c>
      <c r="AD269" s="4"/>
      <c r="AE269" s="4"/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>
        <v>1</v>
      </c>
      <c r="AQ269" s="8">
        <v>70.45</v>
      </c>
      <c r="AR269" s="4"/>
      <c r="AS269" s="8"/>
      <c r="AT269" s="7"/>
      <c r="AU269" s="7"/>
      <c r="AV269" s="4">
        <v>1</v>
      </c>
      <c r="AW269" s="8">
        <v>70.45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>
        <v>1</v>
      </c>
      <c r="BC269" s="4">
        <v>1</v>
      </c>
      <c r="BD269" s="8">
        <v>70.45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>
        <v>1</v>
      </c>
      <c r="BJ269" s="4">
        <v>6</v>
      </c>
      <c r="BK269" s="8">
        <v>422.52</v>
      </c>
      <c r="BL269" s="2" t="s">
        <v>1096</v>
      </c>
      <c r="BM269" s="7">
        <v>0.1667</v>
      </c>
      <c r="BN269" s="7">
        <v>0.1667</v>
      </c>
      <c r="BO269" s="4">
        <v>1</v>
      </c>
      <c r="BP269" s="8">
        <v>70.45</v>
      </c>
      <c r="BQ269" s="4"/>
      <c r="BR269" s="8"/>
      <c r="BS269" s="7"/>
      <c r="BT269" s="7"/>
      <c r="BU269" s="2" t="s">
        <v>109</v>
      </c>
      <c r="BV269" s="2" t="s">
        <v>97</v>
      </c>
      <c r="BW269" s="2" t="s">
        <v>122</v>
      </c>
      <c r="BX269" s="2" t="s">
        <v>1097</v>
      </c>
      <c r="BY269" s="2" t="s">
        <v>112</v>
      </c>
      <c r="BZ269" s="2" t="s">
        <v>100</v>
      </c>
    </row>
    <row r="270">
      <c r="A270" s="2" t="s">
        <v>1098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1092</v>
      </c>
      <c r="G270" s="2" t="s">
        <v>1093</v>
      </c>
      <c r="H270" s="2" t="s">
        <v>1094</v>
      </c>
      <c r="I270" s="2" t="s">
        <v>660</v>
      </c>
      <c r="J270" s="2" t="s">
        <v>120</v>
      </c>
      <c r="K270" s="2" t="s">
        <v>129</v>
      </c>
      <c r="L270" s="3">
        <v>76.8</v>
      </c>
      <c r="M270" s="3">
        <v>80.63</v>
      </c>
      <c r="N270" s="3">
        <v>159.99</v>
      </c>
      <c r="O270" s="2" t="s">
        <v>473</v>
      </c>
      <c r="P270" s="2" t="s">
        <v>447</v>
      </c>
      <c r="Q270" s="2" t="s">
        <v>99</v>
      </c>
      <c r="R270" s="2" t="s">
        <v>100</v>
      </c>
      <c r="S270" s="2" t="s">
        <v>1095</v>
      </c>
      <c r="T270" s="2" t="s">
        <v>100</v>
      </c>
      <c r="U270" s="2" t="s">
        <v>102</v>
      </c>
      <c r="V270" s="2" t="s">
        <v>645</v>
      </c>
      <c r="W270" s="2" t="s">
        <v>104</v>
      </c>
      <c r="X270" s="2" t="s">
        <v>450</v>
      </c>
      <c r="Y270" s="2" t="s">
        <v>131</v>
      </c>
      <c r="Z270" s="4">
        <v>427</v>
      </c>
      <c r="AA270" s="4">
        <f>=ROUNDDOWN(53.375,0)</f>
      </c>
      <c r="AB270" s="5">
        <v>8</v>
      </c>
      <c r="AC270" s="2" t="s">
        <v>100</v>
      </c>
      <c r="AD270" s="4"/>
      <c r="AE270" s="4"/>
      <c r="AF270" s="6">
        <v>65</v>
      </c>
      <c r="AG270" s="6">
        <v>48</v>
      </c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/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3</v>
      </c>
      <c r="BK270" s="8">
        <v>195.78</v>
      </c>
      <c r="BL270" s="2" t="s">
        <v>543</v>
      </c>
      <c r="BM270" s="7"/>
      <c r="BN270" s="7"/>
      <c r="BO270" s="4"/>
      <c r="BP270" s="8"/>
      <c r="BQ270" s="4"/>
      <c r="BR270" s="8"/>
      <c r="BS270" s="7"/>
      <c r="BT270" s="7"/>
      <c r="BU270" s="2" t="s">
        <v>109</v>
      </c>
      <c r="BV270" s="2" t="s">
        <v>97</v>
      </c>
      <c r="BW270" s="2" t="s">
        <v>122</v>
      </c>
      <c r="BX270" s="2" t="s">
        <v>1009</v>
      </c>
      <c r="BY270" s="2" t="s">
        <v>112</v>
      </c>
      <c r="BZ270" s="2" t="s">
        <v>100</v>
      </c>
    </row>
    <row r="271">
      <c r="A271" s="2" t="s">
        <v>1099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1092</v>
      </c>
      <c r="G271" s="2" t="s">
        <v>1093</v>
      </c>
      <c r="H271" s="2" t="s">
        <v>1094</v>
      </c>
      <c r="I271" s="2" t="s">
        <v>660</v>
      </c>
      <c r="J271" s="2" t="s">
        <v>124</v>
      </c>
      <c r="K271" s="2" t="s">
        <v>129</v>
      </c>
      <c r="L271" s="3">
        <v>76.8</v>
      </c>
      <c r="M271" s="3">
        <v>80.63</v>
      </c>
      <c r="N271" s="3">
        <v>159.99</v>
      </c>
      <c r="O271" s="2" t="s">
        <v>473</v>
      </c>
      <c r="P271" s="2" t="s">
        <v>447</v>
      </c>
      <c r="Q271" s="2" t="s">
        <v>99</v>
      </c>
      <c r="R271" s="2" t="s">
        <v>100</v>
      </c>
      <c r="S271" s="2" t="s">
        <v>1095</v>
      </c>
      <c r="T271" s="2" t="s">
        <v>100</v>
      </c>
      <c r="U271" s="2" t="s">
        <v>102</v>
      </c>
      <c r="V271" s="2" t="s">
        <v>645</v>
      </c>
      <c r="W271" s="2" t="s">
        <v>104</v>
      </c>
      <c r="X271" s="2" t="s">
        <v>450</v>
      </c>
      <c r="Y271" s="2" t="s">
        <v>131</v>
      </c>
      <c r="Z271" s="4">
        <v>199</v>
      </c>
      <c r="AA271" s="4">
        <f>=ROUNDDOWN(49.75,0)</f>
      </c>
      <c r="AB271" s="5">
        <v>4</v>
      </c>
      <c r="AC271" s="2" t="s">
        <v>100</v>
      </c>
      <c r="AD271" s="4"/>
      <c r="AE271" s="4"/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/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3</v>
      </c>
      <c r="BK271" s="8">
        <v>222.68</v>
      </c>
      <c r="BL271" s="2" t="s">
        <v>108</v>
      </c>
      <c r="BM271" s="7"/>
      <c r="BN271" s="7"/>
      <c r="BO271" s="4"/>
      <c r="BP271" s="8"/>
      <c r="BQ271" s="4"/>
      <c r="BR271" s="8"/>
      <c r="BS271" s="7"/>
      <c r="BT271" s="7"/>
      <c r="BU271" s="2" t="s">
        <v>109</v>
      </c>
      <c r="BV271" s="2" t="s">
        <v>97</v>
      </c>
      <c r="BW271" s="2" t="s">
        <v>122</v>
      </c>
      <c r="BX271" s="2" t="s">
        <v>196</v>
      </c>
      <c r="BY271" s="2" t="s">
        <v>112</v>
      </c>
      <c r="BZ271" s="2" t="s">
        <v>100</v>
      </c>
    </row>
    <row r="272">
      <c r="A272" s="2" t="s">
        <v>1100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1092</v>
      </c>
      <c r="G272" s="2" t="s">
        <v>1093</v>
      </c>
      <c r="H272" s="2" t="s">
        <v>1094</v>
      </c>
      <c r="I272" s="2" t="s">
        <v>660</v>
      </c>
      <c r="J272" s="2" t="s">
        <v>114</v>
      </c>
      <c r="K272" s="2" t="s">
        <v>213</v>
      </c>
      <c r="L272" s="3">
        <v>67.2</v>
      </c>
      <c r="M272" s="3">
        <v>70.55</v>
      </c>
      <c r="N272" s="3">
        <v>139.99</v>
      </c>
      <c r="O272" s="2" t="s">
        <v>473</v>
      </c>
      <c r="P272" s="2" t="s">
        <v>447</v>
      </c>
      <c r="Q272" s="2" t="s">
        <v>99</v>
      </c>
      <c r="R272" s="2" t="s">
        <v>100</v>
      </c>
      <c r="S272" s="2" t="s">
        <v>1101</v>
      </c>
      <c r="T272" s="2" t="s">
        <v>100</v>
      </c>
      <c r="U272" s="2" t="s">
        <v>102</v>
      </c>
      <c r="V272" s="2" t="s">
        <v>645</v>
      </c>
      <c r="W272" s="2" t="s">
        <v>104</v>
      </c>
      <c r="X272" s="2" t="s">
        <v>450</v>
      </c>
      <c r="Y272" s="2" t="s">
        <v>131</v>
      </c>
      <c r="Z272" s="4">
        <v>60</v>
      </c>
      <c r="AA272" s="4">
        <f>=ROUNDDOWN(12,0)</f>
      </c>
      <c r="AB272" s="5">
        <v>5</v>
      </c>
      <c r="AC272" s="2" t="s">
        <v>100</v>
      </c>
      <c r="AD272" s="4"/>
      <c r="AE272" s="4"/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/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 t="s">
        <v>100</v>
      </c>
      <c r="BJ272" s="4">
        <v>3</v>
      </c>
      <c r="BK272" s="8">
        <v>207.98</v>
      </c>
      <c r="BL272" s="2" t="s">
        <v>1102</v>
      </c>
      <c r="BM272" s="7"/>
      <c r="BN272" s="7"/>
      <c r="BO272" s="4"/>
      <c r="BP272" s="8"/>
      <c r="BQ272" s="4"/>
      <c r="BR272" s="8"/>
      <c r="BS272" s="7"/>
      <c r="BT272" s="7"/>
      <c r="BU272" s="2" t="s">
        <v>109</v>
      </c>
      <c r="BV272" s="2" t="s">
        <v>97</v>
      </c>
      <c r="BW272" s="2" t="s">
        <v>122</v>
      </c>
      <c r="BX272" s="2" t="s">
        <v>1103</v>
      </c>
      <c r="BY272" s="2" t="s">
        <v>112</v>
      </c>
      <c r="BZ272" s="2" t="s">
        <v>100</v>
      </c>
    </row>
    <row r="273">
      <c r="A273" s="2" t="s">
        <v>1104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1092</v>
      </c>
      <c r="G273" s="2" t="s">
        <v>1093</v>
      </c>
      <c r="H273" s="2" t="s">
        <v>1094</v>
      </c>
      <c r="I273" s="2" t="s">
        <v>660</v>
      </c>
      <c r="J273" s="2" t="s">
        <v>124</v>
      </c>
      <c r="K273" s="2" t="s">
        <v>213</v>
      </c>
      <c r="L273" s="3">
        <v>76.8</v>
      </c>
      <c r="M273" s="3">
        <v>80.63</v>
      </c>
      <c r="N273" s="3">
        <v>159.99</v>
      </c>
      <c r="O273" s="2" t="s">
        <v>473</v>
      </c>
      <c r="P273" s="2" t="s">
        <v>447</v>
      </c>
      <c r="Q273" s="2" t="s">
        <v>99</v>
      </c>
      <c r="R273" s="2" t="s">
        <v>100</v>
      </c>
      <c r="S273" s="2" t="s">
        <v>1101</v>
      </c>
      <c r="T273" s="2" t="s">
        <v>100</v>
      </c>
      <c r="U273" s="2" t="s">
        <v>102</v>
      </c>
      <c r="V273" s="2" t="s">
        <v>645</v>
      </c>
      <c r="W273" s="2" t="s">
        <v>104</v>
      </c>
      <c r="X273" s="2" t="s">
        <v>450</v>
      </c>
      <c r="Y273" s="2" t="s">
        <v>131</v>
      </c>
      <c r="Z273" s="4">
        <v>36</v>
      </c>
      <c r="AA273" s="4">
        <f>=ROUNDDOWN(9,0)</f>
      </c>
      <c r="AB273" s="5">
        <v>4</v>
      </c>
      <c r="AC273" s="2" t="s">
        <v>100</v>
      </c>
      <c r="AD273" s="4"/>
      <c r="AE273" s="4"/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3</v>
      </c>
      <c r="BK273" s="8">
        <v>238.76</v>
      </c>
      <c r="BL273" s="2" t="s">
        <v>169</v>
      </c>
      <c r="BM273" s="7"/>
      <c r="BN273" s="7"/>
      <c r="BO273" s="4"/>
      <c r="BP273" s="8"/>
      <c r="BQ273" s="4"/>
      <c r="BR273" s="8"/>
      <c r="BS273" s="7"/>
      <c r="BT273" s="7"/>
      <c r="BU273" s="2" t="s">
        <v>109</v>
      </c>
      <c r="BV273" s="2" t="s">
        <v>97</v>
      </c>
      <c r="BW273" s="2" t="s">
        <v>122</v>
      </c>
      <c r="BX273" s="2" t="s">
        <v>1105</v>
      </c>
      <c r="BY273" s="2" t="s">
        <v>112</v>
      </c>
      <c r="BZ273" s="2" t="s">
        <v>100</v>
      </c>
    </row>
    <row r="274">
      <c r="A274" s="2" t="s">
        <v>1106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1107</v>
      </c>
      <c r="G274" s="2" t="s">
        <v>1108</v>
      </c>
      <c r="H274" s="2" t="s">
        <v>1109</v>
      </c>
      <c r="I274" s="2" t="s">
        <v>1110</v>
      </c>
      <c r="J274" s="2" t="s">
        <v>114</v>
      </c>
      <c r="K274" s="2" t="s">
        <v>763</v>
      </c>
      <c r="L274" s="3">
        <v>67.2</v>
      </c>
      <c r="M274" s="3">
        <v>70.55</v>
      </c>
      <c r="N274" s="3">
        <v>139.99</v>
      </c>
      <c r="O274" s="2" t="s">
        <v>97</v>
      </c>
      <c r="P274" s="2" t="s">
        <v>447</v>
      </c>
      <c r="Q274" s="2" t="s">
        <v>99</v>
      </c>
      <c r="R274" s="2" t="s">
        <v>100</v>
      </c>
      <c r="S274" s="2" t="s">
        <v>1111</v>
      </c>
      <c r="T274" s="2" t="s">
        <v>100</v>
      </c>
      <c r="U274" s="2" t="s">
        <v>283</v>
      </c>
      <c r="V274" s="2" t="s">
        <v>1112</v>
      </c>
      <c r="W274" s="2" t="s">
        <v>104</v>
      </c>
      <c r="X274" s="2" t="s">
        <v>1113</v>
      </c>
      <c r="Y274" s="2" t="s">
        <v>131</v>
      </c>
      <c r="Z274" s="4">
        <v>421</v>
      </c>
      <c r="AA274" s="4">
        <f>=ROUNDDOWN(35.0833333333333,0)</f>
      </c>
      <c r="AB274" s="5">
        <v>12</v>
      </c>
      <c r="AC274" s="2" t="s">
        <v>1114</v>
      </c>
      <c r="AD274" s="4">
        <v>158</v>
      </c>
      <c r="AE274" s="4">
        <v>158</v>
      </c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1</v>
      </c>
      <c r="AQ274" s="8">
        <v>68.34</v>
      </c>
      <c r="AR274" s="4"/>
      <c r="AS274" s="8"/>
      <c r="AT274" s="7"/>
      <c r="AU274" s="7"/>
      <c r="AV274" s="4">
        <v>1</v>
      </c>
      <c r="AW274" s="8">
        <v>68.34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1</v>
      </c>
      <c r="BC274" s="4">
        <v>1</v>
      </c>
      <c r="BD274" s="8">
        <v>68.34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>
        <v>1</v>
      </c>
      <c r="BJ274" s="4">
        <v>8</v>
      </c>
      <c r="BK274" s="8">
        <v>533.67</v>
      </c>
      <c r="BL274" s="2" t="s">
        <v>1115</v>
      </c>
      <c r="BM274" s="7">
        <v>0.125</v>
      </c>
      <c r="BN274" s="7">
        <v>0.1281</v>
      </c>
      <c r="BO274" s="4">
        <v>1</v>
      </c>
      <c r="BP274" s="8">
        <v>68.34</v>
      </c>
      <c r="BQ274" s="4"/>
      <c r="BR274" s="8"/>
      <c r="BS274" s="7"/>
      <c r="BT274" s="7"/>
      <c r="BU274" s="2" t="s">
        <v>109</v>
      </c>
      <c r="BV274" s="2" t="s">
        <v>97</v>
      </c>
      <c r="BW274" s="2" t="s">
        <v>137</v>
      </c>
      <c r="BX274" s="2" t="s">
        <v>711</v>
      </c>
      <c r="BY274" s="2" t="s">
        <v>112</v>
      </c>
      <c r="BZ274" s="2" t="s">
        <v>100</v>
      </c>
    </row>
    <row r="275">
      <c r="A275" s="2" t="s">
        <v>1116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1107</v>
      </c>
      <c r="G275" s="2" t="s">
        <v>1108</v>
      </c>
      <c r="H275" s="2" t="s">
        <v>1109</v>
      </c>
      <c r="I275" s="2" t="s">
        <v>1110</v>
      </c>
      <c r="J275" s="2" t="s">
        <v>120</v>
      </c>
      <c r="K275" s="2" t="s">
        <v>763</v>
      </c>
      <c r="L275" s="3">
        <v>78.4</v>
      </c>
      <c r="M275" s="3">
        <v>82.31</v>
      </c>
      <c r="N275" s="3">
        <v>159.99</v>
      </c>
      <c r="O275" s="2" t="s">
        <v>97</v>
      </c>
      <c r="P275" s="2" t="s">
        <v>447</v>
      </c>
      <c r="Q275" s="2" t="s">
        <v>99</v>
      </c>
      <c r="R275" s="2" t="s">
        <v>100</v>
      </c>
      <c r="S275" s="2" t="s">
        <v>1111</v>
      </c>
      <c r="T275" s="2" t="s">
        <v>100</v>
      </c>
      <c r="U275" s="2" t="s">
        <v>283</v>
      </c>
      <c r="V275" s="2" t="s">
        <v>1112</v>
      </c>
      <c r="W275" s="2" t="s">
        <v>104</v>
      </c>
      <c r="X275" s="2" t="s">
        <v>1113</v>
      </c>
      <c r="Y275" s="2" t="s">
        <v>131</v>
      </c>
      <c r="Z275" s="4">
        <v>313</v>
      </c>
      <c r="AA275" s="4">
        <f>=ROUNDDOWN(34.7777777777778,0)</f>
      </c>
      <c r="AB275" s="5">
        <v>9</v>
      </c>
      <c r="AC275" s="2" t="s">
        <v>1114</v>
      </c>
      <c r="AD275" s="4">
        <v>122</v>
      </c>
      <c r="AE275" s="4">
        <v>122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/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 t="s">
        <v>100</v>
      </c>
      <c r="BJ275" s="4">
        <v>10</v>
      </c>
      <c r="BK275" s="8">
        <v>789.31</v>
      </c>
      <c r="BL275" s="2" t="s">
        <v>523</v>
      </c>
      <c r="BM275" s="7"/>
      <c r="BN275" s="7"/>
      <c r="BO275" s="4"/>
      <c r="BP275" s="8"/>
      <c r="BQ275" s="4"/>
      <c r="BR275" s="8"/>
      <c r="BS275" s="7"/>
      <c r="BT275" s="7"/>
      <c r="BU275" s="2" t="s">
        <v>109</v>
      </c>
      <c r="BV275" s="2" t="s">
        <v>97</v>
      </c>
      <c r="BW275" s="2" t="s">
        <v>137</v>
      </c>
      <c r="BX275" s="2" t="s">
        <v>118</v>
      </c>
      <c r="BY275" s="2" t="s">
        <v>112</v>
      </c>
      <c r="BZ275" s="2" t="s">
        <v>100</v>
      </c>
    </row>
    <row r="276">
      <c r="A276" s="2" t="s">
        <v>1117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1107</v>
      </c>
      <c r="G276" s="2" t="s">
        <v>1108</v>
      </c>
      <c r="H276" s="2" t="s">
        <v>1109</v>
      </c>
      <c r="I276" s="2" t="s">
        <v>1110</v>
      </c>
      <c r="J276" s="2" t="s">
        <v>124</v>
      </c>
      <c r="K276" s="2" t="s">
        <v>763</v>
      </c>
      <c r="L276" s="3">
        <v>78.4</v>
      </c>
      <c r="M276" s="3">
        <v>82.31</v>
      </c>
      <c r="N276" s="3">
        <v>159.99</v>
      </c>
      <c r="O276" s="2" t="s">
        <v>473</v>
      </c>
      <c r="P276" s="2" t="s">
        <v>447</v>
      </c>
      <c r="Q276" s="2" t="s">
        <v>99</v>
      </c>
      <c r="R276" s="2" t="s">
        <v>100</v>
      </c>
      <c r="S276" s="2" t="s">
        <v>1111</v>
      </c>
      <c r="T276" s="2" t="s">
        <v>100</v>
      </c>
      <c r="U276" s="2" t="s">
        <v>283</v>
      </c>
      <c r="V276" s="2" t="s">
        <v>1112</v>
      </c>
      <c r="W276" s="2" t="s">
        <v>104</v>
      </c>
      <c r="X276" s="2" t="s">
        <v>1113</v>
      </c>
      <c r="Y276" s="2" t="s">
        <v>131</v>
      </c>
      <c r="Z276" s="4">
        <v>192</v>
      </c>
      <c r="AA276" s="4">
        <f>=ROUNDDOWN(38.4,0)</f>
      </c>
      <c r="AB276" s="5">
        <v>5</v>
      </c>
      <c r="AC276" s="2" t="s">
        <v>1114</v>
      </c>
      <c r="AD276" s="4">
        <v>40</v>
      </c>
      <c r="AE276" s="4">
        <v>40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4</v>
      </c>
      <c r="BK276" s="8">
        <v>340.78</v>
      </c>
      <c r="BL276" s="2" t="s">
        <v>543</v>
      </c>
      <c r="BM276" s="7"/>
      <c r="BN276" s="7"/>
      <c r="BO276" s="4"/>
      <c r="BP276" s="8"/>
      <c r="BQ276" s="4"/>
      <c r="BR276" s="8"/>
      <c r="BS276" s="7"/>
      <c r="BT276" s="7"/>
      <c r="BU276" s="2" t="s">
        <v>109</v>
      </c>
      <c r="BV276" s="2" t="s">
        <v>97</v>
      </c>
      <c r="BW276" s="2" t="s">
        <v>137</v>
      </c>
      <c r="BX276" s="2" t="s">
        <v>621</v>
      </c>
      <c r="BY276" s="2" t="s">
        <v>112</v>
      </c>
      <c r="BZ276" s="2" t="s">
        <v>100</v>
      </c>
    </row>
    <row r="277">
      <c r="A277" s="2" t="s">
        <v>1118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1119</v>
      </c>
      <c r="G277" s="2" t="s">
        <v>1120</v>
      </c>
      <c r="H277" s="2" t="s">
        <v>1121</v>
      </c>
      <c r="I277" s="2" t="s">
        <v>1122</v>
      </c>
      <c r="J277" s="2" t="s">
        <v>114</v>
      </c>
      <c r="K277" s="2" t="s">
        <v>434</v>
      </c>
      <c r="L277" s="3">
        <v>69</v>
      </c>
      <c r="M277" s="3">
        <v>72.45</v>
      </c>
      <c r="N277" s="3">
        <v>149.99</v>
      </c>
      <c r="O277" s="2" t="s">
        <v>97</v>
      </c>
      <c r="P277" s="2" t="s">
        <v>98</v>
      </c>
      <c r="Q277" s="2" t="s">
        <v>99</v>
      </c>
      <c r="R277" s="2" t="s">
        <v>100</v>
      </c>
      <c r="S277" s="2" t="s">
        <v>1123</v>
      </c>
      <c r="T277" s="2" t="s">
        <v>100</v>
      </c>
      <c r="U277" s="2" t="s">
        <v>102</v>
      </c>
      <c r="V277" s="2" t="s">
        <v>608</v>
      </c>
      <c r="W277" s="2" t="s">
        <v>244</v>
      </c>
      <c r="X277" s="2" t="s">
        <v>609</v>
      </c>
      <c r="Y277" s="2" t="s">
        <v>131</v>
      </c>
      <c r="Z277" s="4">
        <v>617</v>
      </c>
      <c r="AA277" s="4">
        <f>=ROUNDDOWN(38.5625,0)</f>
      </c>
      <c r="AB277" s="5">
        <v>16</v>
      </c>
      <c r="AC277" s="2" t="s">
        <v>100</v>
      </c>
      <c r="AD277" s="4"/>
      <c r="AE277" s="4"/>
      <c r="AF277" s="6">
        <v>64</v>
      </c>
      <c r="AG277" s="6">
        <v>47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1</v>
      </c>
      <c r="AQ277" s="8">
        <v>63.5</v>
      </c>
      <c r="AR277" s="4"/>
      <c r="AS277" s="8"/>
      <c r="AT277" s="7"/>
      <c r="AU277" s="7"/>
      <c r="AV277" s="4">
        <v>1</v>
      </c>
      <c r="AW277" s="8">
        <v>63.5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1</v>
      </c>
      <c r="BC277" s="4">
        <v>1</v>
      </c>
      <c r="BD277" s="8">
        <v>63.5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>
        <v>1</v>
      </c>
      <c r="BJ277" s="4">
        <v>6</v>
      </c>
      <c r="BK277" s="8">
        <v>388.22</v>
      </c>
      <c r="BL277" s="2" t="s">
        <v>418</v>
      </c>
      <c r="BM277" s="7">
        <v>0.1667</v>
      </c>
      <c r="BN277" s="7">
        <v>0.1636</v>
      </c>
      <c r="BO277" s="4">
        <v>1</v>
      </c>
      <c r="BP277" s="8">
        <v>63.5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122</v>
      </c>
      <c r="BX277" s="2" t="s">
        <v>127</v>
      </c>
      <c r="BY277" s="2" t="s">
        <v>112</v>
      </c>
      <c r="BZ277" s="2" t="s">
        <v>100</v>
      </c>
    </row>
    <row r="278">
      <c r="A278" s="2" t="s">
        <v>1124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1119</v>
      </c>
      <c r="G278" s="2" t="s">
        <v>1120</v>
      </c>
      <c r="H278" s="2" t="s">
        <v>1121</v>
      </c>
      <c r="I278" s="2" t="s">
        <v>1122</v>
      </c>
      <c r="J278" s="2" t="s">
        <v>120</v>
      </c>
      <c r="K278" s="2" t="s">
        <v>434</v>
      </c>
      <c r="L278" s="3">
        <v>78.2</v>
      </c>
      <c r="M278" s="3">
        <v>82.11</v>
      </c>
      <c r="N278" s="3">
        <v>169.99</v>
      </c>
      <c r="O278" s="2" t="s">
        <v>97</v>
      </c>
      <c r="P278" s="2" t="s">
        <v>98</v>
      </c>
      <c r="Q278" s="2" t="s">
        <v>99</v>
      </c>
      <c r="R278" s="2" t="s">
        <v>100</v>
      </c>
      <c r="S278" s="2" t="s">
        <v>1123</v>
      </c>
      <c r="T278" s="2" t="s">
        <v>100</v>
      </c>
      <c r="U278" s="2" t="s">
        <v>102</v>
      </c>
      <c r="V278" s="2" t="s">
        <v>608</v>
      </c>
      <c r="W278" s="2" t="s">
        <v>244</v>
      </c>
      <c r="X278" s="2" t="s">
        <v>609</v>
      </c>
      <c r="Y278" s="2" t="s">
        <v>131</v>
      </c>
      <c r="Z278" s="4">
        <v>443</v>
      </c>
      <c r="AA278" s="4">
        <f>=ROUNDDOWN(40.2727272727273,0)</f>
      </c>
      <c r="AB278" s="5">
        <v>11</v>
      </c>
      <c r="AC278" s="2" t="s">
        <v>100</v>
      </c>
      <c r="AD278" s="4"/>
      <c r="AE278" s="4"/>
      <c r="AF278" s="6">
        <v>64</v>
      </c>
      <c r="AG278" s="6">
        <v>47</v>
      </c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/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 t="s">
        <v>100</v>
      </c>
      <c r="BJ278" s="4">
        <v>6</v>
      </c>
      <c r="BK278" s="8">
        <v>454.16</v>
      </c>
      <c r="BL278" s="2" t="s">
        <v>1125</v>
      </c>
      <c r="BM278" s="7"/>
      <c r="BN278" s="7"/>
      <c r="BO278" s="4"/>
      <c r="BP278" s="8"/>
      <c r="BQ278" s="4"/>
      <c r="BR278" s="8"/>
      <c r="BS278" s="7"/>
      <c r="BT278" s="7"/>
      <c r="BU278" s="2" t="s">
        <v>109</v>
      </c>
      <c r="BV278" s="2" t="s">
        <v>97</v>
      </c>
      <c r="BW278" s="2" t="s">
        <v>122</v>
      </c>
      <c r="BX278" s="2" t="s">
        <v>1126</v>
      </c>
      <c r="BY278" s="2" t="s">
        <v>112</v>
      </c>
      <c r="BZ278" s="2" t="s">
        <v>100</v>
      </c>
    </row>
    <row r="279">
      <c r="A279" s="2" t="s">
        <v>1127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1119</v>
      </c>
      <c r="G279" s="2" t="s">
        <v>1120</v>
      </c>
      <c r="H279" s="2" t="s">
        <v>1121</v>
      </c>
      <c r="I279" s="2" t="s">
        <v>1122</v>
      </c>
      <c r="J279" s="2" t="s">
        <v>124</v>
      </c>
      <c r="K279" s="2" t="s">
        <v>434</v>
      </c>
      <c r="L279" s="3">
        <v>78.2</v>
      </c>
      <c r="M279" s="3">
        <v>82.11</v>
      </c>
      <c r="N279" s="3">
        <v>169.99</v>
      </c>
      <c r="O279" s="2" t="s">
        <v>97</v>
      </c>
      <c r="P279" s="2" t="s">
        <v>98</v>
      </c>
      <c r="Q279" s="2" t="s">
        <v>99</v>
      </c>
      <c r="R279" s="2" t="s">
        <v>100</v>
      </c>
      <c r="S279" s="2" t="s">
        <v>1123</v>
      </c>
      <c r="T279" s="2" t="s">
        <v>100</v>
      </c>
      <c r="U279" s="2" t="s">
        <v>102</v>
      </c>
      <c r="V279" s="2" t="s">
        <v>608</v>
      </c>
      <c r="W279" s="2" t="s">
        <v>244</v>
      </c>
      <c r="X279" s="2" t="s">
        <v>609</v>
      </c>
      <c r="Y279" s="2" t="s">
        <v>131</v>
      </c>
      <c r="Z279" s="4">
        <v>404</v>
      </c>
      <c r="AA279" s="4">
        <f>=ROUNDDOWN(50.5,0)</f>
      </c>
      <c r="AB279" s="5">
        <v>8</v>
      </c>
      <c r="AC279" s="2" t="s">
        <v>100</v>
      </c>
      <c r="AD279" s="4"/>
      <c r="AE279" s="4"/>
      <c r="AF279" s="6">
        <v>64</v>
      </c>
      <c r="AG279" s="6">
        <v>47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/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 t="s">
        <v>100</v>
      </c>
      <c r="BJ279" s="4">
        <v>4</v>
      </c>
      <c r="BK279" s="8">
        <v>290.1</v>
      </c>
      <c r="BL279" s="2" t="s">
        <v>1128</v>
      </c>
      <c r="BM279" s="7"/>
      <c r="BN279" s="7"/>
      <c r="BO279" s="4"/>
      <c r="BP279" s="8"/>
      <c r="BQ279" s="4"/>
      <c r="BR279" s="8"/>
      <c r="BS279" s="7"/>
      <c r="BT279" s="7"/>
      <c r="BU279" s="2" t="s">
        <v>109</v>
      </c>
      <c r="BV279" s="2" t="s">
        <v>97</v>
      </c>
      <c r="BW279" s="2" t="s">
        <v>122</v>
      </c>
      <c r="BX279" s="2" t="s">
        <v>595</v>
      </c>
      <c r="BY279" s="2" t="s">
        <v>112</v>
      </c>
      <c r="BZ279" s="2" t="s">
        <v>100</v>
      </c>
    </row>
    <row r="280">
      <c r="A280" s="2" t="s">
        <v>1129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1119</v>
      </c>
      <c r="G280" s="2" t="s">
        <v>1120</v>
      </c>
      <c r="H280" s="2" t="s">
        <v>1121</v>
      </c>
      <c r="I280" s="2" t="s">
        <v>1122</v>
      </c>
      <c r="J280" s="2" t="s">
        <v>114</v>
      </c>
      <c r="K280" s="2" t="s">
        <v>185</v>
      </c>
      <c r="L280" s="3">
        <v>69</v>
      </c>
      <c r="M280" s="3">
        <v>72.45</v>
      </c>
      <c r="N280" s="3">
        <v>149.99</v>
      </c>
      <c r="O280" s="2" t="s">
        <v>473</v>
      </c>
      <c r="P280" s="2" t="s">
        <v>447</v>
      </c>
      <c r="Q280" s="2" t="s">
        <v>99</v>
      </c>
      <c r="R280" s="2" t="s">
        <v>100</v>
      </c>
      <c r="S280" s="2" t="s">
        <v>1130</v>
      </c>
      <c r="T280" s="2" t="s">
        <v>100</v>
      </c>
      <c r="U280" s="2" t="s">
        <v>102</v>
      </c>
      <c r="V280" s="2" t="s">
        <v>608</v>
      </c>
      <c r="W280" s="2" t="s">
        <v>244</v>
      </c>
      <c r="X280" s="2" t="s">
        <v>104</v>
      </c>
      <c r="Y280" s="2" t="s">
        <v>1131</v>
      </c>
      <c r="Z280" s="4">
        <v>321</v>
      </c>
      <c r="AA280" s="4">
        <f>=ROUNDDOWN(64.2,0)</f>
      </c>
      <c r="AB280" s="5">
        <v>5</v>
      </c>
      <c r="AC280" s="2" t="s">
        <v>100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/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3</v>
      </c>
      <c r="BK280" s="8">
        <v>195.35</v>
      </c>
      <c r="BL280" s="2" t="s">
        <v>599</v>
      </c>
      <c r="BM280" s="7"/>
      <c r="BN280" s="7"/>
      <c r="BO280" s="4"/>
      <c r="BP280" s="8"/>
      <c r="BQ280" s="4"/>
      <c r="BR280" s="8"/>
      <c r="BS280" s="7"/>
      <c r="BT280" s="7"/>
      <c r="BU280" s="2" t="s">
        <v>109</v>
      </c>
      <c r="BV280" s="2" t="s">
        <v>97</v>
      </c>
      <c r="BW280" s="2" t="s">
        <v>1132</v>
      </c>
      <c r="BX280" s="2" t="s">
        <v>1133</v>
      </c>
      <c r="BY280" s="2" t="s">
        <v>112</v>
      </c>
      <c r="BZ280" s="2" t="s">
        <v>100</v>
      </c>
    </row>
    <row r="281">
      <c r="A281" s="2" t="s">
        <v>1134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1119</v>
      </c>
      <c r="G281" s="2" t="s">
        <v>1120</v>
      </c>
      <c r="H281" s="2" t="s">
        <v>1121</v>
      </c>
      <c r="I281" s="2" t="s">
        <v>1122</v>
      </c>
      <c r="J281" s="2" t="s">
        <v>120</v>
      </c>
      <c r="K281" s="2" t="s">
        <v>185</v>
      </c>
      <c r="L281" s="3">
        <v>78.2</v>
      </c>
      <c r="M281" s="3">
        <v>82.11</v>
      </c>
      <c r="N281" s="3">
        <v>169.99</v>
      </c>
      <c r="O281" s="2" t="s">
        <v>473</v>
      </c>
      <c r="P281" s="2" t="s">
        <v>447</v>
      </c>
      <c r="Q281" s="2" t="s">
        <v>99</v>
      </c>
      <c r="R281" s="2" t="s">
        <v>100</v>
      </c>
      <c r="S281" s="2" t="s">
        <v>1130</v>
      </c>
      <c r="T281" s="2" t="s">
        <v>100</v>
      </c>
      <c r="U281" s="2" t="s">
        <v>102</v>
      </c>
      <c r="V281" s="2" t="s">
        <v>608</v>
      </c>
      <c r="W281" s="2" t="s">
        <v>244</v>
      </c>
      <c r="X281" s="2" t="s">
        <v>104</v>
      </c>
      <c r="Y281" s="2" t="s">
        <v>1131</v>
      </c>
      <c r="Z281" s="4">
        <v>444</v>
      </c>
      <c r="AA281" s="4">
        <f>=ROUNDDOWN(74,0)</f>
      </c>
      <c r="AB281" s="5">
        <v>6</v>
      </c>
      <c r="AC281" s="2" t="s">
        <v>100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/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3</v>
      </c>
      <c r="BK281" s="8">
        <v>226.75</v>
      </c>
      <c r="BL281" s="2" t="s">
        <v>599</v>
      </c>
      <c r="BM281" s="7"/>
      <c r="BN281" s="7"/>
      <c r="BO281" s="4"/>
      <c r="BP281" s="8"/>
      <c r="BQ281" s="4"/>
      <c r="BR281" s="8"/>
      <c r="BS281" s="7"/>
      <c r="BT281" s="7"/>
      <c r="BU281" s="2" t="s">
        <v>109</v>
      </c>
      <c r="BV281" s="2" t="s">
        <v>97</v>
      </c>
      <c r="BW281" s="2" t="s">
        <v>1132</v>
      </c>
      <c r="BX281" s="2" t="s">
        <v>100</v>
      </c>
      <c r="BY281" s="2" t="s">
        <v>112</v>
      </c>
      <c r="BZ281" s="2" t="s">
        <v>100</v>
      </c>
    </row>
    <row r="282">
      <c r="A282" s="2" t="s">
        <v>1135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1119</v>
      </c>
      <c r="G282" s="2" t="s">
        <v>1120</v>
      </c>
      <c r="H282" s="2" t="s">
        <v>1121</v>
      </c>
      <c r="I282" s="2" t="s">
        <v>1122</v>
      </c>
      <c r="J282" s="2" t="s">
        <v>124</v>
      </c>
      <c r="K282" s="2" t="s">
        <v>185</v>
      </c>
      <c r="L282" s="3">
        <v>78.2</v>
      </c>
      <c r="M282" s="3">
        <v>82.11</v>
      </c>
      <c r="N282" s="3">
        <v>169.99</v>
      </c>
      <c r="O282" s="2" t="s">
        <v>473</v>
      </c>
      <c r="P282" s="2" t="s">
        <v>447</v>
      </c>
      <c r="Q282" s="2" t="s">
        <v>99</v>
      </c>
      <c r="R282" s="2" t="s">
        <v>100</v>
      </c>
      <c r="S282" s="2" t="s">
        <v>1130</v>
      </c>
      <c r="T282" s="2" t="s">
        <v>100</v>
      </c>
      <c r="U282" s="2" t="s">
        <v>102</v>
      </c>
      <c r="V282" s="2" t="s">
        <v>608</v>
      </c>
      <c r="W282" s="2" t="s">
        <v>244</v>
      </c>
      <c r="X282" s="2" t="s">
        <v>104</v>
      </c>
      <c r="Y282" s="2" t="s">
        <v>1131</v>
      </c>
      <c r="Z282" s="4">
        <v>293</v>
      </c>
      <c r="AA282" s="4">
        <f>=ROUNDDOWN(97.6666666666667,0)</f>
      </c>
      <c r="AB282" s="5">
        <v>3</v>
      </c>
      <c r="AC282" s="2" t="s">
        <v>100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 t="s">
        <v>100</v>
      </c>
      <c r="BJ282" s="4"/>
      <c r="BK282" s="8"/>
      <c r="BL282" s="2" t="s">
        <v>100</v>
      </c>
      <c r="BM282" s="7"/>
      <c r="BN282" s="7"/>
      <c r="BO282" s="4"/>
      <c r="BP282" s="8"/>
      <c r="BQ282" s="4"/>
      <c r="BR282" s="8"/>
      <c r="BS282" s="7"/>
      <c r="BT282" s="7"/>
      <c r="BU282" s="2" t="s">
        <v>109</v>
      </c>
      <c r="BV282" s="2" t="s">
        <v>97</v>
      </c>
      <c r="BW282" s="2" t="s">
        <v>1132</v>
      </c>
      <c r="BX282" s="2" t="s">
        <v>814</v>
      </c>
      <c r="BY282" s="2" t="s">
        <v>112</v>
      </c>
      <c r="BZ282" s="2" t="s">
        <v>100</v>
      </c>
    </row>
    <row r="283">
      <c r="A283" s="2" t="s">
        <v>1136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1119</v>
      </c>
      <c r="G283" s="2" t="s">
        <v>1120</v>
      </c>
      <c r="H283" s="2" t="s">
        <v>1121</v>
      </c>
      <c r="I283" s="2" t="s">
        <v>1122</v>
      </c>
      <c r="J283" s="2" t="s">
        <v>114</v>
      </c>
      <c r="K283" s="2" t="s">
        <v>163</v>
      </c>
      <c r="L283" s="3">
        <v>69</v>
      </c>
      <c r="M283" s="3">
        <v>72.45</v>
      </c>
      <c r="N283" s="3">
        <v>149.99</v>
      </c>
      <c r="O283" s="2" t="s">
        <v>97</v>
      </c>
      <c r="P283" s="2" t="s">
        <v>98</v>
      </c>
      <c r="Q283" s="2" t="s">
        <v>99</v>
      </c>
      <c r="R283" s="2" t="s">
        <v>100</v>
      </c>
      <c r="S283" s="2" t="s">
        <v>1137</v>
      </c>
      <c r="T283" s="2" t="s">
        <v>100</v>
      </c>
      <c r="U283" s="2" t="s">
        <v>102</v>
      </c>
      <c r="V283" s="2" t="s">
        <v>608</v>
      </c>
      <c r="W283" s="2" t="s">
        <v>244</v>
      </c>
      <c r="X283" s="2" t="s">
        <v>609</v>
      </c>
      <c r="Y283" s="2" t="s">
        <v>1138</v>
      </c>
      <c r="Z283" s="4">
        <v>446</v>
      </c>
      <c r="AA283" s="4">
        <f>=ROUNDDOWN(37.1666666666667,0)</f>
      </c>
      <c r="AB283" s="5">
        <v>12</v>
      </c>
      <c r="AC283" s="2" t="s">
        <v>329</v>
      </c>
      <c r="AD283" s="4">
        <v>50</v>
      </c>
      <c r="AE283" s="4">
        <v>50</v>
      </c>
      <c r="AF283" s="6">
        <v>64</v>
      </c>
      <c r="AG283" s="6">
        <v>47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/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 t="s">
        <v>100</v>
      </c>
      <c r="BJ283" s="4">
        <v>9</v>
      </c>
      <c r="BK283" s="8">
        <v>582.46</v>
      </c>
      <c r="BL283" s="2" t="s">
        <v>710</v>
      </c>
      <c r="BM283" s="7"/>
      <c r="BN283" s="7"/>
      <c r="BO283" s="4"/>
      <c r="BP283" s="8"/>
      <c r="BQ283" s="4"/>
      <c r="BR283" s="8"/>
      <c r="BS283" s="7"/>
      <c r="BT283" s="7"/>
      <c r="BU283" s="2" t="s">
        <v>109</v>
      </c>
      <c r="BV283" s="2" t="s">
        <v>97</v>
      </c>
      <c r="BW283" s="2" t="s">
        <v>122</v>
      </c>
      <c r="BX283" s="2" t="s">
        <v>535</v>
      </c>
      <c r="BY283" s="2" t="s">
        <v>112</v>
      </c>
      <c r="BZ283" s="2" t="s">
        <v>100</v>
      </c>
    </row>
    <row r="284">
      <c r="A284" s="2" t="s">
        <v>1139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1119</v>
      </c>
      <c r="G284" s="2" t="s">
        <v>1120</v>
      </c>
      <c r="H284" s="2" t="s">
        <v>1121</v>
      </c>
      <c r="I284" s="2" t="s">
        <v>1122</v>
      </c>
      <c r="J284" s="2" t="s">
        <v>120</v>
      </c>
      <c r="K284" s="2" t="s">
        <v>163</v>
      </c>
      <c r="L284" s="3">
        <v>78.2</v>
      </c>
      <c r="M284" s="3">
        <v>82.11</v>
      </c>
      <c r="N284" s="3">
        <v>169.99</v>
      </c>
      <c r="O284" s="2" t="s">
        <v>97</v>
      </c>
      <c r="P284" s="2" t="s">
        <v>98</v>
      </c>
      <c r="Q284" s="2" t="s">
        <v>99</v>
      </c>
      <c r="R284" s="2" t="s">
        <v>100</v>
      </c>
      <c r="S284" s="2" t="s">
        <v>1137</v>
      </c>
      <c r="T284" s="2" t="s">
        <v>100</v>
      </c>
      <c r="U284" s="2" t="s">
        <v>102</v>
      </c>
      <c r="V284" s="2" t="s">
        <v>608</v>
      </c>
      <c r="W284" s="2" t="s">
        <v>244</v>
      </c>
      <c r="X284" s="2" t="s">
        <v>609</v>
      </c>
      <c r="Y284" s="2" t="s">
        <v>1140</v>
      </c>
      <c r="Z284" s="4">
        <v>447</v>
      </c>
      <c r="AA284" s="4">
        <f>=ROUNDDOWN(34.3846153846154,0)</f>
      </c>
      <c r="AB284" s="5">
        <v>13</v>
      </c>
      <c r="AC284" s="2" t="s">
        <v>329</v>
      </c>
      <c r="AD284" s="4">
        <v>50</v>
      </c>
      <c r="AE284" s="4">
        <v>50</v>
      </c>
      <c r="AF284" s="6">
        <v>64</v>
      </c>
      <c r="AG284" s="6">
        <v>47</v>
      </c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/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22</v>
      </c>
      <c r="BK284" s="8">
        <v>1653.56</v>
      </c>
      <c r="BL284" s="2" t="s">
        <v>1141</v>
      </c>
      <c r="BM284" s="7"/>
      <c r="BN284" s="7"/>
      <c r="BO284" s="4"/>
      <c r="BP284" s="8"/>
      <c r="BQ284" s="4"/>
      <c r="BR284" s="8"/>
      <c r="BS284" s="7"/>
      <c r="BT284" s="7"/>
      <c r="BU284" s="2" t="s">
        <v>109</v>
      </c>
      <c r="BV284" s="2" t="s">
        <v>97</v>
      </c>
      <c r="BW284" s="2" t="s">
        <v>122</v>
      </c>
      <c r="BX284" s="2" t="s">
        <v>1142</v>
      </c>
      <c r="BY284" s="2" t="s">
        <v>112</v>
      </c>
      <c r="BZ284" s="2" t="s">
        <v>100</v>
      </c>
    </row>
    <row r="285">
      <c r="A285" s="2" t="s">
        <v>1143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1119</v>
      </c>
      <c r="G285" s="2" t="s">
        <v>1120</v>
      </c>
      <c r="H285" s="2" t="s">
        <v>1121</v>
      </c>
      <c r="I285" s="2" t="s">
        <v>1122</v>
      </c>
      <c r="J285" s="2" t="s">
        <v>124</v>
      </c>
      <c r="K285" s="2" t="s">
        <v>163</v>
      </c>
      <c r="L285" s="3">
        <v>78.2</v>
      </c>
      <c r="M285" s="3">
        <v>82.11</v>
      </c>
      <c r="N285" s="3">
        <v>169.99</v>
      </c>
      <c r="O285" s="2" t="s">
        <v>97</v>
      </c>
      <c r="P285" s="2" t="s">
        <v>98</v>
      </c>
      <c r="Q285" s="2" t="s">
        <v>99</v>
      </c>
      <c r="R285" s="2" t="s">
        <v>100</v>
      </c>
      <c r="S285" s="2" t="s">
        <v>1137</v>
      </c>
      <c r="T285" s="2" t="s">
        <v>100</v>
      </c>
      <c r="U285" s="2" t="s">
        <v>102</v>
      </c>
      <c r="V285" s="2" t="s">
        <v>608</v>
      </c>
      <c r="W285" s="2" t="s">
        <v>244</v>
      </c>
      <c r="X285" s="2" t="s">
        <v>609</v>
      </c>
      <c r="Y285" s="2" t="s">
        <v>1140</v>
      </c>
      <c r="Z285" s="4">
        <v>197</v>
      </c>
      <c r="AA285" s="4">
        <f>=ROUNDDOWN(24.625,0)</f>
      </c>
      <c r="AB285" s="5">
        <v>8</v>
      </c>
      <c r="AC285" s="2" t="s">
        <v>324</v>
      </c>
      <c r="AD285" s="4">
        <v>50</v>
      </c>
      <c r="AE285" s="4">
        <v>200</v>
      </c>
      <c r="AF285" s="6">
        <v>64</v>
      </c>
      <c r="AG285" s="6">
        <v>47</v>
      </c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/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 t="s">
        <v>100</v>
      </c>
      <c r="BJ285" s="4">
        <v>4</v>
      </c>
      <c r="BK285" s="8">
        <v>315.17</v>
      </c>
      <c r="BL285" s="2" t="s">
        <v>523</v>
      </c>
      <c r="BM285" s="7"/>
      <c r="BN285" s="7"/>
      <c r="BO285" s="4"/>
      <c r="BP285" s="8"/>
      <c r="BQ285" s="4"/>
      <c r="BR285" s="8"/>
      <c r="BS285" s="7"/>
      <c r="BT285" s="7"/>
      <c r="BU285" s="2" t="s">
        <v>109</v>
      </c>
      <c r="BV285" s="2" t="s">
        <v>97</v>
      </c>
      <c r="BW285" s="2" t="s">
        <v>122</v>
      </c>
      <c r="BX285" s="2" t="s">
        <v>1144</v>
      </c>
      <c r="BY285" s="2" t="s">
        <v>112</v>
      </c>
      <c r="BZ285" s="2" t="s">
        <v>100</v>
      </c>
    </row>
    <row r="286">
      <c r="A286" s="2" t="s">
        <v>1145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1146</v>
      </c>
      <c r="G286" s="2" t="s">
        <v>1147</v>
      </c>
      <c r="H286" s="2" t="s">
        <v>1148</v>
      </c>
      <c r="I286" s="2" t="s">
        <v>1149</v>
      </c>
      <c r="J286" s="2" t="s">
        <v>785</v>
      </c>
      <c r="K286" s="2" t="s">
        <v>163</v>
      </c>
      <c r="L286" s="3">
        <v>57.6</v>
      </c>
      <c r="M286" s="3">
        <v>60.47</v>
      </c>
      <c r="N286" s="3">
        <v>119.99</v>
      </c>
      <c r="O286" s="2" t="s">
        <v>97</v>
      </c>
      <c r="P286" s="2" t="s">
        <v>98</v>
      </c>
      <c r="Q286" s="2" t="s">
        <v>99</v>
      </c>
      <c r="R286" s="2" t="s">
        <v>100</v>
      </c>
      <c r="S286" s="2" t="s">
        <v>1150</v>
      </c>
      <c r="T286" s="2" t="s">
        <v>100</v>
      </c>
      <c r="U286" s="2" t="s">
        <v>283</v>
      </c>
      <c r="V286" s="2" t="s">
        <v>103</v>
      </c>
      <c r="W286" s="2" t="s">
        <v>104</v>
      </c>
      <c r="X286" s="2" t="s">
        <v>450</v>
      </c>
      <c r="Y286" s="2" t="s">
        <v>419</v>
      </c>
      <c r="Z286" s="4">
        <v>725</v>
      </c>
      <c r="AA286" s="4">
        <f>=ROUNDDOWN(21.969696969697,0)</f>
      </c>
      <c r="AB286" s="5">
        <v>33</v>
      </c>
      <c r="AC286" s="2" t="s">
        <v>429</v>
      </c>
      <c r="AD286" s="4">
        <v>350</v>
      </c>
      <c r="AE286" s="4">
        <v>350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1</v>
      </c>
      <c r="AQ286" s="8">
        <v>61.99</v>
      </c>
      <c r="AR286" s="4"/>
      <c r="AS286" s="8"/>
      <c r="AT286" s="7"/>
      <c r="AU286" s="7"/>
      <c r="AV286" s="4">
        <v>1</v>
      </c>
      <c r="AW286" s="8">
        <v>61.99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1</v>
      </c>
      <c r="BC286" s="4">
        <v>1</v>
      </c>
      <c r="BD286" s="8">
        <v>61.99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>
        <v>1</v>
      </c>
      <c r="BJ286" s="4">
        <v>31</v>
      </c>
      <c r="BK286" s="8">
        <v>1717.15</v>
      </c>
      <c r="BL286" s="2" t="s">
        <v>1151</v>
      </c>
      <c r="BM286" s="7">
        <v>0.0323</v>
      </c>
      <c r="BN286" s="7">
        <v>0.0361</v>
      </c>
      <c r="BO286" s="4">
        <v>1</v>
      </c>
      <c r="BP286" s="8">
        <v>61.99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266</v>
      </c>
      <c r="BX286" s="2" t="s">
        <v>1152</v>
      </c>
      <c r="BY286" s="2" t="s">
        <v>112</v>
      </c>
      <c r="BZ286" s="2" t="s">
        <v>100</v>
      </c>
    </row>
    <row r="287">
      <c r="A287" s="2" t="s">
        <v>1153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1146</v>
      </c>
      <c r="G287" s="2" t="s">
        <v>1147</v>
      </c>
      <c r="H287" s="2" t="s">
        <v>1148</v>
      </c>
      <c r="I287" s="2" t="s">
        <v>1149</v>
      </c>
      <c r="J287" s="2" t="s">
        <v>795</v>
      </c>
      <c r="K287" s="2" t="s">
        <v>163</v>
      </c>
      <c r="L287" s="3">
        <v>67.2</v>
      </c>
      <c r="M287" s="3">
        <v>70.55</v>
      </c>
      <c r="N287" s="3">
        <v>139.99</v>
      </c>
      <c r="O287" s="2" t="s">
        <v>97</v>
      </c>
      <c r="P287" s="2" t="s">
        <v>98</v>
      </c>
      <c r="Q287" s="2" t="s">
        <v>99</v>
      </c>
      <c r="R287" s="2" t="s">
        <v>100</v>
      </c>
      <c r="S287" s="2" t="s">
        <v>1150</v>
      </c>
      <c r="T287" s="2" t="s">
        <v>100</v>
      </c>
      <c r="U287" s="2" t="s">
        <v>283</v>
      </c>
      <c r="V287" s="2" t="s">
        <v>103</v>
      </c>
      <c r="W287" s="2" t="s">
        <v>104</v>
      </c>
      <c r="X287" s="2" t="s">
        <v>450</v>
      </c>
      <c r="Y287" s="2" t="s">
        <v>419</v>
      </c>
      <c r="Z287" s="4">
        <v>493</v>
      </c>
      <c r="AA287" s="4">
        <f>=ROUNDDOWN(17,0)</f>
      </c>
      <c r="AB287" s="5">
        <v>29</v>
      </c>
      <c r="AC287" s="2" t="s">
        <v>429</v>
      </c>
      <c r="AD287" s="4">
        <v>450</v>
      </c>
      <c r="AE287" s="4">
        <v>450</v>
      </c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30</v>
      </c>
      <c r="BK287" s="8">
        <v>1963.81</v>
      </c>
      <c r="BL287" s="2" t="s">
        <v>1154</v>
      </c>
      <c r="BM287" s="7"/>
      <c r="BN287" s="7"/>
      <c r="BO287" s="4"/>
      <c r="BP287" s="8"/>
      <c r="BQ287" s="4"/>
      <c r="BR287" s="8"/>
      <c r="BS287" s="7"/>
      <c r="BT287" s="7"/>
      <c r="BU287" s="2" t="s">
        <v>109</v>
      </c>
      <c r="BV287" s="2" t="s">
        <v>97</v>
      </c>
      <c r="BW287" s="2" t="s">
        <v>266</v>
      </c>
      <c r="BX287" s="2" t="s">
        <v>779</v>
      </c>
      <c r="BY287" s="2" t="s">
        <v>112</v>
      </c>
      <c r="BZ287" s="2" t="s">
        <v>100</v>
      </c>
    </row>
    <row r="288">
      <c r="A288" s="2" t="s">
        <v>1155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1146</v>
      </c>
      <c r="G288" s="2" t="s">
        <v>1147</v>
      </c>
      <c r="H288" s="2" t="s">
        <v>1148</v>
      </c>
      <c r="I288" s="2" t="s">
        <v>1149</v>
      </c>
      <c r="J288" s="2" t="s">
        <v>785</v>
      </c>
      <c r="K288" s="2" t="s">
        <v>146</v>
      </c>
      <c r="L288" s="3">
        <v>57.6</v>
      </c>
      <c r="M288" s="3">
        <v>60.47</v>
      </c>
      <c r="N288" s="3">
        <v>119.99</v>
      </c>
      <c r="O288" s="2" t="s">
        <v>97</v>
      </c>
      <c r="P288" s="2" t="s">
        <v>242</v>
      </c>
      <c r="Q288" s="2" t="s">
        <v>99</v>
      </c>
      <c r="R288" s="2" t="s">
        <v>100</v>
      </c>
      <c r="S288" s="2" t="s">
        <v>1156</v>
      </c>
      <c r="T288" s="2" t="s">
        <v>100</v>
      </c>
      <c r="U288" s="2" t="s">
        <v>283</v>
      </c>
      <c r="V288" s="2" t="s">
        <v>103</v>
      </c>
      <c r="W288" s="2" t="s">
        <v>104</v>
      </c>
      <c r="X288" s="2" t="s">
        <v>450</v>
      </c>
      <c r="Y288" s="2" t="s">
        <v>419</v>
      </c>
      <c r="Z288" s="4">
        <v>1381</v>
      </c>
      <c r="AA288" s="4">
        <f>=ROUNDDOWN(35.4102564102564,0)</f>
      </c>
      <c r="AB288" s="5">
        <v>39</v>
      </c>
      <c r="AC288" s="2" t="s">
        <v>1157</v>
      </c>
      <c r="AD288" s="4">
        <v>410</v>
      </c>
      <c r="AE288" s="4">
        <v>410</v>
      </c>
      <c r="AF288" s="6">
        <v>69</v>
      </c>
      <c r="AG288" s="6">
        <v>77</v>
      </c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 t="s">
        <v>100</v>
      </c>
      <c r="AW288" s="8" t="s">
        <v>100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/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 t="s">
        <v>100</v>
      </c>
      <c r="BJ288" s="4">
        <v>35</v>
      </c>
      <c r="BK288" s="8">
        <v>2004.71</v>
      </c>
      <c r="BL288" s="2" t="s">
        <v>1158</v>
      </c>
      <c r="BM288" s="7"/>
      <c r="BN288" s="7"/>
      <c r="BO288" s="4"/>
      <c r="BP288" s="8"/>
      <c r="BQ288" s="4"/>
      <c r="BR288" s="8"/>
      <c r="BS288" s="7"/>
      <c r="BT288" s="7"/>
      <c r="BU288" s="2" t="s">
        <v>109</v>
      </c>
      <c r="BV288" s="2" t="s">
        <v>97</v>
      </c>
      <c r="BW288" s="2" t="s">
        <v>1159</v>
      </c>
      <c r="BX288" s="2" t="s">
        <v>1160</v>
      </c>
      <c r="BY288" s="2" t="s">
        <v>112</v>
      </c>
      <c r="BZ288" s="2" t="s">
        <v>100</v>
      </c>
    </row>
    <row r="289">
      <c r="A289" s="2" t="s">
        <v>1161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1146</v>
      </c>
      <c r="G289" s="2" t="s">
        <v>1147</v>
      </c>
      <c r="H289" s="2" t="s">
        <v>1148</v>
      </c>
      <c r="I289" s="2" t="s">
        <v>1149</v>
      </c>
      <c r="J289" s="2" t="s">
        <v>795</v>
      </c>
      <c r="K289" s="2" t="s">
        <v>146</v>
      </c>
      <c r="L289" s="3">
        <v>67.2</v>
      </c>
      <c r="M289" s="3">
        <v>70.55</v>
      </c>
      <c r="N289" s="3">
        <v>139.99</v>
      </c>
      <c r="O289" s="2" t="s">
        <v>97</v>
      </c>
      <c r="P289" s="2" t="s">
        <v>242</v>
      </c>
      <c r="Q289" s="2" t="s">
        <v>99</v>
      </c>
      <c r="R289" s="2" t="s">
        <v>100</v>
      </c>
      <c r="S289" s="2" t="s">
        <v>1156</v>
      </c>
      <c r="T289" s="2" t="s">
        <v>100</v>
      </c>
      <c r="U289" s="2" t="s">
        <v>283</v>
      </c>
      <c r="V289" s="2" t="s">
        <v>103</v>
      </c>
      <c r="W289" s="2" t="s">
        <v>104</v>
      </c>
      <c r="X289" s="2" t="s">
        <v>450</v>
      </c>
      <c r="Y289" s="2" t="s">
        <v>519</v>
      </c>
      <c r="Z289" s="4">
        <v>1480</v>
      </c>
      <c r="AA289" s="4">
        <f>=ROUNDDOWN(30.2040816326531,0)</f>
      </c>
      <c r="AB289" s="5">
        <v>49</v>
      </c>
      <c r="AC289" s="2" t="s">
        <v>1157</v>
      </c>
      <c r="AD289" s="4">
        <v>420</v>
      </c>
      <c r="AE289" s="4">
        <v>420</v>
      </c>
      <c r="AF289" s="6">
        <v>69</v>
      </c>
      <c r="AG289" s="6">
        <v>77</v>
      </c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/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50</v>
      </c>
      <c r="BK289" s="8">
        <v>3447.76</v>
      </c>
      <c r="BL289" s="2" t="s">
        <v>1162</v>
      </c>
      <c r="BM289" s="7"/>
      <c r="BN289" s="7"/>
      <c r="BO289" s="4"/>
      <c r="BP289" s="8"/>
      <c r="BQ289" s="4"/>
      <c r="BR289" s="8"/>
      <c r="BS289" s="7"/>
      <c r="BT289" s="7"/>
      <c r="BU289" s="2" t="s">
        <v>109</v>
      </c>
      <c r="BV289" s="2" t="s">
        <v>97</v>
      </c>
      <c r="BW289" s="2" t="s">
        <v>1159</v>
      </c>
      <c r="BX289" s="2" t="s">
        <v>1163</v>
      </c>
      <c r="BY289" s="2" t="s">
        <v>112</v>
      </c>
      <c r="BZ289" s="2" t="s">
        <v>100</v>
      </c>
    </row>
    <row r="290">
      <c r="A290" s="2" t="s">
        <v>1164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1146</v>
      </c>
      <c r="G290" s="2" t="s">
        <v>1147</v>
      </c>
      <c r="H290" s="2" t="s">
        <v>1148</v>
      </c>
      <c r="I290" s="2" t="s">
        <v>1149</v>
      </c>
      <c r="J290" s="2" t="s">
        <v>785</v>
      </c>
      <c r="K290" s="2" t="s">
        <v>175</v>
      </c>
      <c r="L290" s="3">
        <v>57.6</v>
      </c>
      <c r="M290" s="3">
        <v>60.47</v>
      </c>
      <c r="N290" s="3">
        <v>119.99</v>
      </c>
      <c r="O290" s="2" t="s">
        <v>97</v>
      </c>
      <c r="P290" s="2" t="s">
        <v>447</v>
      </c>
      <c r="Q290" s="2" t="s">
        <v>99</v>
      </c>
      <c r="R290" s="2" t="s">
        <v>100</v>
      </c>
      <c r="S290" s="2" t="s">
        <v>1165</v>
      </c>
      <c r="T290" s="2" t="s">
        <v>787</v>
      </c>
      <c r="U290" s="2" t="s">
        <v>283</v>
      </c>
      <c r="V290" s="2" t="s">
        <v>103</v>
      </c>
      <c r="W290" s="2" t="s">
        <v>104</v>
      </c>
      <c r="X290" s="2" t="s">
        <v>105</v>
      </c>
      <c r="Y290" s="2" t="s">
        <v>1166</v>
      </c>
      <c r="Z290" s="4">
        <v>463</v>
      </c>
      <c r="AA290" s="4">
        <f>=ROUNDDOWN(33.0714285714286,0)</f>
      </c>
      <c r="AB290" s="5">
        <v>14</v>
      </c>
      <c r="AC290" s="2" t="s">
        <v>168</v>
      </c>
      <c r="AD290" s="4">
        <v>170</v>
      </c>
      <c r="AE290" s="4">
        <v>170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21</v>
      </c>
      <c r="BK290" s="8">
        <v>1311.49</v>
      </c>
      <c r="BL290" s="2" t="s">
        <v>1167</v>
      </c>
      <c r="BM290" s="7"/>
      <c r="BN290" s="7"/>
      <c r="BO290" s="4"/>
      <c r="BP290" s="8"/>
      <c r="BQ290" s="4"/>
      <c r="BR290" s="8"/>
      <c r="BS290" s="7"/>
      <c r="BT290" s="7"/>
      <c r="BU290" s="2" t="s">
        <v>109</v>
      </c>
      <c r="BV290" s="2" t="s">
        <v>97</v>
      </c>
      <c r="BW290" s="2" t="s">
        <v>1132</v>
      </c>
      <c r="BX290" s="2" t="s">
        <v>1168</v>
      </c>
      <c r="BY290" s="2" t="s">
        <v>112</v>
      </c>
      <c r="BZ290" s="2" t="s">
        <v>100</v>
      </c>
    </row>
    <row r="291">
      <c r="A291" s="2" t="s">
        <v>1169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1146</v>
      </c>
      <c r="G291" s="2" t="s">
        <v>1147</v>
      </c>
      <c r="H291" s="2" t="s">
        <v>1148</v>
      </c>
      <c r="I291" s="2" t="s">
        <v>1149</v>
      </c>
      <c r="J291" s="2" t="s">
        <v>795</v>
      </c>
      <c r="K291" s="2" t="s">
        <v>175</v>
      </c>
      <c r="L291" s="3">
        <v>67.2</v>
      </c>
      <c r="M291" s="3">
        <v>70.55</v>
      </c>
      <c r="N291" s="3">
        <v>139.99</v>
      </c>
      <c r="O291" s="2" t="s">
        <v>97</v>
      </c>
      <c r="P291" s="2" t="s">
        <v>447</v>
      </c>
      <c r="Q291" s="2" t="s">
        <v>99</v>
      </c>
      <c r="R291" s="2" t="s">
        <v>100</v>
      </c>
      <c r="S291" s="2" t="s">
        <v>1165</v>
      </c>
      <c r="T291" s="2" t="s">
        <v>787</v>
      </c>
      <c r="U291" s="2" t="s">
        <v>283</v>
      </c>
      <c r="V291" s="2" t="s">
        <v>103</v>
      </c>
      <c r="W291" s="2" t="s">
        <v>104</v>
      </c>
      <c r="X291" s="2" t="s">
        <v>105</v>
      </c>
      <c r="Y291" s="2" t="s">
        <v>1166</v>
      </c>
      <c r="Z291" s="4">
        <v>393</v>
      </c>
      <c r="AA291" s="4">
        <f>=ROUNDDOWN(32.75,0)</f>
      </c>
      <c r="AB291" s="5">
        <v>12</v>
      </c>
      <c r="AC291" s="2" t="s">
        <v>168</v>
      </c>
      <c r="AD291" s="4">
        <v>160</v>
      </c>
      <c r="AE291" s="4">
        <v>160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 t="s">
        <v>100</v>
      </c>
      <c r="BJ291" s="4">
        <v>14</v>
      </c>
      <c r="BK291" s="8">
        <v>977.89</v>
      </c>
      <c r="BL291" s="2" t="s">
        <v>1170</v>
      </c>
      <c r="BM291" s="7"/>
      <c r="BN291" s="7"/>
      <c r="BO291" s="4"/>
      <c r="BP291" s="8"/>
      <c r="BQ291" s="4"/>
      <c r="BR291" s="8"/>
      <c r="BS291" s="7"/>
      <c r="BT291" s="7"/>
      <c r="BU291" s="2" t="s">
        <v>109</v>
      </c>
      <c r="BV291" s="2" t="s">
        <v>97</v>
      </c>
      <c r="BW291" s="2" t="s">
        <v>1132</v>
      </c>
      <c r="BX291" s="2" t="s">
        <v>793</v>
      </c>
      <c r="BY291" s="2" t="s">
        <v>112</v>
      </c>
      <c r="BZ291" s="2" t="s">
        <v>100</v>
      </c>
    </row>
    <row r="292">
      <c r="A292" s="2" t="s">
        <v>1171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1172</v>
      </c>
      <c r="G292" s="2" t="s">
        <v>1173</v>
      </c>
      <c r="H292" s="2" t="s">
        <v>1174</v>
      </c>
      <c r="I292" s="2" t="s">
        <v>1175</v>
      </c>
      <c r="J292" s="2" t="s">
        <v>785</v>
      </c>
      <c r="K292" s="2" t="s">
        <v>185</v>
      </c>
      <c r="L292" s="3">
        <v>52.38</v>
      </c>
      <c r="M292" s="3">
        <v>55</v>
      </c>
      <c r="N292" s="3">
        <v>109.99</v>
      </c>
      <c r="O292" s="2" t="s">
        <v>97</v>
      </c>
      <c r="P292" s="2" t="s">
        <v>98</v>
      </c>
      <c r="Q292" s="2" t="s">
        <v>99</v>
      </c>
      <c r="R292" s="2" t="s">
        <v>100</v>
      </c>
      <c r="S292" s="2" t="s">
        <v>1176</v>
      </c>
      <c r="T292" s="2" t="s">
        <v>1177</v>
      </c>
      <c r="U292" s="2" t="s">
        <v>644</v>
      </c>
      <c r="V292" s="2" t="s">
        <v>663</v>
      </c>
      <c r="W292" s="2" t="s">
        <v>788</v>
      </c>
      <c r="X292" s="2" t="s">
        <v>1178</v>
      </c>
      <c r="Y292" s="2" t="s">
        <v>964</v>
      </c>
      <c r="Z292" s="4">
        <v>215</v>
      </c>
      <c r="AA292" s="4">
        <f>=ROUNDDOWN(8.95833333333333,0)</f>
      </c>
      <c r="AB292" s="5">
        <v>24</v>
      </c>
      <c r="AC292" s="2" t="s">
        <v>400</v>
      </c>
      <c r="AD292" s="4">
        <v>170</v>
      </c>
      <c r="AE292" s="4">
        <v>740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>
        <v>0</v>
      </c>
      <c r="AP292" s="4">
        <v>1</v>
      </c>
      <c r="AQ292" s="8">
        <v>57.75</v>
      </c>
      <c r="AR292" s="4"/>
      <c r="AS292" s="8"/>
      <c r="AT292" s="7"/>
      <c r="AU292" s="7"/>
      <c r="AV292" s="4">
        <v>1</v>
      </c>
      <c r="AW292" s="8">
        <v>57.75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>
        <v>1</v>
      </c>
      <c r="BC292" s="4">
        <v>1</v>
      </c>
      <c r="BD292" s="8">
        <v>57.75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>
        <v>1</v>
      </c>
      <c r="BJ292" s="4">
        <v>17</v>
      </c>
      <c r="BK292" s="8">
        <v>922.67</v>
      </c>
      <c r="BL292" s="2" t="s">
        <v>1179</v>
      </c>
      <c r="BM292" s="7">
        <v>0.0588</v>
      </c>
      <c r="BN292" s="7">
        <v>0.0626</v>
      </c>
      <c r="BO292" s="4">
        <v>1</v>
      </c>
      <c r="BP292" s="8">
        <v>57.75</v>
      </c>
      <c r="BQ292" s="4"/>
      <c r="BR292" s="8"/>
      <c r="BS292" s="7"/>
      <c r="BT292" s="7"/>
      <c r="BU292" s="2" t="s">
        <v>109</v>
      </c>
      <c r="BV292" s="2" t="s">
        <v>97</v>
      </c>
      <c r="BW292" s="2" t="s">
        <v>270</v>
      </c>
      <c r="BX292" s="2" t="s">
        <v>1180</v>
      </c>
      <c r="BY292" s="2" t="s">
        <v>112</v>
      </c>
      <c r="BZ292" s="2" t="s">
        <v>100</v>
      </c>
    </row>
    <row r="293">
      <c r="A293" s="2" t="s">
        <v>1181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1172</v>
      </c>
      <c r="G293" s="2" t="s">
        <v>1173</v>
      </c>
      <c r="H293" s="2" t="s">
        <v>1174</v>
      </c>
      <c r="I293" s="2" t="s">
        <v>1175</v>
      </c>
      <c r="J293" s="2" t="s">
        <v>795</v>
      </c>
      <c r="K293" s="2" t="s">
        <v>185</v>
      </c>
      <c r="L293" s="3">
        <v>61.9</v>
      </c>
      <c r="M293" s="3">
        <v>65</v>
      </c>
      <c r="N293" s="3">
        <v>129.99</v>
      </c>
      <c r="O293" s="2" t="s">
        <v>97</v>
      </c>
      <c r="P293" s="2" t="s">
        <v>98</v>
      </c>
      <c r="Q293" s="2" t="s">
        <v>99</v>
      </c>
      <c r="R293" s="2" t="s">
        <v>100</v>
      </c>
      <c r="S293" s="2" t="s">
        <v>1176</v>
      </c>
      <c r="T293" s="2" t="s">
        <v>1177</v>
      </c>
      <c r="U293" s="2" t="s">
        <v>644</v>
      </c>
      <c r="V293" s="2" t="s">
        <v>663</v>
      </c>
      <c r="W293" s="2" t="s">
        <v>788</v>
      </c>
      <c r="X293" s="2" t="s">
        <v>1178</v>
      </c>
      <c r="Y293" s="2" t="s">
        <v>964</v>
      </c>
      <c r="Z293" s="4">
        <v>80</v>
      </c>
      <c r="AA293" s="4">
        <f>=ROUNDDOWN(3.47826086956522,0)</f>
      </c>
      <c r="AB293" s="5">
        <v>23</v>
      </c>
      <c r="AC293" s="2" t="s">
        <v>400</v>
      </c>
      <c r="AD293" s="4">
        <v>160</v>
      </c>
      <c r="AE293" s="4">
        <v>860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25</v>
      </c>
      <c r="BK293" s="8">
        <v>1607.02</v>
      </c>
      <c r="BL293" s="2" t="s">
        <v>1182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97</v>
      </c>
      <c r="BW293" s="2" t="s">
        <v>270</v>
      </c>
      <c r="BX293" s="2" t="s">
        <v>862</v>
      </c>
      <c r="BY293" s="2" t="s">
        <v>112</v>
      </c>
      <c r="BZ293" s="2" t="s">
        <v>100</v>
      </c>
    </row>
    <row r="294">
      <c r="A294" s="2" t="s">
        <v>1183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1184</v>
      </c>
      <c r="G294" s="2" t="s">
        <v>1185</v>
      </c>
      <c r="H294" s="2" t="s">
        <v>1186</v>
      </c>
      <c r="I294" s="2" t="s">
        <v>784</v>
      </c>
      <c r="J294" s="2" t="s">
        <v>785</v>
      </c>
      <c r="K294" s="2" t="s">
        <v>340</v>
      </c>
      <c r="L294" s="3">
        <v>38.09</v>
      </c>
      <c r="M294" s="3">
        <v>39.99</v>
      </c>
      <c r="N294" s="3">
        <v>79.99</v>
      </c>
      <c r="O294" s="2" t="s">
        <v>97</v>
      </c>
      <c r="P294" s="2" t="s">
        <v>98</v>
      </c>
      <c r="Q294" s="2" t="s">
        <v>99</v>
      </c>
      <c r="R294" s="2" t="s">
        <v>100</v>
      </c>
      <c r="S294" s="2" t="s">
        <v>1187</v>
      </c>
      <c r="T294" s="2" t="s">
        <v>787</v>
      </c>
      <c r="U294" s="2" t="s">
        <v>644</v>
      </c>
      <c r="V294" s="2" t="s">
        <v>677</v>
      </c>
      <c r="W294" s="2" t="s">
        <v>646</v>
      </c>
      <c r="X294" s="2" t="s">
        <v>788</v>
      </c>
      <c r="Y294" s="2" t="s">
        <v>1131</v>
      </c>
      <c r="Z294" s="4">
        <v>332</v>
      </c>
      <c r="AA294" s="4">
        <f>=ROUNDDOWN(16.6,0)</f>
      </c>
      <c r="AB294" s="5">
        <v>20</v>
      </c>
      <c r="AC294" s="2" t="s">
        <v>168</v>
      </c>
      <c r="AD294" s="4">
        <v>390</v>
      </c>
      <c r="AE294" s="4">
        <v>390</v>
      </c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>
        <v>1</v>
      </c>
      <c r="AW294" s="8">
        <v>47.24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/>
      <c r="BC294" s="4">
        <v>1</v>
      </c>
      <c r="BD294" s="8">
        <v>47.24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>
        <v>1</v>
      </c>
      <c r="BJ294" s="4">
        <v>8</v>
      </c>
      <c r="BK294" s="8">
        <v>336.95</v>
      </c>
      <c r="BL294" s="2" t="s">
        <v>374</v>
      </c>
      <c r="BM294" s="7"/>
      <c r="BN294" s="7"/>
      <c r="BO294" s="4"/>
      <c r="BP294" s="8"/>
      <c r="BQ294" s="4"/>
      <c r="BR294" s="8"/>
      <c r="BS294" s="7"/>
      <c r="BT294" s="7"/>
      <c r="BU294" s="2" t="s">
        <v>109</v>
      </c>
      <c r="BV294" s="2" t="s">
        <v>97</v>
      </c>
      <c r="BW294" s="2" t="s">
        <v>1132</v>
      </c>
      <c r="BX294" s="2" t="s">
        <v>1188</v>
      </c>
      <c r="BY294" s="2" t="s">
        <v>112</v>
      </c>
      <c r="BZ294" s="2" t="s">
        <v>100</v>
      </c>
    </row>
    <row r="295">
      <c r="A295" s="2" t="s">
        <v>1189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1184</v>
      </c>
      <c r="G295" s="2" t="s">
        <v>1185</v>
      </c>
      <c r="H295" s="2" t="s">
        <v>1186</v>
      </c>
      <c r="I295" s="2" t="s">
        <v>784</v>
      </c>
      <c r="J295" s="2" t="s">
        <v>795</v>
      </c>
      <c r="K295" s="2" t="s">
        <v>340</v>
      </c>
      <c r="L295" s="3">
        <v>42.85</v>
      </c>
      <c r="M295" s="3">
        <v>44.99</v>
      </c>
      <c r="N295" s="3">
        <v>89.99</v>
      </c>
      <c r="O295" s="2" t="s">
        <v>97</v>
      </c>
      <c r="P295" s="2" t="s">
        <v>98</v>
      </c>
      <c r="Q295" s="2" t="s">
        <v>99</v>
      </c>
      <c r="R295" s="2" t="s">
        <v>100</v>
      </c>
      <c r="S295" s="2" t="s">
        <v>1187</v>
      </c>
      <c r="T295" s="2" t="s">
        <v>787</v>
      </c>
      <c r="U295" s="2" t="s">
        <v>644</v>
      </c>
      <c r="V295" s="2" t="s">
        <v>677</v>
      </c>
      <c r="W295" s="2" t="s">
        <v>646</v>
      </c>
      <c r="X295" s="2" t="s">
        <v>788</v>
      </c>
      <c r="Y295" s="2" t="s">
        <v>1131</v>
      </c>
      <c r="Z295" s="4">
        <v>186</v>
      </c>
      <c r="AA295" s="4">
        <f>=ROUNDDOWN(12.4,0)</f>
      </c>
      <c r="AB295" s="5">
        <v>15</v>
      </c>
      <c r="AC295" s="2" t="s">
        <v>168</v>
      </c>
      <c r="AD295" s="4">
        <v>280</v>
      </c>
      <c r="AE295" s="4">
        <v>280</v>
      </c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>
        <v>0</v>
      </c>
      <c r="AP295" s="4">
        <v>1</v>
      </c>
      <c r="AQ295" s="8">
        <v>47.24</v>
      </c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1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9</v>
      </c>
      <c r="BK295" s="8">
        <v>416.76</v>
      </c>
      <c r="BL295" s="2" t="s">
        <v>1190</v>
      </c>
      <c r="BM295" s="7">
        <v>0.1111</v>
      </c>
      <c r="BN295" s="7">
        <v>0.1134</v>
      </c>
      <c r="BO295" s="4">
        <v>1</v>
      </c>
      <c r="BP295" s="8">
        <v>47.24</v>
      </c>
      <c r="BQ295" s="4"/>
      <c r="BR295" s="8"/>
      <c r="BS295" s="7"/>
      <c r="BT295" s="7"/>
      <c r="BU295" s="2" t="s">
        <v>109</v>
      </c>
      <c r="BV295" s="2" t="s">
        <v>97</v>
      </c>
      <c r="BW295" s="2" t="s">
        <v>1132</v>
      </c>
      <c r="BX295" s="2" t="s">
        <v>1191</v>
      </c>
      <c r="BY295" s="2" t="s">
        <v>112</v>
      </c>
      <c r="BZ295" s="2" t="s">
        <v>100</v>
      </c>
    </row>
    <row r="296">
      <c r="A296" s="2" t="s">
        <v>1192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1184</v>
      </c>
      <c r="G296" s="2" t="s">
        <v>1185</v>
      </c>
      <c r="H296" s="2" t="s">
        <v>1186</v>
      </c>
      <c r="I296" s="2" t="s">
        <v>784</v>
      </c>
      <c r="J296" s="2" t="s">
        <v>785</v>
      </c>
      <c r="K296" s="2" t="s">
        <v>409</v>
      </c>
      <c r="L296" s="3">
        <v>38.09</v>
      </c>
      <c r="M296" s="3">
        <v>39.99</v>
      </c>
      <c r="N296" s="3">
        <v>79.99</v>
      </c>
      <c r="O296" s="2" t="s">
        <v>97</v>
      </c>
      <c r="P296" s="2" t="s">
        <v>98</v>
      </c>
      <c r="Q296" s="2" t="s">
        <v>99</v>
      </c>
      <c r="R296" s="2" t="s">
        <v>100</v>
      </c>
      <c r="S296" s="2" t="s">
        <v>1193</v>
      </c>
      <c r="T296" s="2" t="s">
        <v>787</v>
      </c>
      <c r="U296" s="2" t="s">
        <v>644</v>
      </c>
      <c r="V296" s="2" t="s">
        <v>677</v>
      </c>
      <c r="W296" s="2" t="s">
        <v>646</v>
      </c>
      <c r="X296" s="2" t="s">
        <v>788</v>
      </c>
      <c r="Y296" s="2" t="s">
        <v>1194</v>
      </c>
      <c r="Z296" s="4">
        <v>455</v>
      </c>
      <c r="AA296" s="4">
        <f>=ROUNDDOWN(20.6818181818182,0)</f>
      </c>
      <c r="AB296" s="5">
        <v>22</v>
      </c>
      <c r="AC296" s="2" t="s">
        <v>168</v>
      </c>
      <c r="AD296" s="4">
        <v>420</v>
      </c>
      <c r="AE296" s="4">
        <v>550</v>
      </c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/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 t="s">
        <v>100</v>
      </c>
      <c r="BJ296" s="4">
        <v>11</v>
      </c>
      <c r="BK296" s="8">
        <v>461.72</v>
      </c>
      <c r="BL296" s="2" t="s">
        <v>1195</v>
      </c>
      <c r="BM296" s="7"/>
      <c r="BN296" s="7"/>
      <c r="BO296" s="4"/>
      <c r="BP296" s="8"/>
      <c r="BQ296" s="4"/>
      <c r="BR296" s="8"/>
      <c r="BS296" s="7"/>
      <c r="BT296" s="7"/>
      <c r="BU296" s="2" t="s">
        <v>109</v>
      </c>
      <c r="BV296" s="2" t="s">
        <v>97</v>
      </c>
      <c r="BW296" s="2" t="s">
        <v>1132</v>
      </c>
      <c r="BX296" s="2" t="s">
        <v>100</v>
      </c>
      <c r="BY296" s="2" t="s">
        <v>112</v>
      </c>
      <c r="BZ296" s="2" t="s">
        <v>100</v>
      </c>
    </row>
    <row r="297">
      <c r="A297" s="2" t="s">
        <v>1196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1184</v>
      </c>
      <c r="G297" s="2" t="s">
        <v>1185</v>
      </c>
      <c r="H297" s="2" t="s">
        <v>1186</v>
      </c>
      <c r="I297" s="2" t="s">
        <v>784</v>
      </c>
      <c r="J297" s="2" t="s">
        <v>795</v>
      </c>
      <c r="K297" s="2" t="s">
        <v>409</v>
      </c>
      <c r="L297" s="3">
        <v>42.85</v>
      </c>
      <c r="M297" s="3">
        <v>44.99</v>
      </c>
      <c r="N297" s="3">
        <v>89.99</v>
      </c>
      <c r="O297" s="2" t="s">
        <v>97</v>
      </c>
      <c r="P297" s="2" t="s">
        <v>98</v>
      </c>
      <c r="Q297" s="2" t="s">
        <v>99</v>
      </c>
      <c r="R297" s="2" t="s">
        <v>100</v>
      </c>
      <c r="S297" s="2" t="s">
        <v>1193</v>
      </c>
      <c r="T297" s="2" t="s">
        <v>787</v>
      </c>
      <c r="U297" s="2" t="s">
        <v>644</v>
      </c>
      <c r="V297" s="2" t="s">
        <v>677</v>
      </c>
      <c r="W297" s="2" t="s">
        <v>646</v>
      </c>
      <c r="X297" s="2" t="s">
        <v>788</v>
      </c>
      <c r="Y297" s="2" t="s">
        <v>1194</v>
      </c>
      <c r="Z297" s="4">
        <v>398</v>
      </c>
      <c r="AA297" s="4">
        <f>=ROUNDDOWN(28.4285714285714,0)</f>
      </c>
      <c r="AB297" s="5">
        <v>14</v>
      </c>
      <c r="AC297" s="2" t="s">
        <v>168</v>
      </c>
      <c r="AD297" s="4">
        <v>170</v>
      </c>
      <c r="AE297" s="4">
        <v>170</v>
      </c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/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 t="s">
        <v>100</v>
      </c>
      <c r="BJ297" s="4">
        <v>2</v>
      </c>
      <c r="BK297" s="8">
        <v>101.27</v>
      </c>
      <c r="BL297" s="2" t="s">
        <v>1197</v>
      </c>
      <c r="BM297" s="7"/>
      <c r="BN297" s="7"/>
      <c r="BO297" s="4"/>
      <c r="BP297" s="8"/>
      <c r="BQ297" s="4"/>
      <c r="BR297" s="8"/>
      <c r="BS297" s="7"/>
      <c r="BT297" s="7"/>
      <c r="BU297" s="2" t="s">
        <v>109</v>
      </c>
      <c r="BV297" s="2" t="s">
        <v>97</v>
      </c>
      <c r="BW297" s="2" t="s">
        <v>1132</v>
      </c>
      <c r="BX297" s="2" t="s">
        <v>1198</v>
      </c>
      <c r="BY297" s="2" t="s">
        <v>112</v>
      </c>
      <c r="BZ297" s="2" t="s">
        <v>100</v>
      </c>
    </row>
    <row r="298">
      <c r="A298" s="2" t="s">
        <v>1199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1200</v>
      </c>
      <c r="G298" s="2" t="s">
        <v>1201</v>
      </c>
      <c r="H298" s="2" t="s">
        <v>1202</v>
      </c>
      <c r="I298" s="2" t="s">
        <v>1203</v>
      </c>
      <c r="J298" s="2" t="s">
        <v>785</v>
      </c>
      <c r="K298" s="2" t="s">
        <v>253</v>
      </c>
      <c r="L298" s="3">
        <v>66.66</v>
      </c>
      <c r="M298" s="3">
        <v>69.99</v>
      </c>
      <c r="N298" s="3">
        <v>139.99</v>
      </c>
      <c r="O298" s="2" t="s">
        <v>97</v>
      </c>
      <c r="P298" s="2" t="s">
        <v>447</v>
      </c>
      <c r="Q298" s="2" t="s">
        <v>99</v>
      </c>
      <c r="R298" s="2" t="s">
        <v>100</v>
      </c>
      <c r="S298" s="2" t="s">
        <v>1204</v>
      </c>
      <c r="T298" s="2" t="s">
        <v>100</v>
      </c>
      <c r="U298" s="2" t="s">
        <v>644</v>
      </c>
      <c r="V298" s="2" t="s">
        <v>805</v>
      </c>
      <c r="W298" s="2" t="s">
        <v>976</v>
      </c>
      <c r="X298" s="2" t="s">
        <v>1205</v>
      </c>
      <c r="Y298" s="2" t="s">
        <v>1206</v>
      </c>
      <c r="Z298" s="4">
        <v>256</v>
      </c>
      <c r="AA298" s="4">
        <f>=ROUNDDOWN(22.6548672566372,0)</f>
      </c>
      <c r="AB298" s="5">
        <v>11.3</v>
      </c>
      <c r="AC298" s="2" t="s">
        <v>100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/>
      <c r="BJ298" s="4">
        <v>11</v>
      </c>
      <c r="BK298" s="8">
        <v>470.74</v>
      </c>
      <c r="BL298" s="2" t="s">
        <v>1207</v>
      </c>
      <c r="BM298" s="7"/>
      <c r="BN298" s="7"/>
      <c r="BO298" s="4"/>
      <c r="BP298" s="8"/>
      <c r="BQ298" s="4"/>
      <c r="BR298" s="8"/>
      <c r="BS298" s="7"/>
      <c r="BT298" s="7"/>
      <c r="BU298" s="2" t="s">
        <v>109</v>
      </c>
      <c r="BV298" s="2" t="s">
        <v>97</v>
      </c>
      <c r="BW298" s="2" t="s">
        <v>312</v>
      </c>
      <c r="BX298" s="2" t="s">
        <v>1208</v>
      </c>
      <c r="BY298" s="2" t="s">
        <v>112</v>
      </c>
      <c r="BZ298" s="2" t="s">
        <v>100</v>
      </c>
    </row>
    <row r="299">
      <c r="A299" s="2" t="s">
        <v>1209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1200</v>
      </c>
      <c r="G299" s="2" t="s">
        <v>1201</v>
      </c>
      <c r="H299" s="2" t="s">
        <v>1202</v>
      </c>
      <c r="I299" s="2" t="s">
        <v>1203</v>
      </c>
      <c r="J299" s="2" t="s">
        <v>795</v>
      </c>
      <c r="K299" s="2" t="s">
        <v>253</v>
      </c>
      <c r="L299" s="3">
        <v>76.19</v>
      </c>
      <c r="M299" s="3">
        <v>80</v>
      </c>
      <c r="N299" s="3">
        <v>159.99</v>
      </c>
      <c r="O299" s="2" t="s">
        <v>97</v>
      </c>
      <c r="P299" s="2" t="s">
        <v>447</v>
      </c>
      <c r="Q299" s="2" t="s">
        <v>99</v>
      </c>
      <c r="R299" s="2" t="s">
        <v>100</v>
      </c>
      <c r="S299" s="2" t="s">
        <v>1204</v>
      </c>
      <c r="T299" s="2" t="s">
        <v>100</v>
      </c>
      <c r="U299" s="2" t="s">
        <v>644</v>
      </c>
      <c r="V299" s="2" t="s">
        <v>805</v>
      </c>
      <c r="W299" s="2" t="s">
        <v>976</v>
      </c>
      <c r="X299" s="2" t="s">
        <v>1205</v>
      </c>
      <c r="Y299" s="2" t="s">
        <v>1206</v>
      </c>
      <c r="Z299" s="4">
        <v>253</v>
      </c>
      <c r="AA299" s="4">
        <f>=ROUNDDOWN(41.4754098360656,0)</f>
      </c>
      <c r="AB299" s="5">
        <v>6.1</v>
      </c>
      <c r="AC299" s="2" t="s">
        <v>100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/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/>
      <c r="BJ299" s="4">
        <v>4</v>
      </c>
      <c r="BK299" s="8">
        <v>214.4</v>
      </c>
      <c r="BL299" s="2" t="s">
        <v>1041</v>
      </c>
      <c r="BM299" s="7"/>
      <c r="BN299" s="7"/>
      <c r="BO299" s="4"/>
      <c r="BP299" s="8"/>
      <c r="BQ299" s="4"/>
      <c r="BR299" s="8"/>
      <c r="BS299" s="7"/>
      <c r="BT299" s="7"/>
      <c r="BU299" s="2" t="s">
        <v>109</v>
      </c>
      <c r="BV299" s="2" t="s">
        <v>97</v>
      </c>
      <c r="BW299" s="2" t="s">
        <v>312</v>
      </c>
      <c r="BX299" s="2" t="s">
        <v>1210</v>
      </c>
      <c r="BY299" s="2" t="s">
        <v>112</v>
      </c>
      <c r="BZ299" s="2" t="s">
        <v>100</v>
      </c>
    </row>
    <row r="300">
      <c r="A300" s="2" t="s">
        <v>1211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1212</v>
      </c>
      <c r="G300" s="2" t="s">
        <v>1213</v>
      </c>
      <c r="H300" s="2" t="s">
        <v>1214</v>
      </c>
      <c r="I300" s="2" t="s">
        <v>1215</v>
      </c>
      <c r="J300" s="2" t="s">
        <v>785</v>
      </c>
      <c r="K300" s="2" t="s">
        <v>146</v>
      </c>
      <c r="L300" s="3">
        <v>41.14</v>
      </c>
      <c r="M300" s="3">
        <v>43.2</v>
      </c>
      <c r="N300" s="3">
        <v>89.99</v>
      </c>
      <c r="O300" s="2" t="s">
        <v>97</v>
      </c>
      <c r="P300" s="2" t="s">
        <v>1216</v>
      </c>
      <c r="Q300" s="2" t="s">
        <v>99</v>
      </c>
      <c r="R300" s="2" t="s">
        <v>100</v>
      </c>
      <c r="S300" s="2" t="s">
        <v>1217</v>
      </c>
      <c r="T300" s="2" t="s">
        <v>1218</v>
      </c>
      <c r="U300" s="2" t="s">
        <v>644</v>
      </c>
      <c r="V300" s="2" t="s">
        <v>344</v>
      </c>
      <c r="W300" s="2" t="s">
        <v>104</v>
      </c>
      <c r="X300" s="2" t="s">
        <v>244</v>
      </c>
      <c r="Y300" s="2" t="s">
        <v>1219</v>
      </c>
      <c r="Z300" s="4">
        <v>283</v>
      </c>
      <c r="AA300" s="4">
        <f>=ROUNDDOWN(25.7272727272727,0)</f>
      </c>
      <c r="AB300" s="5">
        <v>11</v>
      </c>
      <c r="AC300" s="2" t="s">
        <v>100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/>
      <c r="BJ300" s="4">
        <v>6</v>
      </c>
      <c r="BK300" s="8">
        <v>278.61</v>
      </c>
      <c r="BL300" s="2" t="s">
        <v>1220</v>
      </c>
      <c r="BM300" s="7"/>
      <c r="BN300" s="7"/>
      <c r="BO300" s="4"/>
      <c r="BP300" s="8"/>
      <c r="BQ300" s="4"/>
      <c r="BR300" s="8"/>
      <c r="BS300" s="7"/>
      <c r="BT300" s="7"/>
      <c r="BU300" s="2" t="s">
        <v>109</v>
      </c>
      <c r="BV300" s="2" t="s">
        <v>97</v>
      </c>
      <c r="BW300" s="2" t="s">
        <v>1221</v>
      </c>
      <c r="BX300" s="2" t="s">
        <v>100</v>
      </c>
      <c r="BY300" s="2" t="s">
        <v>112</v>
      </c>
      <c r="BZ300" s="2" t="s">
        <v>100</v>
      </c>
    </row>
    <row r="301">
      <c r="A301" s="2" t="s">
        <v>1222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1212</v>
      </c>
      <c r="G301" s="2" t="s">
        <v>1213</v>
      </c>
      <c r="H301" s="2" t="s">
        <v>1214</v>
      </c>
      <c r="I301" s="2" t="s">
        <v>1215</v>
      </c>
      <c r="J301" s="2" t="s">
        <v>795</v>
      </c>
      <c r="K301" s="2" t="s">
        <v>146</v>
      </c>
      <c r="L301" s="3">
        <v>45.71</v>
      </c>
      <c r="M301" s="3">
        <v>48</v>
      </c>
      <c r="N301" s="3">
        <v>99.99</v>
      </c>
      <c r="O301" s="2" t="s">
        <v>97</v>
      </c>
      <c r="P301" s="2" t="s">
        <v>1216</v>
      </c>
      <c r="Q301" s="2" t="s">
        <v>99</v>
      </c>
      <c r="R301" s="2" t="s">
        <v>100</v>
      </c>
      <c r="S301" s="2" t="s">
        <v>1217</v>
      </c>
      <c r="T301" s="2" t="s">
        <v>1218</v>
      </c>
      <c r="U301" s="2" t="s">
        <v>644</v>
      </c>
      <c r="V301" s="2" t="s">
        <v>344</v>
      </c>
      <c r="W301" s="2" t="s">
        <v>104</v>
      </c>
      <c r="X301" s="2" t="s">
        <v>244</v>
      </c>
      <c r="Y301" s="2" t="s">
        <v>1219</v>
      </c>
      <c r="Z301" s="4">
        <v>386</v>
      </c>
      <c r="AA301" s="4">
        <f>=ROUNDDOWN(35.0909090909091,0)</f>
      </c>
      <c r="AB301" s="5">
        <v>11</v>
      </c>
      <c r="AC301" s="2" t="s">
        <v>100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/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/>
      <c r="BJ301" s="4">
        <v>11</v>
      </c>
      <c r="BK301" s="8">
        <v>587.66</v>
      </c>
      <c r="BL301" s="2" t="s">
        <v>1223</v>
      </c>
      <c r="BM301" s="7"/>
      <c r="BN301" s="7"/>
      <c r="BO301" s="4"/>
      <c r="BP301" s="8"/>
      <c r="BQ301" s="4"/>
      <c r="BR301" s="8"/>
      <c r="BS301" s="7"/>
      <c r="BT301" s="7"/>
      <c r="BU301" s="2" t="s">
        <v>109</v>
      </c>
      <c r="BV301" s="2" t="s">
        <v>97</v>
      </c>
      <c r="BW301" s="2" t="s">
        <v>1221</v>
      </c>
      <c r="BX301" s="2" t="s">
        <v>100</v>
      </c>
      <c r="BY301" s="2" t="s">
        <v>112</v>
      </c>
      <c r="BZ301" s="2" t="s">
        <v>100</v>
      </c>
    </row>
    <row r="302">
      <c r="A302" s="2" t="s">
        <v>1224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1225</v>
      </c>
      <c r="G302" s="2" t="s">
        <v>1226</v>
      </c>
      <c r="H302" s="2" t="s">
        <v>1227</v>
      </c>
      <c r="I302" s="2" t="s">
        <v>1228</v>
      </c>
      <c r="J302" s="2" t="s">
        <v>785</v>
      </c>
      <c r="K302" s="2" t="s">
        <v>771</v>
      </c>
      <c r="L302" s="3">
        <v>57.14</v>
      </c>
      <c r="M302" s="3">
        <v>60</v>
      </c>
      <c r="N302" s="3">
        <v>119.99</v>
      </c>
      <c r="O302" s="2" t="s">
        <v>97</v>
      </c>
      <c r="P302" s="2" t="s">
        <v>98</v>
      </c>
      <c r="Q302" s="2" t="s">
        <v>99</v>
      </c>
      <c r="R302" s="2" t="s">
        <v>100</v>
      </c>
      <c r="S302" s="2" t="s">
        <v>1229</v>
      </c>
      <c r="T302" s="2" t="s">
        <v>100</v>
      </c>
      <c r="U302" s="2" t="s">
        <v>644</v>
      </c>
      <c r="V302" s="2" t="s">
        <v>645</v>
      </c>
      <c r="W302" s="2" t="s">
        <v>104</v>
      </c>
      <c r="X302" s="2" t="s">
        <v>345</v>
      </c>
      <c r="Y302" s="2" t="s">
        <v>1230</v>
      </c>
      <c r="Z302" s="4">
        <v>410</v>
      </c>
      <c r="AA302" s="4">
        <f>=ROUNDDOWN(51.25,0)</f>
      </c>
      <c r="AB302" s="5">
        <v>8</v>
      </c>
      <c r="AC302" s="2" t="s">
        <v>100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/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/>
      <c r="BJ302" s="4">
        <v>3</v>
      </c>
      <c r="BK302" s="8">
        <v>195.31</v>
      </c>
      <c r="BL302" s="2" t="s">
        <v>407</v>
      </c>
      <c r="BM302" s="7"/>
      <c r="BN302" s="7"/>
      <c r="BO302" s="4"/>
      <c r="BP302" s="8"/>
      <c r="BQ302" s="4"/>
      <c r="BR302" s="8"/>
      <c r="BS302" s="7"/>
      <c r="BT302" s="7"/>
      <c r="BU302" s="2" t="s">
        <v>109</v>
      </c>
      <c r="BV302" s="2" t="s">
        <v>97</v>
      </c>
      <c r="BW302" s="2" t="s">
        <v>312</v>
      </c>
      <c r="BX302" s="2" t="s">
        <v>1231</v>
      </c>
      <c r="BY302" s="2" t="s">
        <v>112</v>
      </c>
      <c r="BZ302" s="2" t="s">
        <v>100</v>
      </c>
    </row>
    <row r="303">
      <c r="A303" s="2" t="s">
        <v>1232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1225</v>
      </c>
      <c r="G303" s="2" t="s">
        <v>1226</v>
      </c>
      <c r="H303" s="2" t="s">
        <v>1227</v>
      </c>
      <c r="I303" s="2" t="s">
        <v>1228</v>
      </c>
      <c r="J303" s="2" t="s">
        <v>795</v>
      </c>
      <c r="K303" s="2" t="s">
        <v>771</v>
      </c>
      <c r="L303" s="3">
        <v>66.66</v>
      </c>
      <c r="M303" s="3">
        <v>69.99</v>
      </c>
      <c r="N303" s="3">
        <v>139.99</v>
      </c>
      <c r="O303" s="2" t="s">
        <v>97</v>
      </c>
      <c r="P303" s="2" t="s">
        <v>98</v>
      </c>
      <c r="Q303" s="2" t="s">
        <v>99</v>
      </c>
      <c r="R303" s="2" t="s">
        <v>100</v>
      </c>
      <c r="S303" s="2" t="s">
        <v>1229</v>
      </c>
      <c r="T303" s="2" t="s">
        <v>100</v>
      </c>
      <c r="U303" s="2" t="s">
        <v>644</v>
      </c>
      <c r="V303" s="2" t="s">
        <v>645</v>
      </c>
      <c r="W303" s="2" t="s">
        <v>104</v>
      </c>
      <c r="X303" s="2" t="s">
        <v>345</v>
      </c>
      <c r="Y303" s="2" t="s">
        <v>1230</v>
      </c>
      <c r="Z303" s="4">
        <v>451</v>
      </c>
      <c r="AA303" s="4">
        <f>=ROUNDDOWN(45.1,0)</f>
      </c>
      <c r="AB303" s="5">
        <v>10</v>
      </c>
      <c r="AC303" s="2" t="s">
        <v>100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/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/>
      <c r="BJ303" s="4">
        <v>12</v>
      </c>
      <c r="BK303" s="8">
        <v>784.13</v>
      </c>
      <c r="BL303" s="2" t="s">
        <v>1233</v>
      </c>
      <c r="BM303" s="7"/>
      <c r="BN303" s="7"/>
      <c r="BO303" s="4"/>
      <c r="BP303" s="8"/>
      <c r="BQ303" s="4"/>
      <c r="BR303" s="8"/>
      <c r="BS303" s="7"/>
      <c r="BT303" s="7"/>
      <c r="BU303" s="2" t="s">
        <v>109</v>
      </c>
      <c r="BV303" s="2" t="s">
        <v>97</v>
      </c>
      <c r="BW303" s="2" t="s">
        <v>312</v>
      </c>
      <c r="BX303" s="2" t="s">
        <v>313</v>
      </c>
      <c r="BY303" s="2" t="s">
        <v>112</v>
      </c>
      <c r="BZ303" s="2" t="s">
        <v>100</v>
      </c>
    </row>
    <row r="304">
      <c r="A304" s="2" t="s">
        <v>1234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1235</v>
      </c>
      <c r="G304" s="2" t="s">
        <v>1236</v>
      </c>
      <c r="H304" s="2" t="s">
        <v>1237</v>
      </c>
      <c r="I304" s="2" t="s">
        <v>1238</v>
      </c>
      <c r="J304" s="2" t="s">
        <v>114</v>
      </c>
      <c r="K304" s="2" t="s">
        <v>175</v>
      </c>
      <c r="L304" s="3">
        <v>69</v>
      </c>
      <c r="M304" s="3">
        <v>72.45</v>
      </c>
      <c r="N304" s="3">
        <v>149.99</v>
      </c>
      <c r="O304" s="2" t="s">
        <v>97</v>
      </c>
      <c r="P304" s="2" t="s">
        <v>98</v>
      </c>
      <c r="Q304" s="2" t="s">
        <v>99</v>
      </c>
      <c r="R304" s="2" t="s">
        <v>100</v>
      </c>
      <c r="S304" s="2" t="s">
        <v>1239</v>
      </c>
      <c r="T304" s="2" t="s">
        <v>100</v>
      </c>
      <c r="U304" s="2" t="s">
        <v>102</v>
      </c>
      <c r="V304" s="2" t="s">
        <v>344</v>
      </c>
      <c r="W304" s="2" t="s">
        <v>1240</v>
      </c>
      <c r="X304" s="2" t="s">
        <v>1241</v>
      </c>
      <c r="Y304" s="2" t="s">
        <v>515</v>
      </c>
      <c r="Z304" s="4">
        <v>183</v>
      </c>
      <c r="AA304" s="4">
        <f>=ROUNDDOWN(14.0769230769231,0)</f>
      </c>
      <c r="AB304" s="5">
        <v>13</v>
      </c>
      <c r="AC304" s="2" t="s">
        <v>583</v>
      </c>
      <c r="AD304" s="4">
        <v>125</v>
      </c>
      <c r="AE304" s="4">
        <v>455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/>
      <c r="BJ304" s="4">
        <v>7</v>
      </c>
      <c r="BK304" s="8">
        <v>535.56</v>
      </c>
      <c r="BL304" s="2" t="s">
        <v>1242</v>
      </c>
      <c r="BM304" s="7"/>
      <c r="BN304" s="7"/>
      <c r="BO304" s="4"/>
      <c r="BP304" s="8"/>
      <c r="BQ304" s="4"/>
      <c r="BR304" s="8"/>
      <c r="BS304" s="7"/>
      <c r="BT304" s="7"/>
      <c r="BU304" s="2" t="s">
        <v>109</v>
      </c>
      <c r="BV304" s="2" t="s">
        <v>97</v>
      </c>
      <c r="BW304" s="2" t="s">
        <v>326</v>
      </c>
      <c r="BX304" s="2" t="s">
        <v>1243</v>
      </c>
      <c r="BY304" s="2" t="s">
        <v>112</v>
      </c>
      <c r="BZ304" s="2" t="s">
        <v>100</v>
      </c>
    </row>
    <row r="305">
      <c r="A305" s="2" t="s">
        <v>1244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1235</v>
      </c>
      <c r="G305" s="2" t="s">
        <v>1236</v>
      </c>
      <c r="H305" s="2" t="s">
        <v>1237</v>
      </c>
      <c r="I305" s="2" t="s">
        <v>1238</v>
      </c>
      <c r="J305" s="2" t="s">
        <v>120</v>
      </c>
      <c r="K305" s="2" t="s">
        <v>175</v>
      </c>
      <c r="L305" s="3">
        <v>79.9</v>
      </c>
      <c r="M305" s="3">
        <v>83.89</v>
      </c>
      <c r="N305" s="3">
        <v>169.99</v>
      </c>
      <c r="O305" s="2" t="s">
        <v>97</v>
      </c>
      <c r="P305" s="2" t="s">
        <v>98</v>
      </c>
      <c r="Q305" s="2" t="s">
        <v>99</v>
      </c>
      <c r="R305" s="2" t="s">
        <v>100</v>
      </c>
      <c r="S305" s="2" t="s">
        <v>1239</v>
      </c>
      <c r="T305" s="2" t="s">
        <v>100</v>
      </c>
      <c r="U305" s="2" t="s">
        <v>102</v>
      </c>
      <c r="V305" s="2" t="s">
        <v>344</v>
      </c>
      <c r="W305" s="2" t="s">
        <v>1240</v>
      </c>
      <c r="X305" s="2" t="s">
        <v>1241</v>
      </c>
      <c r="Y305" s="2" t="s">
        <v>515</v>
      </c>
      <c r="Z305" s="4">
        <v>130</v>
      </c>
      <c r="AA305" s="4">
        <f>=ROUNDDOWN(7.64705882352941,0)</f>
      </c>
      <c r="AB305" s="5">
        <v>17</v>
      </c>
      <c r="AC305" s="2" t="s">
        <v>287</v>
      </c>
      <c r="AD305" s="4">
        <v>100</v>
      </c>
      <c r="AE305" s="4">
        <v>795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/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/>
      <c r="BJ305" s="4">
        <v>10</v>
      </c>
      <c r="BK305" s="8">
        <v>878.61</v>
      </c>
      <c r="BL305" s="2" t="s">
        <v>1242</v>
      </c>
      <c r="BM305" s="7"/>
      <c r="BN305" s="7"/>
      <c r="BO305" s="4"/>
      <c r="BP305" s="8"/>
      <c r="BQ305" s="4"/>
      <c r="BR305" s="8"/>
      <c r="BS305" s="7"/>
      <c r="BT305" s="7"/>
      <c r="BU305" s="2" t="s">
        <v>109</v>
      </c>
      <c r="BV305" s="2" t="s">
        <v>97</v>
      </c>
      <c r="BW305" s="2" t="s">
        <v>326</v>
      </c>
      <c r="BX305" s="2" t="s">
        <v>1245</v>
      </c>
      <c r="BY305" s="2" t="s">
        <v>112</v>
      </c>
      <c r="BZ305" s="2" t="s">
        <v>100</v>
      </c>
    </row>
    <row r="306">
      <c r="A306" s="2" t="s">
        <v>1246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1235</v>
      </c>
      <c r="G306" s="2" t="s">
        <v>1236</v>
      </c>
      <c r="H306" s="2" t="s">
        <v>1237</v>
      </c>
      <c r="I306" s="2" t="s">
        <v>1238</v>
      </c>
      <c r="J306" s="2" t="s">
        <v>124</v>
      </c>
      <c r="K306" s="2" t="s">
        <v>175</v>
      </c>
      <c r="L306" s="3">
        <v>79.9</v>
      </c>
      <c r="M306" s="3">
        <v>83.89</v>
      </c>
      <c r="N306" s="3">
        <v>169.99</v>
      </c>
      <c r="O306" s="2" t="s">
        <v>97</v>
      </c>
      <c r="P306" s="2" t="s">
        <v>98</v>
      </c>
      <c r="Q306" s="2" t="s">
        <v>99</v>
      </c>
      <c r="R306" s="2" t="s">
        <v>100</v>
      </c>
      <c r="S306" s="2" t="s">
        <v>1239</v>
      </c>
      <c r="T306" s="2" t="s">
        <v>100</v>
      </c>
      <c r="U306" s="2" t="s">
        <v>102</v>
      </c>
      <c r="V306" s="2" t="s">
        <v>344</v>
      </c>
      <c r="W306" s="2" t="s">
        <v>1240</v>
      </c>
      <c r="X306" s="2" t="s">
        <v>1241</v>
      </c>
      <c r="Y306" s="2" t="s">
        <v>515</v>
      </c>
      <c r="Z306" s="4">
        <v>91</v>
      </c>
      <c r="AA306" s="4">
        <f>=ROUNDDOWN(13,0)</f>
      </c>
      <c r="AB306" s="5">
        <v>7</v>
      </c>
      <c r="AC306" s="2" t="s">
        <v>287</v>
      </c>
      <c r="AD306" s="4">
        <v>30</v>
      </c>
      <c r="AE306" s="4">
        <v>300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/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/>
      <c r="BJ306" s="4">
        <v>4</v>
      </c>
      <c r="BK306" s="8">
        <v>344.31</v>
      </c>
      <c r="BL306" s="2" t="s">
        <v>1247</v>
      </c>
      <c r="BM306" s="7"/>
      <c r="BN306" s="7"/>
      <c r="BO306" s="4"/>
      <c r="BP306" s="8"/>
      <c r="BQ306" s="4"/>
      <c r="BR306" s="8"/>
      <c r="BS306" s="7"/>
      <c r="BT306" s="7"/>
      <c r="BU306" s="2" t="s">
        <v>109</v>
      </c>
      <c r="BV306" s="2" t="s">
        <v>97</v>
      </c>
      <c r="BW306" s="2" t="s">
        <v>326</v>
      </c>
      <c r="BX306" s="2" t="s">
        <v>1248</v>
      </c>
      <c r="BY306" s="2" t="s">
        <v>112</v>
      </c>
      <c r="BZ306" s="2" t="s">
        <v>100</v>
      </c>
    </row>
    <row r="307">
      <c r="A307" s="2" t="s">
        <v>1249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1250</v>
      </c>
      <c r="G307" s="2" t="s">
        <v>1251</v>
      </c>
      <c r="H307" s="2" t="s">
        <v>1252</v>
      </c>
      <c r="I307" s="2" t="s">
        <v>549</v>
      </c>
      <c r="J307" s="2" t="s">
        <v>114</v>
      </c>
      <c r="K307" s="2" t="s">
        <v>253</v>
      </c>
      <c r="L307" s="3">
        <v>72</v>
      </c>
      <c r="M307" s="3">
        <v>75.59</v>
      </c>
      <c r="N307" s="3">
        <v>149.99</v>
      </c>
      <c r="O307" s="2" t="s">
        <v>97</v>
      </c>
      <c r="P307" s="2" t="s">
        <v>98</v>
      </c>
      <c r="Q307" s="2" t="s">
        <v>99</v>
      </c>
      <c r="R307" s="2" t="s">
        <v>100</v>
      </c>
      <c r="S307" s="2" t="s">
        <v>1253</v>
      </c>
      <c r="T307" s="2" t="s">
        <v>100</v>
      </c>
      <c r="U307" s="2" t="s">
        <v>102</v>
      </c>
      <c r="V307" s="2" t="s">
        <v>551</v>
      </c>
      <c r="W307" s="2" t="s">
        <v>551</v>
      </c>
      <c r="X307" s="2" t="s">
        <v>563</v>
      </c>
      <c r="Y307" s="2" t="s">
        <v>131</v>
      </c>
      <c r="Z307" s="4">
        <v>607</v>
      </c>
      <c r="AA307" s="4">
        <f>=ROUNDDOWN(46.6923076923077,0)</f>
      </c>
      <c r="AB307" s="5">
        <v>13</v>
      </c>
      <c r="AC307" s="2" t="s">
        <v>100</v>
      </c>
      <c r="AD307" s="4"/>
      <c r="AE307" s="4"/>
      <c r="AF307" s="6">
        <v>65</v>
      </c>
      <c r="AG307" s="6">
        <v>73</v>
      </c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/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/>
      <c r="BJ307" s="4">
        <v>11</v>
      </c>
      <c r="BK307" s="8">
        <v>843.53</v>
      </c>
      <c r="BL307" s="2" t="s">
        <v>1254</v>
      </c>
      <c r="BM307" s="7"/>
      <c r="BN307" s="7"/>
      <c r="BO307" s="4"/>
      <c r="BP307" s="8"/>
      <c r="BQ307" s="4"/>
      <c r="BR307" s="8"/>
      <c r="BS307" s="7"/>
      <c r="BT307" s="7"/>
      <c r="BU307" s="2" t="s">
        <v>109</v>
      </c>
      <c r="BV307" s="2" t="s">
        <v>97</v>
      </c>
      <c r="BW307" s="2" t="s">
        <v>137</v>
      </c>
      <c r="BX307" s="2" t="s">
        <v>621</v>
      </c>
      <c r="BY307" s="2" t="s">
        <v>112</v>
      </c>
      <c r="BZ307" s="2" t="s">
        <v>100</v>
      </c>
    </row>
    <row r="308">
      <c r="A308" s="2" t="s">
        <v>1255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1250</v>
      </c>
      <c r="G308" s="2" t="s">
        <v>1251</v>
      </c>
      <c r="H308" s="2" t="s">
        <v>1252</v>
      </c>
      <c r="I308" s="2" t="s">
        <v>549</v>
      </c>
      <c r="J308" s="2" t="s">
        <v>120</v>
      </c>
      <c r="K308" s="2" t="s">
        <v>253</v>
      </c>
      <c r="L308" s="3">
        <v>81.6</v>
      </c>
      <c r="M308" s="3">
        <v>85.67</v>
      </c>
      <c r="N308" s="3">
        <v>169.99</v>
      </c>
      <c r="O308" s="2" t="s">
        <v>97</v>
      </c>
      <c r="P308" s="2" t="s">
        <v>98</v>
      </c>
      <c r="Q308" s="2" t="s">
        <v>99</v>
      </c>
      <c r="R308" s="2" t="s">
        <v>100</v>
      </c>
      <c r="S308" s="2" t="s">
        <v>1253</v>
      </c>
      <c r="T308" s="2" t="s">
        <v>100</v>
      </c>
      <c r="U308" s="2" t="s">
        <v>102</v>
      </c>
      <c r="V308" s="2" t="s">
        <v>551</v>
      </c>
      <c r="W308" s="2" t="s">
        <v>551</v>
      </c>
      <c r="X308" s="2" t="s">
        <v>563</v>
      </c>
      <c r="Y308" s="2" t="s">
        <v>131</v>
      </c>
      <c r="Z308" s="4">
        <v>342</v>
      </c>
      <c r="AA308" s="4">
        <f>=ROUNDDOWN(38,0)</f>
      </c>
      <c r="AB308" s="5">
        <v>9</v>
      </c>
      <c r="AC308" s="2" t="s">
        <v>100</v>
      </c>
      <c r="AD308" s="4"/>
      <c r="AE308" s="4"/>
      <c r="AF308" s="6">
        <v>65</v>
      </c>
      <c r="AG308" s="6">
        <v>73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100</v>
      </c>
      <c r="AW308" s="8" t="s">
        <v>100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/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/>
      <c r="BJ308" s="4">
        <v>10</v>
      </c>
      <c r="BK308" s="8">
        <v>831.57</v>
      </c>
      <c r="BL308" s="2" t="s">
        <v>1256</v>
      </c>
      <c r="BM308" s="7"/>
      <c r="BN308" s="7"/>
      <c r="BO308" s="4"/>
      <c r="BP308" s="8"/>
      <c r="BQ308" s="4"/>
      <c r="BR308" s="8"/>
      <c r="BS308" s="7"/>
      <c r="BT308" s="7"/>
      <c r="BU308" s="2" t="s">
        <v>109</v>
      </c>
      <c r="BV308" s="2" t="s">
        <v>97</v>
      </c>
      <c r="BW308" s="2" t="s">
        <v>137</v>
      </c>
      <c r="BX308" s="2" t="s">
        <v>595</v>
      </c>
      <c r="BY308" s="2" t="s">
        <v>112</v>
      </c>
      <c r="BZ308" s="2" t="s">
        <v>100</v>
      </c>
    </row>
    <row r="309">
      <c r="A309" s="2" t="s">
        <v>1257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1250</v>
      </c>
      <c r="G309" s="2" t="s">
        <v>1251</v>
      </c>
      <c r="H309" s="2" t="s">
        <v>1252</v>
      </c>
      <c r="I309" s="2" t="s">
        <v>549</v>
      </c>
      <c r="J309" s="2" t="s">
        <v>124</v>
      </c>
      <c r="K309" s="2" t="s">
        <v>253</v>
      </c>
      <c r="L309" s="3">
        <v>81.6</v>
      </c>
      <c r="M309" s="3">
        <v>85.67</v>
      </c>
      <c r="N309" s="3">
        <v>169.99</v>
      </c>
      <c r="O309" s="2" t="s">
        <v>97</v>
      </c>
      <c r="P309" s="2" t="s">
        <v>98</v>
      </c>
      <c r="Q309" s="2" t="s">
        <v>99</v>
      </c>
      <c r="R309" s="2" t="s">
        <v>100</v>
      </c>
      <c r="S309" s="2" t="s">
        <v>1253</v>
      </c>
      <c r="T309" s="2" t="s">
        <v>100</v>
      </c>
      <c r="U309" s="2" t="s">
        <v>102</v>
      </c>
      <c r="V309" s="2" t="s">
        <v>551</v>
      </c>
      <c r="W309" s="2" t="s">
        <v>551</v>
      </c>
      <c r="X309" s="2" t="s">
        <v>563</v>
      </c>
      <c r="Y309" s="2" t="s">
        <v>131</v>
      </c>
      <c r="Z309" s="4">
        <v>262</v>
      </c>
      <c r="AA309" s="4">
        <f>=ROUNDDOWN(65.5,0)</f>
      </c>
      <c r="AB309" s="5">
        <v>4</v>
      </c>
      <c r="AC309" s="2" t="s">
        <v>100</v>
      </c>
      <c r="AD309" s="4"/>
      <c r="AE309" s="4"/>
      <c r="AF309" s="6">
        <v>65</v>
      </c>
      <c r="AG309" s="6">
        <v>73</v>
      </c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/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/>
      <c r="BJ309" s="4">
        <v>1</v>
      </c>
      <c r="BK309" s="8">
        <v>86.22</v>
      </c>
      <c r="BL309" s="2" t="s">
        <v>441</v>
      </c>
      <c r="BM309" s="7"/>
      <c r="BN309" s="7"/>
      <c r="BO309" s="4"/>
      <c r="BP309" s="8"/>
      <c r="BQ309" s="4"/>
      <c r="BR309" s="8"/>
      <c r="BS309" s="7"/>
      <c r="BT309" s="7"/>
      <c r="BU309" s="2" t="s">
        <v>109</v>
      </c>
      <c r="BV309" s="2" t="s">
        <v>97</v>
      </c>
      <c r="BW309" s="2" t="s">
        <v>137</v>
      </c>
      <c r="BX309" s="2" t="s">
        <v>634</v>
      </c>
      <c r="BY309" s="2" t="s">
        <v>112</v>
      </c>
      <c r="BZ309" s="2" t="s">
        <v>100</v>
      </c>
    </row>
    <row r="310">
      <c r="A310" s="2" t="s">
        <v>1258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1259</v>
      </c>
      <c r="G310" s="2" t="s">
        <v>1260</v>
      </c>
      <c r="H310" s="2" t="s">
        <v>1261</v>
      </c>
      <c r="I310" s="2" t="s">
        <v>1262</v>
      </c>
      <c r="J310" s="2" t="s">
        <v>114</v>
      </c>
      <c r="K310" s="2" t="s">
        <v>1263</v>
      </c>
      <c r="L310" s="3">
        <v>67.16</v>
      </c>
      <c r="M310" s="3">
        <v>70.52</v>
      </c>
      <c r="N310" s="3">
        <v>149.99</v>
      </c>
      <c r="O310" s="2" t="s">
        <v>97</v>
      </c>
      <c r="P310" s="2" t="s">
        <v>383</v>
      </c>
      <c r="Q310" s="2" t="s">
        <v>99</v>
      </c>
      <c r="R310" s="2" t="s">
        <v>100</v>
      </c>
      <c r="S310" s="2" t="s">
        <v>1264</v>
      </c>
      <c r="T310" s="2" t="s">
        <v>100</v>
      </c>
      <c r="U310" s="2" t="s">
        <v>102</v>
      </c>
      <c r="V310" s="2" t="s">
        <v>1265</v>
      </c>
      <c r="W310" s="2" t="s">
        <v>105</v>
      </c>
      <c r="X310" s="2" t="s">
        <v>1266</v>
      </c>
      <c r="Y310" s="2" t="s">
        <v>1267</v>
      </c>
      <c r="Z310" s="4">
        <v>382</v>
      </c>
      <c r="AA310" s="4">
        <f>=ROUNDDOWN(17.3636363636364,0)</f>
      </c>
      <c r="AB310" s="5">
        <v>22</v>
      </c>
      <c r="AC310" s="2" t="s">
        <v>361</v>
      </c>
      <c r="AD310" s="4">
        <v>300</v>
      </c>
      <c r="AE310" s="4">
        <v>710</v>
      </c>
      <c r="AF310" s="6">
        <v>65</v>
      </c>
      <c r="AG310" s="6">
        <v>73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/>
      <c r="BJ310" s="4">
        <v>11</v>
      </c>
      <c r="BK310" s="8">
        <v>797.23</v>
      </c>
      <c r="BL310" s="2" t="s">
        <v>1268</v>
      </c>
      <c r="BM310" s="7"/>
      <c r="BN310" s="7"/>
      <c r="BO310" s="4"/>
      <c r="BP310" s="8"/>
      <c r="BQ310" s="4"/>
      <c r="BR310" s="8"/>
      <c r="BS310" s="7"/>
      <c r="BT310" s="7"/>
      <c r="BU310" s="2" t="s">
        <v>109</v>
      </c>
      <c r="BV310" s="2" t="s">
        <v>97</v>
      </c>
      <c r="BW310" s="2" t="s">
        <v>270</v>
      </c>
      <c r="BX310" s="2" t="s">
        <v>1269</v>
      </c>
      <c r="BY310" s="2" t="s">
        <v>112</v>
      </c>
      <c r="BZ310" s="2" t="s">
        <v>100</v>
      </c>
    </row>
    <row r="311">
      <c r="A311" s="2" t="s">
        <v>1270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1259</v>
      </c>
      <c r="G311" s="2" t="s">
        <v>1260</v>
      </c>
      <c r="H311" s="2" t="s">
        <v>1261</v>
      </c>
      <c r="I311" s="2" t="s">
        <v>1262</v>
      </c>
      <c r="J311" s="2" t="s">
        <v>120</v>
      </c>
      <c r="K311" s="2" t="s">
        <v>1263</v>
      </c>
      <c r="L311" s="3">
        <v>77.49</v>
      </c>
      <c r="M311" s="3">
        <v>81.37</v>
      </c>
      <c r="N311" s="3">
        <v>169.99</v>
      </c>
      <c r="O311" s="2" t="s">
        <v>97</v>
      </c>
      <c r="P311" s="2" t="s">
        <v>383</v>
      </c>
      <c r="Q311" s="2" t="s">
        <v>99</v>
      </c>
      <c r="R311" s="2" t="s">
        <v>100</v>
      </c>
      <c r="S311" s="2" t="s">
        <v>1264</v>
      </c>
      <c r="T311" s="2" t="s">
        <v>100</v>
      </c>
      <c r="U311" s="2" t="s">
        <v>102</v>
      </c>
      <c r="V311" s="2" t="s">
        <v>1265</v>
      </c>
      <c r="W311" s="2" t="s">
        <v>105</v>
      </c>
      <c r="X311" s="2" t="s">
        <v>1266</v>
      </c>
      <c r="Y311" s="2" t="s">
        <v>1267</v>
      </c>
      <c r="Z311" s="4">
        <v>387</v>
      </c>
      <c r="AA311" s="4">
        <f>=ROUNDDOWN(17.5909090909091,0)</f>
      </c>
      <c r="AB311" s="5">
        <v>22</v>
      </c>
      <c r="AC311" s="2" t="s">
        <v>361</v>
      </c>
      <c r="AD311" s="4">
        <v>159</v>
      </c>
      <c r="AE311" s="4">
        <v>689</v>
      </c>
      <c r="AF311" s="6">
        <v>65</v>
      </c>
      <c r="AG311" s="6">
        <v>73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/>
      <c r="BJ311" s="4">
        <v>15</v>
      </c>
      <c r="BK311" s="8">
        <v>1278.95</v>
      </c>
      <c r="BL311" s="2" t="s">
        <v>1271</v>
      </c>
      <c r="BM311" s="7"/>
      <c r="BN311" s="7"/>
      <c r="BO311" s="4"/>
      <c r="BP311" s="8"/>
      <c r="BQ311" s="4"/>
      <c r="BR311" s="8"/>
      <c r="BS311" s="7"/>
      <c r="BT311" s="7"/>
      <c r="BU311" s="2" t="s">
        <v>109</v>
      </c>
      <c r="BV311" s="2" t="s">
        <v>97</v>
      </c>
      <c r="BW311" s="2" t="s">
        <v>270</v>
      </c>
      <c r="BX311" s="2" t="s">
        <v>1272</v>
      </c>
      <c r="BY311" s="2" t="s">
        <v>112</v>
      </c>
      <c r="BZ311" s="2" t="s">
        <v>100</v>
      </c>
    </row>
    <row r="312">
      <c r="A312" s="2" t="s">
        <v>1273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1259</v>
      </c>
      <c r="G312" s="2" t="s">
        <v>1260</v>
      </c>
      <c r="H312" s="2" t="s">
        <v>1261</v>
      </c>
      <c r="I312" s="2" t="s">
        <v>1262</v>
      </c>
      <c r="J312" s="2" t="s">
        <v>124</v>
      </c>
      <c r="K312" s="2" t="s">
        <v>1263</v>
      </c>
      <c r="L312" s="3">
        <v>77.49</v>
      </c>
      <c r="M312" s="3">
        <v>81.37</v>
      </c>
      <c r="N312" s="3">
        <v>169.99</v>
      </c>
      <c r="O312" s="2" t="s">
        <v>97</v>
      </c>
      <c r="P312" s="2" t="s">
        <v>383</v>
      </c>
      <c r="Q312" s="2" t="s">
        <v>99</v>
      </c>
      <c r="R312" s="2" t="s">
        <v>100</v>
      </c>
      <c r="S312" s="2" t="s">
        <v>1264</v>
      </c>
      <c r="T312" s="2" t="s">
        <v>100</v>
      </c>
      <c r="U312" s="2" t="s">
        <v>102</v>
      </c>
      <c r="V312" s="2" t="s">
        <v>1265</v>
      </c>
      <c r="W312" s="2" t="s">
        <v>105</v>
      </c>
      <c r="X312" s="2" t="s">
        <v>1266</v>
      </c>
      <c r="Y312" s="2" t="s">
        <v>1267</v>
      </c>
      <c r="Z312" s="4">
        <v>283</v>
      </c>
      <c r="AA312" s="4">
        <f>=ROUNDDOWN(28.3,0)</f>
      </c>
      <c r="AB312" s="5">
        <v>10</v>
      </c>
      <c r="AC312" s="2" t="s">
        <v>361</v>
      </c>
      <c r="AD312" s="4">
        <v>30</v>
      </c>
      <c r="AE312" s="4">
        <v>200</v>
      </c>
      <c r="AF312" s="6">
        <v>65</v>
      </c>
      <c r="AG312" s="6">
        <v>73</v>
      </c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/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/>
      <c r="BJ312" s="4">
        <v>3</v>
      </c>
      <c r="BK312" s="8">
        <v>251.83</v>
      </c>
      <c r="BL312" s="2" t="s">
        <v>1274</v>
      </c>
      <c r="BM312" s="7"/>
      <c r="BN312" s="7"/>
      <c r="BO312" s="4"/>
      <c r="BP312" s="8"/>
      <c r="BQ312" s="4"/>
      <c r="BR312" s="8"/>
      <c r="BS312" s="7"/>
      <c r="BT312" s="7"/>
      <c r="BU312" s="2" t="s">
        <v>109</v>
      </c>
      <c r="BV312" s="2" t="s">
        <v>97</v>
      </c>
      <c r="BW312" s="2" t="s">
        <v>270</v>
      </c>
      <c r="BX312" s="2" t="s">
        <v>1275</v>
      </c>
      <c r="BY312" s="2" t="s">
        <v>112</v>
      </c>
      <c r="BZ312" s="2" t="s">
        <v>100</v>
      </c>
    </row>
    <row r="313">
      <c r="A313" s="2" t="s">
        <v>1276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1277</v>
      </c>
      <c r="G313" s="2" t="s">
        <v>239</v>
      </c>
      <c r="H313" s="2" t="s">
        <v>1278</v>
      </c>
      <c r="I313" s="2" t="s">
        <v>1279</v>
      </c>
      <c r="J313" s="2" t="s">
        <v>785</v>
      </c>
      <c r="K313" s="2" t="s">
        <v>763</v>
      </c>
      <c r="L313" s="3">
        <v>41.14</v>
      </c>
      <c r="M313" s="3">
        <v>43.2</v>
      </c>
      <c r="N313" s="3">
        <v>89.99</v>
      </c>
      <c r="O313" s="2" t="s">
        <v>97</v>
      </c>
      <c r="P313" s="2" t="s">
        <v>1216</v>
      </c>
      <c r="Q313" s="2" t="s">
        <v>99</v>
      </c>
      <c r="R313" s="2" t="s">
        <v>100</v>
      </c>
      <c r="S313" s="2" t="s">
        <v>1280</v>
      </c>
      <c r="T313" s="2" t="s">
        <v>1218</v>
      </c>
      <c r="U313" s="2" t="s">
        <v>676</v>
      </c>
      <c r="V313" s="2" t="s">
        <v>805</v>
      </c>
      <c r="W313" s="2" t="s">
        <v>244</v>
      </c>
      <c r="X313" s="2" t="s">
        <v>100</v>
      </c>
      <c r="Y313" s="2" t="s">
        <v>1281</v>
      </c>
      <c r="Z313" s="4">
        <v>215</v>
      </c>
      <c r="AA313" s="4">
        <f>=ROUNDDOWN(179.166666666667,0)</f>
      </c>
      <c r="AB313" s="5">
        <v>1.2</v>
      </c>
      <c r="AC313" s="2" t="s">
        <v>1282</v>
      </c>
      <c r="AD313" s="4">
        <v>180</v>
      </c>
      <c r="AE313" s="4">
        <v>180</v>
      </c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/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/>
      <c r="BJ313" s="4">
        <v>1</v>
      </c>
      <c r="BK313" s="8">
        <v>46.65</v>
      </c>
      <c r="BL313" s="2" t="s">
        <v>715</v>
      </c>
      <c r="BM313" s="7"/>
      <c r="BN313" s="7"/>
      <c r="BO313" s="4"/>
      <c r="BP313" s="8"/>
      <c r="BQ313" s="4"/>
      <c r="BR313" s="8"/>
      <c r="BS313" s="7"/>
      <c r="BT313" s="7"/>
      <c r="BU313" s="2" t="s">
        <v>109</v>
      </c>
      <c r="BV313" s="2" t="s">
        <v>97</v>
      </c>
      <c r="BW313" s="2" t="s">
        <v>1221</v>
      </c>
      <c r="BX313" s="2" t="s">
        <v>100</v>
      </c>
      <c r="BY313" s="2" t="s">
        <v>112</v>
      </c>
      <c r="BZ313" s="2" t="s">
        <v>100</v>
      </c>
    </row>
    <row r="314">
      <c r="A314" s="2" t="s">
        <v>1283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1277</v>
      </c>
      <c r="G314" s="2" t="s">
        <v>239</v>
      </c>
      <c r="H314" s="2" t="s">
        <v>1278</v>
      </c>
      <c r="I314" s="2" t="s">
        <v>1279</v>
      </c>
      <c r="J314" s="2" t="s">
        <v>795</v>
      </c>
      <c r="K314" s="2" t="s">
        <v>763</v>
      </c>
      <c r="L314" s="3">
        <v>45.71</v>
      </c>
      <c r="M314" s="3">
        <v>48</v>
      </c>
      <c r="N314" s="3">
        <v>99.99</v>
      </c>
      <c r="O314" s="2" t="s">
        <v>97</v>
      </c>
      <c r="P314" s="2" t="s">
        <v>1216</v>
      </c>
      <c r="Q314" s="2" t="s">
        <v>99</v>
      </c>
      <c r="R314" s="2" t="s">
        <v>100</v>
      </c>
      <c r="S314" s="2" t="s">
        <v>1280</v>
      </c>
      <c r="T314" s="2" t="s">
        <v>1218</v>
      </c>
      <c r="U314" s="2" t="s">
        <v>676</v>
      </c>
      <c r="V314" s="2" t="s">
        <v>805</v>
      </c>
      <c r="W314" s="2" t="s">
        <v>244</v>
      </c>
      <c r="X314" s="2" t="s">
        <v>100</v>
      </c>
      <c r="Y314" s="2" t="s">
        <v>1281</v>
      </c>
      <c r="Z314" s="4">
        <v>179</v>
      </c>
      <c r="AA314" s="4">
        <f>=ROUNDDOWN(895,0)</f>
      </c>
      <c r="AB314" s="5">
        <v>0.2</v>
      </c>
      <c r="AC314" s="2" t="s">
        <v>1282</v>
      </c>
      <c r="AD314" s="4">
        <v>176</v>
      </c>
      <c r="AE314" s="4">
        <v>180</v>
      </c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/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/>
      <c r="BJ314" s="4"/>
      <c r="BK314" s="8"/>
      <c r="BL314" s="2" t="s">
        <v>100</v>
      </c>
      <c r="BM314" s="7"/>
      <c r="BN314" s="7"/>
      <c r="BO314" s="4"/>
      <c r="BP314" s="8"/>
      <c r="BQ314" s="4"/>
      <c r="BR314" s="8"/>
      <c r="BS314" s="7"/>
      <c r="BT314" s="7"/>
      <c r="BU314" s="2" t="s">
        <v>109</v>
      </c>
      <c r="BV314" s="2" t="s">
        <v>97</v>
      </c>
      <c r="BW314" s="2" t="s">
        <v>1221</v>
      </c>
      <c r="BX314" s="2" t="s">
        <v>100</v>
      </c>
      <c r="BY314" s="2" t="s">
        <v>112</v>
      </c>
      <c r="BZ314" s="2" t="s">
        <v>100</v>
      </c>
    </row>
    <row r="315">
      <c r="A315" s="2" t="s">
        <v>1284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1285</v>
      </c>
      <c r="G315" s="2" t="s">
        <v>1286</v>
      </c>
      <c r="H315" s="2" t="s">
        <v>1287</v>
      </c>
      <c r="I315" s="2" t="s">
        <v>1288</v>
      </c>
      <c r="J315" s="2" t="s">
        <v>785</v>
      </c>
      <c r="K315" s="2" t="s">
        <v>253</v>
      </c>
      <c r="L315" s="3">
        <v>41.14</v>
      </c>
      <c r="M315" s="3">
        <v>43.2</v>
      </c>
      <c r="N315" s="3">
        <v>89.99</v>
      </c>
      <c r="O315" s="2" t="s">
        <v>97</v>
      </c>
      <c r="P315" s="2" t="s">
        <v>1216</v>
      </c>
      <c r="Q315" s="2" t="s">
        <v>99</v>
      </c>
      <c r="R315" s="2" t="s">
        <v>100</v>
      </c>
      <c r="S315" s="2" t="s">
        <v>1289</v>
      </c>
      <c r="T315" s="2" t="s">
        <v>787</v>
      </c>
      <c r="U315" s="2" t="s">
        <v>644</v>
      </c>
      <c r="V315" s="2" t="s">
        <v>663</v>
      </c>
      <c r="W315" s="2" t="s">
        <v>976</v>
      </c>
      <c r="X315" s="2" t="s">
        <v>345</v>
      </c>
      <c r="Y315" s="2" t="s">
        <v>1290</v>
      </c>
      <c r="Z315" s="4">
        <v>244</v>
      </c>
      <c r="AA315" s="4">
        <f>=ROUNDDOWN(34.8571428571429,0)</f>
      </c>
      <c r="AB315" s="5">
        <v>7</v>
      </c>
      <c r="AC315" s="2" t="s">
        <v>100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/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/>
      <c r="BJ315" s="4">
        <v>6</v>
      </c>
      <c r="BK315" s="8">
        <v>290.85</v>
      </c>
      <c r="BL315" s="2" t="s">
        <v>1291</v>
      </c>
      <c r="BM315" s="7"/>
      <c r="BN315" s="7"/>
      <c r="BO315" s="4"/>
      <c r="BP315" s="8"/>
      <c r="BQ315" s="4"/>
      <c r="BR315" s="8"/>
      <c r="BS315" s="7"/>
      <c r="BT315" s="7"/>
      <c r="BU315" s="2" t="s">
        <v>109</v>
      </c>
      <c r="BV315" s="2" t="s">
        <v>97</v>
      </c>
      <c r="BW315" s="2" t="s">
        <v>1132</v>
      </c>
      <c r="BX315" s="2" t="s">
        <v>1292</v>
      </c>
      <c r="BY315" s="2" t="s">
        <v>112</v>
      </c>
      <c r="BZ315" s="2" t="s">
        <v>100</v>
      </c>
    </row>
    <row r="316">
      <c r="A316" s="2" t="s">
        <v>1293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1285</v>
      </c>
      <c r="G316" s="2" t="s">
        <v>1286</v>
      </c>
      <c r="H316" s="2" t="s">
        <v>1287</v>
      </c>
      <c r="I316" s="2" t="s">
        <v>1288</v>
      </c>
      <c r="J316" s="2" t="s">
        <v>795</v>
      </c>
      <c r="K316" s="2" t="s">
        <v>253</v>
      </c>
      <c r="L316" s="3">
        <v>45.71</v>
      </c>
      <c r="M316" s="3">
        <v>48</v>
      </c>
      <c r="N316" s="3">
        <v>99.99</v>
      </c>
      <c r="O316" s="2" t="s">
        <v>97</v>
      </c>
      <c r="P316" s="2" t="s">
        <v>1216</v>
      </c>
      <c r="Q316" s="2" t="s">
        <v>99</v>
      </c>
      <c r="R316" s="2" t="s">
        <v>100</v>
      </c>
      <c r="S316" s="2" t="s">
        <v>1289</v>
      </c>
      <c r="T316" s="2" t="s">
        <v>787</v>
      </c>
      <c r="U316" s="2" t="s">
        <v>644</v>
      </c>
      <c r="V316" s="2" t="s">
        <v>663</v>
      </c>
      <c r="W316" s="2" t="s">
        <v>976</v>
      </c>
      <c r="X316" s="2" t="s">
        <v>345</v>
      </c>
      <c r="Y316" s="2" t="s">
        <v>1294</v>
      </c>
      <c r="Z316" s="4">
        <v>165</v>
      </c>
      <c r="AA316" s="4">
        <f>=ROUNDDOWN(33,0)</f>
      </c>
      <c r="AB316" s="5">
        <v>5</v>
      </c>
      <c r="AC316" s="2" t="s">
        <v>100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/>
      <c r="BJ316" s="4">
        <v>3</v>
      </c>
      <c r="BK316" s="8">
        <v>154.08</v>
      </c>
      <c r="BL316" s="2" t="s">
        <v>1295</v>
      </c>
      <c r="BM316" s="7"/>
      <c r="BN316" s="7"/>
      <c r="BO316" s="4"/>
      <c r="BP316" s="8"/>
      <c r="BQ316" s="4"/>
      <c r="BR316" s="8"/>
      <c r="BS316" s="7"/>
      <c r="BT316" s="7"/>
      <c r="BU316" s="2" t="s">
        <v>109</v>
      </c>
      <c r="BV316" s="2" t="s">
        <v>97</v>
      </c>
      <c r="BW316" s="2" t="s">
        <v>1132</v>
      </c>
      <c r="BX316" s="2" t="s">
        <v>1296</v>
      </c>
      <c r="BY316" s="2" t="s">
        <v>112</v>
      </c>
      <c r="BZ316" s="2" t="s">
        <v>100</v>
      </c>
    </row>
    <row r="317">
      <c r="A317" s="2" t="s">
        <v>1297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1298</v>
      </c>
      <c r="G317" s="2" t="s">
        <v>1299</v>
      </c>
      <c r="H317" s="2" t="s">
        <v>1300</v>
      </c>
      <c r="I317" s="2" t="s">
        <v>1301</v>
      </c>
      <c r="J317" s="2" t="s">
        <v>114</v>
      </c>
      <c r="K317" s="2" t="s">
        <v>521</v>
      </c>
      <c r="L317" s="3">
        <v>70.5</v>
      </c>
      <c r="M317" s="3">
        <v>74.02</v>
      </c>
      <c r="N317" s="3">
        <v>149.99</v>
      </c>
      <c r="O317" s="2" t="s">
        <v>97</v>
      </c>
      <c r="P317" s="2" t="s">
        <v>98</v>
      </c>
      <c r="Q317" s="2" t="s">
        <v>99</v>
      </c>
      <c r="R317" s="2" t="s">
        <v>100</v>
      </c>
      <c r="S317" s="2" t="s">
        <v>100</v>
      </c>
      <c r="T317" s="2" t="s">
        <v>100</v>
      </c>
      <c r="U317" s="2" t="s">
        <v>283</v>
      </c>
      <c r="V317" s="2" t="s">
        <v>645</v>
      </c>
      <c r="W317" s="2" t="s">
        <v>1240</v>
      </c>
      <c r="X317" s="2" t="s">
        <v>1302</v>
      </c>
      <c r="Y317" s="2" t="s">
        <v>1303</v>
      </c>
      <c r="Z317" s="4">
        <v>595</v>
      </c>
      <c r="AA317" s="4">
        <f>=ROUNDDOWN(35,0)</f>
      </c>
      <c r="AB317" s="5">
        <v>17</v>
      </c>
      <c r="AC317" s="2" t="s">
        <v>1304</v>
      </c>
      <c r="AD317" s="4">
        <v>70</v>
      </c>
      <c r="AE317" s="4">
        <v>230</v>
      </c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/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/>
      <c r="BJ317" s="4">
        <v>13</v>
      </c>
      <c r="BK317" s="8">
        <v>763.67</v>
      </c>
      <c r="BL317" s="2" t="s">
        <v>720</v>
      </c>
      <c r="BM317" s="7"/>
      <c r="BN317" s="7"/>
      <c r="BO317" s="4"/>
      <c r="BP317" s="8"/>
      <c r="BQ317" s="4"/>
      <c r="BR317" s="8"/>
      <c r="BS317" s="7"/>
      <c r="BT317" s="7"/>
      <c r="BU317" s="2" t="s">
        <v>109</v>
      </c>
      <c r="BV317" s="2" t="s">
        <v>97</v>
      </c>
      <c r="BW317" s="2" t="s">
        <v>122</v>
      </c>
      <c r="BX317" s="2" t="s">
        <v>1305</v>
      </c>
      <c r="BY317" s="2" t="s">
        <v>112</v>
      </c>
      <c r="BZ317" s="2" t="s">
        <v>100</v>
      </c>
    </row>
    <row r="318">
      <c r="A318" s="2" t="s">
        <v>1306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1298</v>
      </c>
      <c r="G318" s="2" t="s">
        <v>1299</v>
      </c>
      <c r="H318" s="2" t="s">
        <v>1300</v>
      </c>
      <c r="I318" s="2" t="s">
        <v>1301</v>
      </c>
      <c r="J318" s="2" t="s">
        <v>120</v>
      </c>
      <c r="K318" s="2" t="s">
        <v>521</v>
      </c>
      <c r="L318" s="3">
        <v>79.9</v>
      </c>
      <c r="M318" s="3">
        <v>83.89</v>
      </c>
      <c r="N318" s="3">
        <v>169.99</v>
      </c>
      <c r="O318" s="2" t="s">
        <v>97</v>
      </c>
      <c r="P318" s="2" t="s">
        <v>98</v>
      </c>
      <c r="Q318" s="2" t="s">
        <v>99</v>
      </c>
      <c r="R318" s="2" t="s">
        <v>100</v>
      </c>
      <c r="S318" s="2" t="s">
        <v>100</v>
      </c>
      <c r="T318" s="2" t="s">
        <v>100</v>
      </c>
      <c r="U318" s="2" t="s">
        <v>283</v>
      </c>
      <c r="V318" s="2" t="s">
        <v>645</v>
      </c>
      <c r="W318" s="2" t="s">
        <v>1240</v>
      </c>
      <c r="X318" s="2" t="s">
        <v>1302</v>
      </c>
      <c r="Y318" s="2" t="s">
        <v>1303</v>
      </c>
      <c r="Z318" s="4">
        <v>504</v>
      </c>
      <c r="AA318" s="4">
        <f>=ROUNDDOWN(29.6470588235294,0)</f>
      </c>
      <c r="AB318" s="5">
        <v>17</v>
      </c>
      <c r="AC318" s="2" t="s">
        <v>1304</v>
      </c>
      <c r="AD318" s="4">
        <v>120</v>
      </c>
      <c r="AE318" s="4">
        <v>330</v>
      </c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/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/>
      <c r="BJ318" s="4">
        <v>12</v>
      </c>
      <c r="BK318" s="8">
        <v>922.54</v>
      </c>
      <c r="BL318" s="2" t="s">
        <v>1307</v>
      </c>
      <c r="BM318" s="7"/>
      <c r="BN318" s="7"/>
      <c r="BO318" s="4"/>
      <c r="BP318" s="8"/>
      <c r="BQ318" s="4"/>
      <c r="BR318" s="8"/>
      <c r="BS318" s="7"/>
      <c r="BT318" s="7"/>
      <c r="BU318" s="2" t="s">
        <v>109</v>
      </c>
      <c r="BV318" s="2" t="s">
        <v>97</v>
      </c>
      <c r="BW318" s="2" t="s">
        <v>122</v>
      </c>
      <c r="BX318" s="2" t="s">
        <v>1308</v>
      </c>
      <c r="BY318" s="2" t="s">
        <v>112</v>
      </c>
      <c r="BZ318" s="2" t="s">
        <v>100</v>
      </c>
    </row>
    <row r="319">
      <c r="A319" s="2" t="s">
        <v>1309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1298</v>
      </c>
      <c r="G319" s="2" t="s">
        <v>1299</v>
      </c>
      <c r="H319" s="2" t="s">
        <v>1300</v>
      </c>
      <c r="I319" s="2" t="s">
        <v>1301</v>
      </c>
      <c r="J319" s="2" t="s">
        <v>124</v>
      </c>
      <c r="K319" s="2" t="s">
        <v>521</v>
      </c>
      <c r="L319" s="3">
        <v>79.9</v>
      </c>
      <c r="M319" s="3">
        <v>83.89</v>
      </c>
      <c r="N319" s="3">
        <v>169.99</v>
      </c>
      <c r="O319" s="2" t="s">
        <v>97</v>
      </c>
      <c r="P319" s="2" t="s">
        <v>98</v>
      </c>
      <c r="Q319" s="2" t="s">
        <v>99</v>
      </c>
      <c r="R319" s="2" t="s">
        <v>100</v>
      </c>
      <c r="S319" s="2" t="s">
        <v>100</v>
      </c>
      <c r="T319" s="2" t="s">
        <v>100</v>
      </c>
      <c r="U319" s="2" t="s">
        <v>283</v>
      </c>
      <c r="V319" s="2" t="s">
        <v>645</v>
      </c>
      <c r="W319" s="2" t="s">
        <v>1240</v>
      </c>
      <c r="X319" s="2" t="s">
        <v>1302</v>
      </c>
      <c r="Y319" s="2" t="s">
        <v>1303</v>
      </c>
      <c r="Z319" s="4">
        <v>204</v>
      </c>
      <c r="AA319" s="4">
        <f>=ROUNDDOWN(22.6666666666667,0)</f>
      </c>
      <c r="AB319" s="5">
        <v>9</v>
      </c>
      <c r="AC319" s="2" t="s">
        <v>1304</v>
      </c>
      <c r="AD319" s="4">
        <v>50</v>
      </c>
      <c r="AE319" s="4">
        <v>240</v>
      </c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/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/>
      <c r="BJ319" s="4">
        <v>1</v>
      </c>
      <c r="BK319" s="8">
        <v>81.6</v>
      </c>
      <c r="BL319" s="2" t="s">
        <v>1310</v>
      </c>
      <c r="BM319" s="7"/>
      <c r="BN319" s="7"/>
      <c r="BO319" s="4"/>
      <c r="BP319" s="8"/>
      <c r="BQ319" s="4"/>
      <c r="BR319" s="8"/>
      <c r="BS319" s="7"/>
      <c r="BT319" s="7"/>
      <c r="BU319" s="2" t="s">
        <v>109</v>
      </c>
      <c r="BV319" s="2" t="s">
        <v>97</v>
      </c>
      <c r="BW319" s="2" t="s">
        <v>122</v>
      </c>
      <c r="BX319" s="2" t="s">
        <v>1311</v>
      </c>
      <c r="BY319" s="2" t="s">
        <v>112</v>
      </c>
      <c r="BZ319" s="2" t="s">
        <v>100</v>
      </c>
    </row>
    <row r="320">
      <c r="A320" s="2" t="s">
        <v>1312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1313</v>
      </c>
      <c r="G320" s="2" t="s">
        <v>1314</v>
      </c>
      <c r="H320" s="2" t="s">
        <v>1315</v>
      </c>
      <c r="I320" s="2" t="s">
        <v>549</v>
      </c>
      <c r="J320" s="2" t="s">
        <v>114</v>
      </c>
      <c r="K320" s="2" t="s">
        <v>253</v>
      </c>
      <c r="L320" s="3">
        <v>70.5</v>
      </c>
      <c r="M320" s="3">
        <v>74.02</v>
      </c>
      <c r="N320" s="3">
        <v>149.99</v>
      </c>
      <c r="O320" s="2" t="s">
        <v>97</v>
      </c>
      <c r="P320" s="2" t="s">
        <v>98</v>
      </c>
      <c r="Q320" s="2" t="s">
        <v>99</v>
      </c>
      <c r="R320" s="2" t="s">
        <v>100</v>
      </c>
      <c r="S320" s="2" t="s">
        <v>1316</v>
      </c>
      <c r="T320" s="2" t="s">
        <v>100</v>
      </c>
      <c r="U320" s="2" t="s">
        <v>102</v>
      </c>
      <c r="V320" s="2" t="s">
        <v>551</v>
      </c>
      <c r="W320" s="2" t="s">
        <v>551</v>
      </c>
      <c r="X320" s="2" t="s">
        <v>563</v>
      </c>
      <c r="Y320" s="2" t="s">
        <v>1317</v>
      </c>
      <c r="Z320" s="4">
        <v>395</v>
      </c>
      <c r="AA320" s="4">
        <f>=ROUNDDOWN(24.6875,0)</f>
      </c>
      <c r="AB320" s="5">
        <v>16</v>
      </c>
      <c r="AC320" s="2" t="s">
        <v>907</v>
      </c>
      <c r="AD320" s="4">
        <v>60</v>
      </c>
      <c r="AE320" s="4">
        <v>590</v>
      </c>
      <c r="AF320" s="6">
        <v>65</v>
      </c>
      <c r="AG320" s="6">
        <v>73</v>
      </c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/>
      <c r="BJ320" s="4">
        <v>13</v>
      </c>
      <c r="BK320" s="8">
        <v>898.37</v>
      </c>
      <c r="BL320" s="2" t="s">
        <v>1318</v>
      </c>
      <c r="BM320" s="7"/>
      <c r="BN320" s="7"/>
      <c r="BO320" s="4"/>
      <c r="BP320" s="8"/>
      <c r="BQ320" s="4"/>
      <c r="BR320" s="8"/>
      <c r="BS320" s="7"/>
      <c r="BT320" s="7"/>
      <c r="BU320" s="2" t="s">
        <v>109</v>
      </c>
      <c r="BV320" s="2" t="s">
        <v>97</v>
      </c>
      <c r="BW320" s="2" t="s">
        <v>122</v>
      </c>
      <c r="BX320" s="2" t="s">
        <v>691</v>
      </c>
      <c r="BY320" s="2" t="s">
        <v>112</v>
      </c>
      <c r="BZ320" s="2" t="s">
        <v>100</v>
      </c>
    </row>
    <row r="321">
      <c r="A321" s="2" t="s">
        <v>1319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1313</v>
      </c>
      <c r="G321" s="2" t="s">
        <v>1314</v>
      </c>
      <c r="H321" s="2" t="s">
        <v>1315</v>
      </c>
      <c r="I321" s="2" t="s">
        <v>549</v>
      </c>
      <c r="J321" s="2" t="s">
        <v>120</v>
      </c>
      <c r="K321" s="2" t="s">
        <v>253</v>
      </c>
      <c r="L321" s="3">
        <v>79.9</v>
      </c>
      <c r="M321" s="3">
        <v>83.89</v>
      </c>
      <c r="N321" s="3">
        <v>169.99</v>
      </c>
      <c r="O321" s="2" t="s">
        <v>97</v>
      </c>
      <c r="P321" s="2" t="s">
        <v>98</v>
      </c>
      <c r="Q321" s="2" t="s">
        <v>99</v>
      </c>
      <c r="R321" s="2" t="s">
        <v>100</v>
      </c>
      <c r="S321" s="2" t="s">
        <v>1320</v>
      </c>
      <c r="T321" s="2" t="s">
        <v>100</v>
      </c>
      <c r="U321" s="2" t="s">
        <v>102</v>
      </c>
      <c r="V321" s="2" t="s">
        <v>551</v>
      </c>
      <c r="W321" s="2" t="s">
        <v>551</v>
      </c>
      <c r="X321" s="2" t="s">
        <v>563</v>
      </c>
      <c r="Y321" s="2" t="s">
        <v>1317</v>
      </c>
      <c r="Z321" s="4">
        <v>283</v>
      </c>
      <c r="AA321" s="4">
        <f>=ROUNDDOWN(17.6875,0)</f>
      </c>
      <c r="AB321" s="5">
        <v>16</v>
      </c>
      <c r="AC321" s="2" t="s">
        <v>695</v>
      </c>
      <c r="AD321" s="4">
        <v>100</v>
      </c>
      <c r="AE321" s="4">
        <v>360</v>
      </c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/>
      <c r="BJ321" s="4">
        <v>15</v>
      </c>
      <c r="BK321" s="8">
        <v>1205.82</v>
      </c>
      <c r="BL321" s="2" t="s">
        <v>1321</v>
      </c>
      <c r="BM321" s="7"/>
      <c r="BN321" s="7"/>
      <c r="BO321" s="4"/>
      <c r="BP321" s="8"/>
      <c r="BQ321" s="4"/>
      <c r="BR321" s="8"/>
      <c r="BS321" s="7"/>
      <c r="BT321" s="7"/>
      <c r="BU321" s="2" t="s">
        <v>109</v>
      </c>
      <c r="BV321" s="2" t="s">
        <v>97</v>
      </c>
      <c r="BW321" s="2" t="s">
        <v>122</v>
      </c>
      <c r="BX321" s="2" t="s">
        <v>1322</v>
      </c>
      <c r="BY321" s="2" t="s">
        <v>112</v>
      </c>
      <c r="BZ321" s="2" t="s">
        <v>100</v>
      </c>
    </row>
    <row r="322">
      <c r="A322" s="2" t="s">
        <v>1323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1313</v>
      </c>
      <c r="G322" s="2" t="s">
        <v>1314</v>
      </c>
      <c r="H322" s="2" t="s">
        <v>1315</v>
      </c>
      <c r="I322" s="2" t="s">
        <v>549</v>
      </c>
      <c r="J322" s="2" t="s">
        <v>124</v>
      </c>
      <c r="K322" s="2" t="s">
        <v>253</v>
      </c>
      <c r="L322" s="3">
        <v>79.9</v>
      </c>
      <c r="M322" s="3">
        <v>83.89</v>
      </c>
      <c r="N322" s="3">
        <v>169.99</v>
      </c>
      <c r="O322" s="2" t="s">
        <v>97</v>
      </c>
      <c r="P322" s="2" t="s">
        <v>98</v>
      </c>
      <c r="Q322" s="2" t="s">
        <v>99</v>
      </c>
      <c r="R322" s="2" t="s">
        <v>100</v>
      </c>
      <c r="S322" s="2" t="s">
        <v>1316</v>
      </c>
      <c r="T322" s="2" t="s">
        <v>100</v>
      </c>
      <c r="U322" s="2" t="s">
        <v>102</v>
      </c>
      <c r="V322" s="2" t="s">
        <v>551</v>
      </c>
      <c r="W322" s="2" t="s">
        <v>551</v>
      </c>
      <c r="X322" s="2" t="s">
        <v>563</v>
      </c>
      <c r="Y322" s="2" t="s">
        <v>1317</v>
      </c>
      <c r="Z322" s="4">
        <v>149</v>
      </c>
      <c r="AA322" s="4">
        <f>=ROUNDDOWN(21.2857142857143,0)</f>
      </c>
      <c r="AB322" s="5">
        <v>7</v>
      </c>
      <c r="AC322" s="2" t="s">
        <v>406</v>
      </c>
      <c r="AD322" s="4">
        <v>140</v>
      </c>
      <c r="AE322" s="4">
        <v>140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/>
      <c r="BJ322" s="4">
        <v>6</v>
      </c>
      <c r="BK322" s="8">
        <v>491.55</v>
      </c>
      <c r="BL322" s="2" t="s">
        <v>305</v>
      </c>
      <c r="BM322" s="7"/>
      <c r="BN322" s="7"/>
      <c r="BO322" s="4"/>
      <c r="BP322" s="8"/>
      <c r="BQ322" s="4"/>
      <c r="BR322" s="8"/>
      <c r="BS322" s="7"/>
      <c r="BT322" s="7"/>
      <c r="BU322" s="2" t="s">
        <v>109</v>
      </c>
      <c r="BV322" s="2" t="s">
        <v>97</v>
      </c>
      <c r="BW322" s="2" t="s">
        <v>122</v>
      </c>
      <c r="BX322" s="2" t="s">
        <v>427</v>
      </c>
      <c r="BY322" s="2" t="s">
        <v>112</v>
      </c>
      <c r="BZ322" s="2" t="s">
        <v>100</v>
      </c>
    </row>
    <row r="323">
      <c r="A323" s="2" t="s">
        <v>1324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1325</v>
      </c>
      <c r="G323" s="2" t="s">
        <v>1326</v>
      </c>
      <c r="H323" s="2" t="s">
        <v>1327</v>
      </c>
      <c r="I323" s="2" t="s">
        <v>241</v>
      </c>
      <c r="J323" s="2" t="s">
        <v>124</v>
      </c>
      <c r="K323" s="2" t="s">
        <v>146</v>
      </c>
      <c r="L323" s="3">
        <v>80</v>
      </c>
      <c r="M323" s="3">
        <v>83.99</v>
      </c>
      <c r="N323" s="3">
        <v>159.99</v>
      </c>
      <c r="O323" s="2" t="s">
        <v>473</v>
      </c>
      <c r="P323" s="2" t="s">
        <v>447</v>
      </c>
      <c r="Q323" s="2" t="s">
        <v>99</v>
      </c>
      <c r="R323" s="2" t="s">
        <v>100</v>
      </c>
      <c r="S323" s="2" t="s">
        <v>1328</v>
      </c>
      <c r="T323" s="2" t="s">
        <v>100</v>
      </c>
      <c r="U323" s="2" t="s">
        <v>102</v>
      </c>
      <c r="V323" s="2" t="s">
        <v>284</v>
      </c>
      <c r="W323" s="2" t="s">
        <v>105</v>
      </c>
      <c r="X323" s="2" t="s">
        <v>285</v>
      </c>
      <c r="Y323" s="2" t="s">
        <v>131</v>
      </c>
      <c r="Z323" s="4"/>
      <c r="AA323" s="4">
        <f>=ROUNDDOWN({0},0)</f>
      </c>
      <c r="AB323" s="5">
        <v>5.2</v>
      </c>
      <c r="AC323" s="2" t="s">
        <v>100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100</v>
      </c>
      <c r="BM323" s="7"/>
      <c r="BN323" s="7"/>
      <c r="BO323" s="4"/>
      <c r="BP323" s="8"/>
      <c r="BQ323" s="4"/>
      <c r="BR323" s="8"/>
      <c r="BS323" s="7"/>
      <c r="BT323" s="7"/>
      <c r="BU323" s="2" t="s">
        <v>109</v>
      </c>
      <c r="BV323" s="2" t="s">
        <v>97</v>
      </c>
      <c r="BW323" s="2" t="s">
        <v>122</v>
      </c>
      <c r="BX323" s="2" t="s">
        <v>1329</v>
      </c>
      <c r="BY323" s="2" t="s">
        <v>112</v>
      </c>
      <c r="BZ323" s="2" t="s">
        <v>100</v>
      </c>
    </row>
    <row r="324">
      <c r="A324" s="2" t="s">
        <v>1330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1331</v>
      </c>
      <c r="G324" s="2" t="s">
        <v>1332</v>
      </c>
      <c r="H324" s="2" t="s">
        <v>1333</v>
      </c>
      <c r="I324" s="2" t="s">
        <v>1334</v>
      </c>
      <c r="J324" s="2" t="s">
        <v>785</v>
      </c>
      <c r="K324" s="2" t="s">
        <v>185</v>
      </c>
      <c r="L324" s="3">
        <v>45.71</v>
      </c>
      <c r="M324" s="3">
        <v>48</v>
      </c>
      <c r="N324" s="3">
        <v>99.99</v>
      </c>
      <c r="O324" s="2" t="s">
        <v>97</v>
      </c>
      <c r="P324" s="2" t="s">
        <v>1335</v>
      </c>
      <c r="Q324" s="2" t="s">
        <v>99</v>
      </c>
      <c r="R324" s="2" t="s">
        <v>100</v>
      </c>
      <c r="S324" s="2" t="s">
        <v>1336</v>
      </c>
      <c r="T324" s="2" t="s">
        <v>787</v>
      </c>
      <c r="U324" s="2" t="s">
        <v>102</v>
      </c>
      <c r="V324" s="2" t="s">
        <v>805</v>
      </c>
      <c r="W324" s="2" t="s">
        <v>551</v>
      </c>
      <c r="X324" s="2" t="s">
        <v>563</v>
      </c>
      <c r="Y324" s="2" t="s">
        <v>100</v>
      </c>
      <c r="Z324" s="4"/>
      <c r="AA324" s="4">
        <f>=ROUNDDOWN({0},0)</f>
      </c>
      <c r="AB324" s="5"/>
      <c r="AC324" s="2" t="s">
        <v>1337</v>
      </c>
      <c r="AD324" s="4">
        <v>300</v>
      </c>
      <c r="AE324" s="4">
        <v>600</v>
      </c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/>
      <c r="BJ324" s="4"/>
      <c r="BK324" s="8"/>
      <c r="BL324" s="2" t="s">
        <v>100</v>
      </c>
      <c r="BM324" s="7"/>
      <c r="BN324" s="7"/>
      <c r="BO324" s="4"/>
      <c r="BP324" s="8"/>
      <c r="BQ324" s="4"/>
      <c r="BR324" s="8"/>
      <c r="BS324" s="7"/>
      <c r="BT324" s="7"/>
      <c r="BU324" s="2" t="s">
        <v>1338</v>
      </c>
      <c r="BV324" s="2" t="s">
        <v>97</v>
      </c>
      <c r="BW324" s="2" t="s">
        <v>100</v>
      </c>
      <c r="BX324" s="2" t="s">
        <v>100</v>
      </c>
      <c r="BY324" s="2" t="s">
        <v>112</v>
      </c>
      <c r="BZ324" s="2" t="s">
        <v>100</v>
      </c>
    </row>
    <row r="325">
      <c r="A325" s="2" t="s">
        <v>1339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1331</v>
      </c>
      <c r="G325" s="2" t="s">
        <v>1332</v>
      </c>
      <c r="H325" s="2" t="s">
        <v>1333</v>
      </c>
      <c r="I325" s="2" t="s">
        <v>1334</v>
      </c>
      <c r="J325" s="2" t="s">
        <v>795</v>
      </c>
      <c r="K325" s="2" t="s">
        <v>185</v>
      </c>
      <c r="L325" s="3">
        <v>54.85</v>
      </c>
      <c r="M325" s="3">
        <v>57.59</v>
      </c>
      <c r="N325" s="3">
        <v>119.99</v>
      </c>
      <c r="O325" s="2" t="s">
        <v>97</v>
      </c>
      <c r="P325" s="2" t="s">
        <v>1335</v>
      </c>
      <c r="Q325" s="2" t="s">
        <v>99</v>
      </c>
      <c r="R325" s="2" t="s">
        <v>100</v>
      </c>
      <c r="S325" s="2" t="s">
        <v>1336</v>
      </c>
      <c r="T325" s="2" t="s">
        <v>787</v>
      </c>
      <c r="U325" s="2" t="s">
        <v>102</v>
      </c>
      <c r="V325" s="2" t="s">
        <v>805</v>
      </c>
      <c r="W325" s="2" t="s">
        <v>551</v>
      </c>
      <c r="X325" s="2" t="s">
        <v>563</v>
      </c>
      <c r="Y325" s="2" t="s">
        <v>100</v>
      </c>
      <c r="Z325" s="4"/>
      <c r="AA325" s="4">
        <f>=ROUNDDOWN({0},0)</f>
      </c>
      <c r="AB325" s="5"/>
      <c r="AC325" s="2" t="s">
        <v>1337</v>
      </c>
      <c r="AD325" s="4">
        <v>300</v>
      </c>
      <c r="AE325" s="4">
        <v>600</v>
      </c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/>
      <c r="BJ325" s="4"/>
      <c r="BK325" s="8"/>
      <c r="BL325" s="2" t="s">
        <v>100</v>
      </c>
      <c r="BM325" s="7"/>
      <c r="BN325" s="7"/>
      <c r="BO325" s="4"/>
      <c r="BP325" s="8"/>
      <c r="BQ325" s="4"/>
      <c r="BR325" s="8"/>
      <c r="BS325" s="7"/>
      <c r="BT325" s="7"/>
      <c r="BU325" s="2" t="s">
        <v>1338</v>
      </c>
      <c r="BV325" s="2" t="s">
        <v>97</v>
      </c>
      <c r="BW325" s="2" t="s">
        <v>100</v>
      </c>
      <c r="BX325" s="2" t="s">
        <v>100</v>
      </c>
      <c r="BY325" s="2" t="s">
        <v>112</v>
      </c>
      <c r="BZ325" s="2" t="s">
        <v>100</v>
      </c>
    </row>
    <row r="326">
      <c r="A326" s="2" t="s">
        <v>1340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1331</v>
      </c>
      <c r="G326" s="2" t="s">
        <v>1332</v>
      </c>
      <c r="H326" s="2" t="s">
        <v>1333</v>
      </c>
      <c r="I326" s="2" t="s">
        <v>1334</v>
      </c>
      <c r="J326" s="2" t="s">
        <v>785</v>
      </c>
      <c r="K326" s="2" t="s">
        <v>175</v>
      </c>
      <c r="L326" s="3">
        <v>45.71</v>
      </c>
      <c r="M326" s="3">
        <v>48</v>
      </c>
      <c r="N326" s="3">
        <v>99.99</v>
      </c>
      <c r="O326" s="2" t="s">
        <v>97</v>
      </c>
      <c r="P326" s="2" t="s">
        <v>1335</v>
      </c>
      <c r="Q326" s="2" t="s">
        <v>99</v>
      </c>
      <c r="R326" s="2" t="s">
        <v>100</v>
      </c>
      <c r="S326" s="2" t="s">
        <v>1336</v>
      </c>
      <c r="T326" s="2" t="s">
        <v>787</v>
      </c>
      <c r="U326" s="2" t="s">
        <v>102</v>
      </c>
      <c r="V326" s="2" t="s">
        <v>805</v>
      </c>
      <c r="W326" s="2" t="s">
        <v>551</v>
      </c>
      <c r="X326" s="2" t="s">
        <v>563</v>
      </c>
      <c r="Y326" s="2" t="s">
        <v>100</v>
      </c>
      <c r="Z326" s="4"/>
      <c r="AA326" s="4">
        <f>=ROUNDDOWN({0},0)</f>
      </c>
      <c r="AB326" s="5"/>
      <c r="AC326" s="2" t="s">
        <v>1337</v>
      </c>
      <c r="AD326" s="4">
        <v>300</v>
      </c>
      <c r="AE326" s="4">
        <v>600</v>
      </c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/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/>
      <c r="BJ326" s="4"/>
      <c r="BK326" s="8"/>
      <c r="BL326" s="2" t="s">
        <v>100</v>
      </c>
      <c r="BM326" s="7"/>
      <c r="BN326" s="7"/>
      <c r="BO326" s="4"/>
      <c r="BP326" s="8"/>
      <c r="BQ326" s="4"/>
      <c r="BR326" s="8"/>
      <c r="BS326" s="7"/>
      <c r="BT326" s="7"/>
      <c r="BU326" s="2" t="s">
        <v>1338</v>
      </c>
      <c r="BV326" s="2" t="s">
        <v>97</v>
      </c>
      <c r="BW326" s="2" t="s">
        <v>100</v>
      </c>
      <c r="BX326" s="2" t="s">
        <v>100</v>
      </c>
      <c r="BY326" s="2" t="s">
        <v>112</v>
      </c>
      <c r="BZ326" s="2" t="s">
        <v>100</v>
      </c>
    </row>
    <row r="327">
      <c r="A327" s="2" t="s">
        <v>1341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1331</v>
      </c>
      <c r="G327" s="2" t="s">
        <v>1332</v>
      </c>
      <c r="H327" s="2" t="s">
        <v>1333</v>
      </c>
      <c r="I327" s="2" t="s">
        <v>1334</v>
      </c>
      <c r="J327" s="2" t="s">
        <v>795</v>
      </c>
      <c r="K327" s="2" t="s">
        <v>175</v>
      </c>
      <c r="L327" s="3">
        <v>54.85</v>
      </c>
      <c r="M327" s="3">
        <v>57.59</v>
      </c>
      <c r="N327" s="3">
        <v>119.99</v>
      </c>
      <c r="O327" s="2" t="s">
        <v>97</v>
      </c>
      <c r="P327" s="2" t="s">
        <v>1335</v>
      </c>
      <c r="Q327" s="2" t="s">
        <v>99</v>
      </c>
      <c r="R327" s="2" t="s">
        <v>100</v>
      </c>
      <c r="S327" s="2" t="s">
        <v>1336</v>
      </c>
      <c r="T327" s="2" t="s">
        <v>787</v>
      </c>
      <c r="U327" s="2" t="s">
        <v>102</v>
      </c>
      <c r="V327" s="2" t="s">
        <v>805</v>
      </c>
      <c r="W327" s="2" t="s">
        <v>551</v>
      </c>
      <c r="X327" s="2" t="s">
        <v>563</v>
      </c>
      <c r="Y327" s="2" t="s">
        <v>100</v>
      </c>
      <c r="Z327" s="4"/>
      <c r="AA327" s="4">
        <f>=ROUNDDOWN({0},0)</f>
      </c>
      <c r="AB327" s="5"/>
      <c r="AC327" s="2" t="s">
        <v>1337</v>
      </c>
      <c r="AD327" s="4">
        <v>300</v>
      </c>
      <c r="AE327" s="4">
        <v>600</v>
      </c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/>
      <c r="BJ327" s="4"/>
      <c r="BK327" s="8"/>
      <c r="BL327" s="2" t="s">
        <v>100</v>
      </c>
      <c r="BM327" s="7"/>
      <c r="BN327" s="7"/>
      <c r="BO327" s="4"/>
      <c r="BP327" s="8"/>
      <c r="BQ327" s="4"/>
      <c r="BR327" s="8"/>
      <c r="BS327" s="7"/>
      <c r="BT327" s="7"/>
      <c r="BU327" s="2" t="s">
        <v>1338</v>
      </c>
      <c r="BV327" s="2" t="s">
        <v>97</v>
      </c>
      <c r="BW327" s="2" t="s">
        <v>100</v>
      </c>
      <c r="BX327" s="2" t="s">
        <v>100</v>
      </c>
      <c r="BY327" s="2" t="s">
        <v>112</v>
      </c>
      <c r="BZ327" s="2" t="s">
        <v>100</v>
      </c>
    </row>
    <row r="328">
      <c r="A328" s="2" t="s">
        <v>1342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1343</v>
      </c>
      <c r="G328" s="2" t="s">
        <v>1344</v>
      </c>
      <c r="H328" s="2" t="s">
        <v>1345</v>
      </c>
      <c r="I328" s="2" t="s">
        <v>1346</v>
      </c>
      <c r="J328" s="2" t="s">
        <v>114</v>
      </c>
      <c r="K328" s="2" t="s">
        <v>253</v>
      </c>
      <c r="L328" s="3">
        <v>82.71</v>
      </c>
      <c r="M328" s="3">
        <v>86.85</v>
      </c>
      <c r="N328" s="3">
        <v>174.99</v>
      </c>
      <c r="O328" s="2" t="s">
        <v>97</v>
      </c>
      <c r="P328" s="2" t="s">
        <v>98</v>
      </c>
      <c r="Q328" s="2" t="s">
        <v>99</v>
      </c>
      <c r="R328" s="2" t="s">
        <v>100</v>
      </c>
      <c r="S328" s="2" t="s">
        <v>1347</v>
      </c>
      <c r="T328" s="2" t="s">
        <v>359</v>
      </c>
      <c r="U328" s="2" t="s">
        <v>283</v>
      </c>
      <c r="V328" s="2" t="s">
        <v>677</v>
      </c>
      <c r="W328" s="2" t="s">
        <v>646</v>
      </c>
      <c r="X328" s="2" t="s">
        <v>450</v>
      </c>
      <c r="Y328" s="2" t="s">
        <v>1348</v>
      </c>
      <c r="Z328" s="4">
        <v>314</v>
      </c>
      <c r="AA328" s="4">
        <f>=ROUNDDOWN(24.1538461538462,0)</f>
      </c>
      <c r="AB328" s="5">
        <v>13</v>
      </c>
      <c r="AC328" s="2" t="s">
        <v>132</v>
      </c>
      <c r="AD328" s="4">
        <v>30</v>
      </c>
      <c r="AE328" s="4">
        <v>270</v>
      </c>
      <c r="AF328" s="6">
        <v>65</v>
      </c>
      <c r="AG328" s="6">
        <v>73</v>
      </c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/>
      <c r="BJ328" s="4">
        <v>10</v>
      </c>
      <c r="BK328" s="8">
        <v>925.32</v>
      </c>
      <c r="BL328" s="2" t="s">
        <v>1349</v>
      </c>
      <c r="BM328" s="7"/>
      <c r="BN328" s="7"/>
      <c r="BO328" s="4"/>
      <c r="BP328" s="8"/>
      <c r="BQ328" s="4"/>
      <c r="BR328" s="8"/>
      <c r="BS328" s="7"/>
      <c r="BT328" s="7"/>
      <c r="BU328" s="2" t="s">
        <v>109</v>
      </c>
      <c r="BV328" s="2" t="s">
        <v>97</v>
      </c>
      <c r="BW328" s="2" t="s">
        <v>312</v>
      </c>
      <c r="BX328" s="2" t="s">
        <v>1350</v>
      </c>
      <c r="BY328" s="2" t="s">
        <v>112</v>
      </c>
      <c r="BZ328" s="2" t="s">
        <v>100</v>
      </c>
    </row>
    <row r="329">
      <c r="A329" s="2" t="s">
        <v>1351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1343</v>
      </c>
      <c r="G329" s="2" t="s">
        <v>1344</v>
      </c>
      <c r="H329" s="2" t="s">
        <v>1345</v>
      </c>
      <c r="I329" s="2" t="s">
        <v>1346</v>
      </c>
      <c r="J329" s="2" t="s">
        <v>120</v>
      </c>
      <c r="K329" s="2" t="s">
        <v>253</v>
      </c>
      <c r="L329" s="3">
        <v>93.05</v>
      </c>
      <c r="M329" s="3">
        <v>97.7</v>
      </c>
      <c r="N329" s="3">
        <v>194.99</v>
      </c>
      <c r="O329" s="2" t="s">
        <v>97</v>
      </c>
      <c r="P329" s="2" t="s">
        <v>98</v>
      </c>
      <c r="Q329" s="2" t="s">
        <v>99</v>
      </c>
      <c r="R329" s="2" t="s">
        <v>100</v>
      </c>
      <c r="S329" s="2" t="s">
        <v>1347</v>
      </c>
      <c r="T329" s="2" t="s">
        <v>359</v>
      </c>
      <c r="U329" s="2" t="s">
        <v>283</v>
      </c>
      <c r="V329" s="2" t="s">
        <v>677</v>
      </c>
      <c r="W329" s="2" t="s">
        <v>646</v>
      </c>
      <c r="X329" s="2" t="s">
        <v>450</v>
      </c>
      <c r="Y329" s="2" t="s">
        <v>1348</v>
      </c>
      <c r="Z329" s="4">
        <v>259</v>
      </c>
      <c r="AA329" s="4">
        <f>=ROUNDDOWN(25.9,0)</f>
      </c>
      <c r="AB329" s="5">
        <v>10</v>
      </c>
      <c r="AC329" s="2" t="s">
        <v>1352</v>
      </c>
      <c r="AD329" s="4">
        <v>180</v>
      </c>
      <c r="AE329" s="4">
        <v>230</v>
      </c>
      <c r="AF329" s="6">
        <v>65</v>
      </c>
      <c r="AG329" s="6">
        <v>73</v>
      </c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/>
      <c r="BJ329" s="4">
        <v>3</v>
      </c>
      <c r="BK329" s="8">
        <v>310.65</v>
      </c>
      <c r="BL329" s="2" t="s">
        <v>1353</v>
      </c>
      <c r="BM329" s="7"/>
      <c r="BN329" s="7"/>
      <c r="BO329" s="4"/>
      <c r="BP329" s="8"/>
      <c r="BQ329" s="4"/>
      <c r="BR329" s="8"/>
      <c r="BS329" s="7"/>
      <c r="BT329" s="7"/>
      <c r="BU329" s="2" t="s">
        <v>109</v>
      </c>
      <c r="BV329" s="2" t="s">
        <v>97</v>
      </c>
      <c r="BW329" s="2" t="s">
        <v>312</v>
      </c>
      <c r="BX329" s="2" t="s">
        <v>1354</v>
      </c>
      <c r="BY329" s="2" t="s">
        <v>112</v>
      </c>
      <c r="BZ329" s="2" t="s">
        <v>100</v>
      </c>
    </row>
    <row r="330">
      <c r="A330" s="2" t="s">
        <v>1355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1343</v>
      </c>
      <c r="G330" s="2" t="s">
        <v>1344</v>
      </c>
      <c r="H330" s="2" t="s">
        <v>1345</v>
      </c>
      <c r="I330" s="2" t="s">
        <v>1346</v>
      </c>
      <c r="J330" s="2" t="s">
        <v>124</v>
      </c>
      <c r="K330" s="2" t="s">
        <v>253</v>
      </c>
      <c r="L330" s="3">
        <v>93.05</v>
      </c>
      <c r="M330" s="3">
        <v>97.7</v>
      </c>
      <c r="N330" s="3">
        <v>194.99</v>
      </c>
      <c r="O330" s="2" t="s">
        <v>97</v>
      </c>
      <c r="P330" s="2" t="s">
        <v>98</v>
      </c>
      <c r="Q330" s="2" t="s">
        <v>99</v>
      </c>
      <c r="R330" s="2" t="s">
        <v>100</v>
      </c>
      <c r="S330" s="2" t="s">
        <v>1347</v>
      </c>
      <c r="T330" s="2" t="s">
        <v>359</v>
      </c>
      <c r="U330" s="2" t="s">
        <v>283</v>
      </c>
      <c r="V330" s="2" t="s">
        <v>677</v>
      </c>
      <c r="W330" s="2" t="s">
        <v>646</v>
      </c>
      <c r="X330" s="2" t="s">
        <v>450</v>
      </c>
      <c r="Y330" s="2" t="s">
        <v>1348</v>
      </c>
      <c r="Z330" s="4">
        <v>84</v>
      </c>
      <c r="AA330" s="4">
        <f>=ROUNDDOWN(28,0)</f>
      </c>
      <c r="AB330" s="5">
        <v>3</v>
      </c>
      <c r="AC330" s="2" t="s">
        <v>1352</v>
      </c>
      <c r="AD330" s="4">
        <v>110</v>
      </c>
      <c r="AE330" s="4">
        <v>110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/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/>
      <c r="BJ330" s="4">
        <v>1</v>
      </c>
      <c r="BK330" s="8">
        <v>107.01</v>
      </c>
      <c r="BL330" s="2" t="s">
        <v>1356</v>
      </c>
      <c r="BM330" s="7"/>
      <c r="BN330" s="7"/>
      <c r="BO330" s="4"/>
      <c r="BP330" s="8"/>
      <c r="BQ330" s="4"/>
      <c r="BR330" s="8"/>
      <c r="BS330" s="7"/>
      <c r="BT330" s="7"/>
      <c r="BU330" s="2" t="s">
        <v>109</v>
      </c>
      <c r="BV330" s="2" t="s">
        <v>97</v>
      </c>
      <c r="BW330" s="2" t="s">
        <v>312</v>
      </c>
      <c r="BX330" s="2" t="s">
        <v>1357</v>
      </c>
      <c r="BY330" s="2" t="s">
        <v>112</v>
      </c>
      <c r="BZ330" s="2" t="s">
        <v>100</v>
      </c>
    </row>
    <row r="331">
      <c r="A331" s="2" t="s">
        <v>1358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1343</v>
      </c>
      <c r="G331" s="2" t="s">
        <v>1344</v>
      </c>
      <c r="H331" s="2" t="s">
        <v>1345</v>
      </c>
      <c r="I331" s="2" t="s">
        <v>1346</v>
      </c>
      <c r="J331" s="2" t="s">
        <v>114</v>
      </c>
      <c r="K331" s="2" t="s">
        <v>96</v>
      </c>
      <c r="L331" s="3">
        <v>82.71</v>
      </c>
      <c r="M331" s="3">
        <v>86.85</v>
      </c>
      <c r="N331" s="3">
        <v>174.99</v>
      </c>
      <c r="O331" s="2" t="s">
        <v>97</v>
      </c>
      <c r="P331" s="2" t="s">
        <v>281</v>
      </c>
      <c r="Q331" s="2" t="s">
        <v>99</v>
      </c>
      <c r="R331" s="2" t="s">
        <v>100</v>
      </c>
      <c r="S331" s="2" t="s">
        <v>1359</v>
      </c>
      <c r="T331" s="2" t="s">
        <v>359</v>
      </c>
      <c r="U331" s="2" t="s">
        <v>283</v>
      </c>
      <c r="V331" s="2" t="s">
        <v>677</v>
      </c>
      <c r="W331" s="2" t="s">
        <v>646</v>
      </c>
      <c r="X331" s="2" t="s">
        <v>499</v>
      </c>
      <c r="Y331" s="2" t="s">
        <v>1360</v>
      </c>
      <c r="Z331" s="4">
        <v>527</v>
      </c>
      <c r="AA331" s="4">
        <f>=ROUNDDOWN(9.41071428571429,0)</f>
      </c>
      <c r="AB331" s="5">
        <v>56</v>
      </c>
      <c r="AC331" s="2" t="s">
        <v>411</v>
      </c>
      <c r="AD331" s="4">
        <v>660</v>
      </c>
      <c r="AE331" s="4">
        <v>1980</v>
      </c>
      <c r="AF331" s="6">
        <v>65</v>
      </c>
      <c r="AG331" s="6">
        <v>73</v>
      </c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/>
      <c r="BJ331" s="4">
        <v>78</v>
      </c>
      <c r="BK331" s="8">
        <v>6873.84</v>
      </c>
      <c r="BL331" s="2" t="s">
        <v>1361</v>
      </c>
      <c r="BM331" s="7"/>
      <c r="BN331" s="7"/>
      <c r="BO331" s="4"/>
      <c r="BP331" s="8"/>
      <c r="BQ331" s="4"/>
      <c r="BR331" s="8"/>
      <c r="BS331" s="7"/>
      <c r="BT331" s="7"/>
      <c r="BU331" s="2" t="s">
        <v>109</v>
      </c>
      <c r="BV331" s="2" t="s">
        <v>97</v>
      </c>
      <c r="BW331" s="2" t="s">
        <v>1159</v>
      </c>
      <c r="BX331" s="2" t="s">
        <v>1144</v>
      </c>
      <c r="BY331" s="2" t="s">
        <v>112</v>
      </c>
      <c r="BZ331" s="2" t="s">
        <v>100</v>
      </c>
    </row>
    <row r="332">
      <c r="A332" s="2" t="s">
        <v>1362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1343</v>
      </c>
      <c r="G332" s="2" t="s">
        <v>1344</v>
      </c>
      <c r="H332" s="2" t="s">
        <v>1345</v>
      </c>
      <c r="I332" s="2" t="s">
        <v>1346</v>
      </c>
      <c r="J332" s="2" t="s">
        <v>120</v>
      </c>
      <c r="K332" s="2" t="s">
        <v>96</v>
      </c>
      <c r="L332" s="3">
        <v>93.05</v>
      </c>
      <c r="M332" s="3">
        <v>97.7</v>
      </c>
      <c r="N332" s="3">
        <v>194.99</v>
      </c>
      <c r="O332" s="2" t="s">
        <v>97</v>
      </c>
      <c r="P332" s="2" t="s">
        <v>281</v>
      </c>
      <c r="Q332" s="2" t="s">
        <v>99</v>
      </c>
      <c r="R332" s="2" t="s">
        <v>100</v>
      </c>
      <c r="S332" s="2" t="s">
        <v>1359</v>
      </c>
      <c r="T332" s="2" t="s">
        <v>359</v>
      </c>
      <c r="U332" s="2" t="s">
        <v>283</v>
      </c>
      <c r="V332" s="2" t="s">
        <v>677</v>
      </c>
      <c r="W332" s="2" t="s">
        <v>646</v>
      </c>
      <c r="X332" s="2" t="s">
        <v>499</v>
      </c>
      <c r="Y332" s="2" t="s">
        <v>1360</v>
      </c>
      <c r="Z332" s="4">
        <v>263</v>
      </c>
      <c r="AA332" s="4">
        <f>=ROUNDDOWN(6.92105263157895,0)</f>
      </c>
      <c r="AB332" s="5">
        <v>38</v>
      </c>
      <c r="AC332" s="2" t="s">
        <v>411</v>
      </c>
      <c r="AD332" s="4">
        <v>460</v>
      </c>
      <c r="AE332" s="4">
        <v>1440</v>
      </c>
      <c r="AF332" s="6">
        <v>65</v>
      </c>
      <c r="AG332" s="6">
        <v>73</v>
      </c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/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/>
      <c r="BJ332" s="4">
        <v>50</v>
      </c>
      <c r="BK332" s="8">
        <v>5212.42</v>
      </c>
      <c r="BL332" s="2" t="s">
        <v>1363</v>
      </c>
      <c r="BM332" s="7"/>
      <c r="BN332" s="7"/>
      <c r="BO332" s="4"/>
      <c r="BP332" s="8"/>
      <c r="BQ332" s="4"/>
      <c r="BR332" s="8"/>
      <c r="BS332" s="7"/>
      <c r="BT332" s="7"/>
      <c r="BU332" s="2" t="s">
        <v>109</v>
      </c>
      <c r="BV332" s="2" t="s">
        <v>97</v>
      </c>
      <c r="BW332" s="2" t="s">
        <v>1364</v>
      </c>
      <c r="BX332" s="2" t="s">
        <v>1365</v>
      </c>
      <c r="BY332" s="2" t="s">
        <v>112</v>
      </c>
      <c r="BZ332" s="2" t="s">
        <v>100</v>
      </c>
    </row>
    <row r="333">
      <c r="A333" s="2" t="s">
        <v>1366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1343</v>
      </c>
      <c r="G333" s="2" t="s">
        <v>1344</v>
      </c>
      <c r="H333" s="2" t="s">
        <v>1345</v>
      </c>
      <c r="I333" s="2" t="s">
        <v>1346</v>
      </c>
      <c r="J333" s="2" t="s">
        <v>124</v>
      </c>
      <c r="K333" s="2" t="s">
        <v>96</v>
      </c>
      <c r="L333" s="3">
        <v>93.05</v>
      </c>
      <c r="M333" s="3">
        <v>97.7</v>
      </c>
      <c r="N333" s="3">
        <v>194.99</v>
      </c>
      <c r="O333" s="2" t="s">
        <v>97</v>
      </c>
      <c r="P333" s="2" t="s">
        <v>281</v>
      </c>
      <c r="Q333" s="2" t="s">
        <v>99</v>
      </c>
      <c r="R333" s="2" t="s">
        <v>100</v>
      </c>
      <c r="S333" s="2" t="s">
        <v>1359</v>
      </c>
      <c r="T333" s="2" t="s">
        <v>359</v>
      </c>
      <c r="U333" s="2" t="s">
        <v>283</v>
      </c>
      <c r="V333" s="2" t="s">
        <v>677</v>
      </c>
      <c r="W333" s="2" t="s">
        <v>646</v>
      </c>
      <c r="X333" s="2" t="s">
        <v>499</v>
      </c>
      <c r="Y333" s="2" t="s">
        <v>1360</v>
      </c>
      <c r="Z333" s="4">
        <v>219</v>
      </c>
      <c r="AA333" s="4">
        <f>=ROUNDDOWN(8.11111111111111,0)</f>
      </c>
      <c r="AB333" s="5">
        <v>27</v>
      </c>
      <c r="AC333" s="2" t="s">
        <v>411</v>
      </c>
      <c r="AD333" s="4">
        <v>510</v>
      </c>
      <c r="AE333" s="4">
        <v>1120</v>
      </c>
      <c r="AF333" s="6">
        <v>65</v>
      </c>
      <c r="AG333" s="6">
        <v>73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/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/>
      <c r="BJ333" s="4">
        <v>9</v>
      </c>
      <c r="BK333" s="8">
        <v>913.15</v>
      </c>
      <c r="BL333" s="2" t="s">
        <v>720</v>
      </c>
      <c r="BM333" s="7"/>
      <c r="BN333" s="7"/>
      <c r="BO333" s="4"/>
      <c r="BP333" s="8"/>
      <c r="BQ333" s="4"/>
      <c r="BR333" s="8"/>
      <c r="BS333" s="7"/>
      <c r="BT333" s="7"/>
      <c r="BU333" s="2" t="s">
        <v>109</v>
      </c>
      <c r="BV333" s="2" t="s">
        <v>97</v>
      </c>
      <c r="BW333" s="2" t="s">
        <v>1159</v>
      </c>
      <c r="BX333" s="2" t="s">
        <v>679</v>
      </c>
      <c r="BY333" s="2" t="s">
        <v>112</v>
      </c>
      <c r="BZ333" s="2" t="s">
        <v>100</v>
      </c>
    </row>
    <row r="334">
      <c r="A334" s="2" t="s">
        <v>1367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1227</v>
      </c>
      <c r="G334" s="2" t="s">
        <v>1368</v>
      </c>
      <c r="H334" s="2" t="s">
        <v>1369</v>
      </c>
      <c r="I334" s="2" t="s">
        <v>1370</v>
      </c>
      <c r="J334" s="2" t="s">
        <v>114</v>
      </c>
      <c r="K334" s="2" t="s">
        <v>763</v>
      </c>
      <c r="L334" s="3">
        <v>64.4</v>
      </c>
      <c r="M334" s="3">
        <v>67.62</v>
      </c>
      <c r="N334" s="3">
        <v>139.99</v>
      </c>
      <c r="O334" s="2" t="s">
        <v>97</v>
      </c>
      <c r="P334" s="2" t="s">
        <v>1335</v>
      </c>
      <c r="Q334" s="2" t="s">
        <v>99</v>
      </c>
      <c r="R334" s="2" t="s">
        <v>100</v>
      </c>
      <c r="S334" s="2" t="s">
        <v>1371</v>
      </c>
      <c r="T334" s="2" t="s">
        <v>100</v>
      </c>
      <c r="U334" s="2" t="s">
        <v>102</v>
      </c>
      <c r="V334" s="2" t="s">
        <v>344</v>
      </c>
      <c r="W334" s="2" t="s">
        <v>104</v>
      </c>
      <c r="X334" s="2" t="s">
        <v>581</v>
      </c>
      <c r="Y334" s="2" t="s">
        <v>100</v>
      </c>
      <c r="Z334" s="4"/>
      <c r="AA334" s="4">
        <f>=ROUNDDOWN({0},0)</f>
      </c>
      <c r="AB334" s="5"/>
      <c r="AC334" s="2" t="s">
        <v>1372</v>
      </c>
      <c r="AD334" s="4">
        <v>160</v>
      </c>
      <c r="AE334" s="4">
        <v>500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/>
      <c r="BJ334" s="4"/>
      <c r="BK334" s="8"/>
      <c r="BL334" s="2" t="s">
        <v>100</v>
      </c>
      <c r="BM334" s="7"/>
      <c r="BN334" s="7"/>
      <c r="BO334" s="4"/>
      <c r="BP334" s="8"/>
      <c r="BQ334" s="4"/>
      <c r="BR334" s="8"/>
      <c r="BS334" s="7"/>
      <c r="BT334" s="7"/>
      <c r="BU334" s="2" t="s">
        <v>1338</v>
      </c>
      <c r="BV334" s="2" t="s">
        <v>97</v>
      </c>
      <c r="BW334" s="2" t="s">
        <v>100</v>
      </c>
      <c r="BX334" s="2" t="s">
        <v>100</v>
      </c>
      <c r="BY334" s="2" t="s">
        <v>112</v>
      </c>
      <c r="BZ334" s="2" t="s">
        <v>100</v>
      </c>
    </row>
    <row r="335">
      <c r="A335" s="2" t="s">
        <v>1373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1227</v>
      </c>
      <c r="G335" s="2" t="s">
        <v>1368</v>
      </c>
      <c r="H335" s="2" t="s">
        <v>1369</v>
      </c>
      <c r="I335" s="2" t="s">
        <v>1370</v>
      </c>
      <c r="J335" s="2" t="s">
        <v>120</v>
      </c>
      <c r="K335" s="2" t="s">
        <v>763</v>
      </c>
      <c r="L335" s="3">
        <v>75.2</v>
      </c>
      <c r="M335" s="3">
        <v>78.96</v>
      </c>
      <c r="N335" s="3">
        <v>159.99</v>
      </c>
      <c r="O335" s="2" t="s">
        <v>97</v>
      </c>
      <c r="P335" s="2" t="s">
        <v>1335</v>
      </c>
      <c r="Q335" s="2" t="s">
        <v>99</v>
      </c>
      <c r="R335" s="2" t="s">
        <v>100</v>
      </c>
      <c r="S335" s="2" t="s">
        <v>1371</v>
      </c>
      <c r="T335" s="2" t="s">
        <v>100</v>
      </c>
      <c r="U335" s="2" t="s">
        <v>102</v>
      </c>
      <c r="V335" s="2" t="s">
        <v>344</v>
      </c>
      <c r="W335" s="2" t="s">
        <v>104</v>
      </c>
      <c r="X335" s="2" t="s">
        <v>581</v>
      </c>
      <c r="Y335" s="2" t="s">
        <v>100</v>
      </c>
      <c r="Z335" s="4"/>
      <c r="AA335" s="4">
        <f>=ROUNDDOWN({0},0)</f>
      </c>
      <c r="AB335" s="5"/>
      <c r="AC335" s="2" t="s">
        <v>1372</v>
      </c>
      <c r="AD335" s="4">
        <v>120</v>
      </c>
      <c r="AE335" s="4">
        <v>380</v>
      </c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/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/>
      <c r="BJ335" s="4"/>
      <c r="BK335" s="8"/>
      <c r="BL335" s="2" t="s">
        <v>100</v>
      </c>
      <c r="BM335" s="7"/>
      <c r="BN335" s="7"/>
      <c r="BO335" s="4"/>
      <c r="BP335" s="8"/>
      <c r="BQ335" s="4"/>
      <c r="BR335" s="8"/>
      <c r="BS335" s="7"/>
      <c r="BT335" s="7"/>
      <c r="BU335" s="2" t="s">
        <v>1338</v>
      </c>
      <c r="BV335" s="2" t="s">
        <v>97</v>
      </c>
      <c r="BW335" s="2" t="s">
        <v>100</v>
      </c>
      <c r="BX335" s="2" t="s">
        <v>100</v>
      </c>
      <c r="BY335" s="2" t="s">
        <v>112</v>
      </c>
      <c r="BZ335" s="2" t="s">
        <v>100</v>
      </c>
    </row>
    <row r="336">
      <c r="A336" s="2" t="s">
        <v>1374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1227</v>
      </c>
      <c r="G336" s="2" t="s">
        <v>1368</v>
      </c>
      <c r="H336" s="2" t="s">
        <v>1369</v>
      </c>
      <c r="I336" s="2" t="s">
        <v>1370</v>
      </c>
      <c r="J336" s="2" t="s">
        <v>124</v>
      </c>
      <c r="K336" s="2" t="s">
        <v>763</v>
      </c>
      <c r="L336" s="3">
        <v>75.2</v>
      </c>
      <c r="M336" s="3">
        <v>78.96</v>
      </c>
      <c r="N336" s="3">
        <v>159.99</v>
      </c>
      <c r="O336" s="2" t="s">
        <v>97</v>
      </c>
      <c r="P336" s="2" t="s">
        <v>1335</v>
      </c>
      <c r="Q336" s="2" t="s">
        <v>99</v>
      </c>
      <c r="R336" s="2" t="s">
        <v>100</v>
      </c>
      <c r="S336" s="2" t="s">
        <v>1371</v>
      </c>
      <c r="T336" s="2" t="s">
        <v>100</v>
      </c>
      <c r="U336" s="2" t="s">
        <v>102</v>
      </c>
      <c r="V336" s="2" t="s">
        <v>344</v>
      </c>
      <c r="W336" s="2" t="s">
        <v>104</v>
      </c>
      <c r="X336" s="2" t="s">
        <v>581</v>
      </c>
      <c r="Y336" s="2" t="s">
        <v>100</v>
      </c>
      <c r="Z336" s="4"/>
      <c r="AA336" s="4">
        <f>=ROUNDDOWN({0},0)</f>
      </c>
      <c r="AB336" s="5"/>
      <c r="AC336" s="2" t="s">
        <v>1372</v>
      </c>
      <c r="AD336" s="4">
        <v>70</v>
      </c>
      <c r="AE336" s="4">
        <v>220</v>
      </c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/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/>
      <c r="BJ336" s="4"/>
      <c r="BK336" s="8"/>
      <c r="BL336" s="2" t="s">
        <v>100</v>
      </c>
      <c r="BM336" s="7"/>
      <c r="BN336" s="7"/>
      <c r="BO336" s="4"/>
      <c r="BP336" s="8"/>
      <c r="BQ336" s="4"/>
      <c r="BR336" s="8"/>
      <c r="BS336" s="7"/>
      <c r="BT336" s="7"/>
      <c r="BU336" s="2" t="s">
        <v>1338</v>
      </c>
      <c r="BV336" s="2" t="s">
        <v>97</v>
      </c>
      <c r="BW336" s="2" t="s">
        <v>100</v>
      </c>
      <c r="BX336" s="2" t="s">
        <v>100</v>
      </c>
      <c r="BY336" s="2" t="s">
        <v>112</v>
      </c>
      <c r="BZ336" s="2" t="s">
        <v>100</v>
      </c>
    </row>
    <row r="337">
      <c r="A337" s="2" t="s">
        <v>1375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1227</v>
      </c>
      <c r="G337" s="2" t="s">
        <v>1368</v>
      </c>
      <c r="H337" s="2" t="s">
        <v>1369</v>
      </c>
      <c r="I337" s="2" t="s">
        <v>1370</v>
      </c>
      <c r="J337" s="2" t="s">
        <v>114</v>
      </c>
      <c r="K337" s="2" t="s">
        <v>146</v>
      </c>
      <c r="L337" s="3">
        <v>64.4</v>
      </c>
      <c r="M337" s="3">
        <v>67.62</v>
      </c>
      <c r="N337" s="3">
        <v>139.99</v>
      </c>
      <c r="O337" s="2" t="s">
        <v>97</v>
      </c>
      <c r="P337" s="2" t="s">
        <v>1335</v>
      </c>
      <c r="Q337" s="2" t="s">
        <v>99</v>
      </c>
      <c r="R337" s="2" t="s">
        <v>100</v>
      </c>
      <c r="S337" s="2" t="s">
        <v>1376</v>
      </c>
      <c r="T337" s="2" t="s">
        <v>100</v>
      </c>
      <c r="U337" s="2" t="s">
        <v>102</v>
      </c>
      <c r="V337" s="2" t="s">
        <v>344</v>
      </c>
      <c r="W337" s="2" t="s">
        <v>104</v>
      </c>
      <c r="X337" s="2" t="s">
        <v>581</v>
      </c>
      <c r="Y337" s="2" t="s">
        <v>100</v>
      </c>
      <c r="Z337" s="4"/>
      <c r="AA337" s="4">
        <f>=ROUNDDOWN({0},0)</f>
      </c>
      <c r="AB337" s="5"/>
      <c r="AC337" s="2" t="s">
        <v>1377</v>
      </c>
      <c r="AD337" s="4">
        <v>160</v>
      </c>
      <c r="AE337" s="4">
        <v>500</v>
      </c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/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/>
      <c r="BJ337" s="4"/>
      <c r="BK337" s="8"/>
      <c r="BL337" s="2" t="s">
        <v>100</v>
      </c>
      <c r="BM337" s="7"/>
      <c r="BN337" s="7"/>
      <c r="BO337" s="4"/>
      <c r="BP337" s="8"/>
      <c r="BQ337" s="4"/>
      <c r="BR337" s="8"/>
      <c r="BS337" s="7"/>
      <c r="BT337" s="7"/>
      <c r="BU337" s="2" t="s">
        <v>1338</v>
      </c>
      <c r="BV337" s="2" t="s">
        <v>97</v>
      </c>
      <c r="BW337" s="2" t="s">
        <v>100</v>
      </c>
      <c r="BX337" s="2" t="s">
        <v>100</v>
      </c>
      <c r="BY337" s="2" t="s">
        <v>112</v>
      </c>
      <c r="BZ337" s="2" t="s">
        <v>100</v>
      </c>
    </row>
    <row r="338">
      <c r="A338" s="2" t="s">
        <v>1378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1227</v>
      </c>
      <c r="G338" s="2" t="s">
        <v>1368</v>
      </c>
      <c r="H338" s="2" t="s">
        <v>1369</v>
      </c>
      <c r="I338" s="2" t="s">
        <v>1370</v>
      </c>
      <c r="J338" s="2" t="s">
        <v>120</v>
      </c>
      <c r="K338" s="2" t="s">
        <v>146</v>
      </c>
      <c r="L338" s="3">
        <v>75.2</v>
      </c>
      <c r="M338" s="3">
        <v>78.96</v>
      </c>
      <c r="N338" s="3">
        <v>159.99</v>
      </c>
      <c r="O338" s="2" t="s">
        <v>97</v>
      </c>
      <c r="P338" s="2" t="s">
        <v>1335</v>
      </c>
      <c r="Q338" s="2" t="s">
        <v>99</v>
      </c>
      <c r="R338" s="2" t="s">
        <v>100</v>
      </c>
      <c r="S338" s="2" t="s">
        <v>1376</v>
      </c>
      <c r="T338" s="2" t="s">
        <v>100</v>
      </c>
      <c r="U338" s="2" t="s">
        <v>102</v>
      </c>
      <c r="V338" s="2" t="s">
        <v>344</v>
      </c>
      <c r="W338" s="2" t="s">
        <v>104</v>
      </c>
      <c r="X338" s="2" t="s">
        <v>581</v>
      </c>
      <c r="Y338" s="2" t="s">
        <v>100</v>
      </c>
      <c r="Z338" s="4"/>
      <c r="AA338" s="4">
        <f>=ROUNDDOWN({0},0)</f>
      </c>
      <c r="AB338" s="5"/>
      <c r="AC338" s="2" t="s">
        <v>1377</v>
      </c>
      <c r="AD338" s="4">
        <v>120</v>
      </c>
      <c r="AE338" s="4">
        <v>380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/>
      <c r="BK338" s="8"/>
      <c r="BL338" s="2" t="s">
        <v>100</v>
      </c>
      <c r="BM338" s="7"/>
      <c r="BN338" s="7"/>
      <c r="BO338" s="4"/>
      <c r="BP338" s="8"/>
      <c r="BQ338" s="4"/>
      <c r="BR338" s="8"/>
      <c r="BS338" s="7"/>
      <c r="BT338" s="7"/>
      <c r="BU338" s="2" t="s">
        <v>1338</v>
      </c>
      <c r="BV338" s="2" t="s">
        <v>97</v>
      </c>
      <c r="BW338" s="2" t="s">
        <v>100</v>
      </c>
      <c r="BX338" s="2" t="s">
        <v>100</v>
      </c>
      <c r="BY338" s="2" t="s">
        <v>112</v>
      </c>
      <c r="BZ338" s="2" t="s">
        <v>100</v>
      </c>
    </row>
    <row r="339">
      <c r="A339" s="2" t="s">
        <v>1379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1227</v>
      </c>
      <c r="G339" s="2" t="s">
        <v>1368</v>
      </c>
      <c r="H339" s="2" t="s">
        <v>1369</v>
      </c>
      <c r="I339" s="2" t="s">
        <v>1370</v>
      </c>
      <c r="J339" s="2" t="s">
        <v>124</v>
      </c>
      <c r="K339" s="2" t="s">
        <v>146</v>
      </c>
      <c r="L339" s="3">
        <v>75.2</v>
      </c>
      <c r="M339" s="3">
        <v>78.96</v>
      </c>
      <c r="N339" s="3">
        <v>159.99</v>
      </c>
      <c r="O339" s="2" t="s">
        <v>97</v>
      </c>
      <c r="P339" s="2" t="s">
        <v>1335</v>
      </c>
      <c r="Q339" s="2" t="s">
        <v>99</v>
      </c>
      <c r="R339" s="2" t="s">
        <v>100</v>
      </c>
      <c r="S339" s="2" t="s">
        <v>1376</v>
      </c>
      <c r="T339" s="2" t="s">
        <v>100</v>
      </c>
      <c r="U339" s="2" t="s">
        <v>102</v>
      </c>
      <c r="V339" s="2" t="s">
        <v>344</v>
      </c>
      <c r="W339" s="2" t="s">
        <v>104</v>
      </c>
      <c r="X339" s="2" t="s">
        <v>581</v>
      </c>
      <c r="Y339" s="2" t="s">
        <v>100</v>
      </c>
      <c r="Z339" s="4"/>
      <c r="AA339" s="4">
        <f>=ROUNDDOWN({0},0)</f>
      </c>
      <c r="AB339" s="5"/>
      <c r="AC339" s="2" t="s">
        <v>1377</v>
      </c>
      <c r="AD339" s="4">
        <v>70</v>
      </c>
      <c r="AE339" s="4">
        <v>220</v>
      </c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/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/>
      <c r="BJ339" s="4"/>
      <c r="BK339" s="8"/>
      <c r="BL339" s="2" t="s">
        <v>100</v>
      </c>
      <c r="BM339" s="7"/>
      <c r="BN339" s="7"/>
      <c r="BO339" s="4"/>
      <c r="BP339" s="8"/>
      <c r="BQ339" s="4"/>
      <c r="BR339" s="8"/>
      <c r="BS339" s="7"/>
      <c r="BT339" s="7"/>
      <c r="BU339" s="2" t="s">
        <v>1338</v>
      </c>
      <c r="BV339" s="2" t="s">
        <v>97</v>
      </c>
      <c r="BW339" s="2" t="s">
        <v>100</v>
      </c>
      <c r="BX339" s="2" t="s">
        <v>100</v>
      </c>
      <c r="BY339" s="2" t="s">
        <v>112</v>
      </c>
      <c r="BZ339" s="2" t="s">
        <v>100</v>
      </c>
    </row>
    <row r="340">
      <c r="A340" s="2" t="s">
        <v>1380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1227</v>
      </c>
      <c r="G340" s="2" t="s">
        <v>1368</v>
      </c>
      <c r="H340" s="2" t="s">
        <v>1369</v>
      </c>
      <c r="I340" s="2" t="s">
        <v>1370</v>
      </c>
      <c r="J340" s="2" t="s">
        <v>114</v>
      </c>
      <c r="K340" s="2" t="s">
        <v>175</v>
      </c>
      <c r="L340" s="3">
        <v>64.4</v>
      </c>
      <c r="M340" s="3">
        <v>67.62</v>
      </c>
      <c r="N340" s="3">
        <v>139.99</v>
      </c>
      <c r="O340" s="2" t="s">
        <v>97</v>
      </c>
      <c r="P340" s="2" t="s">
        <v>98</v>
      </c>
      <c r="Q340" s="2" t="s">
        <v>99</v>
      </c>
      <c r="R340" s="2" t="s">
        <v>100</v>
      </c>
      <c r="S340" s="2" t="s">
        <v>1381</v>
      </c>
      <c r="T340" s="2" t="s">
        <v>100</v>
      </c>
      <c r="U340" s="2" t="s">
        <v>102</v>
      </c>
      <c r="V340" s="2" t="s">
        <v>344</v>
      </c>
      <c r="W340" s="2" t="s">
        <v>104</v>
      </c>
      <c r="X340" s="2" t="s">
        <v>399</v>
      </c>
      <c r="Y340" s="2" t="s">
        <v>131</v>
      </c>
      <c r="Z340" s="4">
        <v>311</v>
      </c>
      <c r="AA340" s="4">
        <f>=ROUNDDOWN(25.9166666666667,0)</f>
      </c>
      <c r="AB340" s="5">
        <v>12</v>
      </c>
      <c r="AC340" s="2" t="s">
        <v>583</v>
      </c>
      <c r="AD340" s="4">
        <v>160</v>
      </c>
      <c r="AE340" s="4">
        <v>1010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/>
      <c r="BJ340" s="4">
        <v>15</v>
      </c>
      <c r="BK340" s="8">
        <v>1051.91</v>
      </c>
      <c r="BL340" s="2" t="s">
        <v>1382</v>
      </c>
      <c r="BM340" s="7"/>
      <c r="BN340" s="7"/>
      <c r="BO340" s="4"/>
      <c r="BP340" s="8"/>
      <c r="BQ340" s="4"/>
      <c r="BR340" s="8"/>
      <c r="BS340" s="7"/>
      <c r="BT340" s="7"/>
      <c r="BU340" s="2" t="s">
        <v>109</v>
      </c>
      <c r="BV340" s="2" t="s">
        <v>97</v>
      </c>
      <c r="BW340" s="2" t="s">
        <v>137</v>
      </c>
      <c r="BX340" s="2" t="s">
        <v>463</v>
      </c>
      <c r="BY340" s="2" t="s">
        <v>112</v>
      </c>
      <c r="BZ340" s="2" t="s">
        <v>100</v>
      </c>
    </row>
    <row r="341">
      <c r="A341" s="2" t="s">
        <v>1383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1227</v>
      </c>
      <c r="G341" s="2" t="s">
        <v>1368</v>
      </c>
      <c r="H341" s="2" t="s">
        <v>1369</v>
      </c>
      <c r="I341" s="2" t="s">
        <v>1370</v>
      </c>
      <c r="J341" s="2" t="s">
        <v>120</v>
      </c>
      <c r="K341" s="2" t="s">
        <v>175</v>
      </c>
      <c r="L341" s="3">
        <v>75.2</v>
      </c>
      <c r="M341" s="3">
        <v>78.96</v>
      </c>
      <c r="N341" s="3">
        <v>159.99</v>
      </c>
      <c r="O341" s="2" t="s">
        <v>97</v>
      </c>
      <c r="P341" s="2" t="s">
        <v>98</v>
      </c>
      <c r="Q341" s="2" t="s">
        <v>99</v>
      </c>
      <c r="R341" s="2" t="s">
        <v>100</v>
      </c>
      <c r="S341" s="2" t="s">
        <v>1381</v>
      </c>
      <c r="T341" s="2" t="s">
        <v>100</v>
      </c>
      <c r="U341" s="2" t="s">
        <v>102</v>
      </c>
      <c r="V341" s="2" t="s">
        <v>344</v>
      </c>
      <c r="W341" s="2" t="s">
        <v>104</v>
      </c>
      <c r="X341" s="2" t="s">
        <v>399</v>
      </c>
      <c r="Y341" s="2" t="s">
        <v>131</v>
      </c>
      <c r="Z341" s="4">
        <v>182</v>
      </c>
      <c r="AA341" s="4">
        <f>=ROUNDDOWN(13,0)</f>
      </c>
      <c r="AB341" s="5">
        <v>14</v>
      </c>
      <c r="AC341" s="2" t="s">
        <v>583</v>
      </c>
      <c r="AD341" s="4">
        <v>150</v>
      </c>
      <c r="AE341" s="4">
        <v>1080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100</v>
      </c>
      <c r="AW341" s="8" t="s">
        <v>100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/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/>
      <c r="BJ341" s="4">
        <v>11</v>
      </c>
      <c r="BK341" s="8">
        <v>856.74</v>
      </c>
      <c r="BL341" s="2" t="s">
        <v>1384</v>
      </c>
      <c r="BM341" s="7"/>
      <c r="BN341" s="7"/>
      <c r="BO341" s="4"/>
      <c r="BP341" s="8"/>
      <c r="BQ341" s="4"/>
      <c r="BR341" s="8"/>
      <c r="BS341" s="7"/>
      <c r="BT341" s="7"/>
      <c r="BU341" s="2" t="s">
        <v>109</v>
      </c>
      <c r="BV341" s="2" t="s">
        <v>97</v>
      </c>
      <c r="BW341" s="2" t="s">
        <v>137</v>
      </c>
      <c r="BX341" s="2" t="s">
        <v>1385</v>
      </c>
      <c r="BY341" s="2" t="s">
        <v>112</v>
      </c>
      <c r="BZ341" s="2" t="s">
        <v>100</v>
      </c>
    </row>
    <row r="342">
      <c r="A342" s="2" t="s">
        <v>1386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1227</v>
      </c>
      <c r="G342" s="2" t="s">
        <v>1368</v>
      </c>
      <c r="H342" s="2" t="s">
        <v>1369</v>
      </c>
      <c r="I342" s="2" t="s">
        <v>1370</v>
      </c>
      <c r="J342" s="2" t="s">
        <v>124</v>
      </c>
      <c r="K342" s="2" t="s">
        <v>175</v>
      </c>
      <c r="L342" s="3">
        <v>75.2</v>
      </c>
      <c r="M342" s="3">
        <v>78.96</v>
      </c>
      <c r="N342" s="3">
        <v>159.99</v>
      </c>
      <c r="O342" s="2" t="s">
        <v>97</v>
      </c>
      <c r="P342" s="2" t="s">
        <v>98</v>
      </c>
      <c r="Q342" s="2" t="s">
        <v>99</v>
      </c>
      <c r="R342" s="2" t="s">
        <v>100</v>
      </c>
      <c r="S342" s="2" t="s">
        <v>1381</v>
      </c>
      <c r="T342" s="2" t="s">
        <v>100</v>
      </c>
      <c r="U342" s="2" t="s">
        <v>102</v>
      </c>
      <c r="V342" s="2" t="s">
        <v>344</v>
      </c>
      <c r="W342" s="2" t="s">
        <v>104</v>
      </c>
      <c r="X342" s="2" t="s">
        <v>399</v>
      </c>
      <c r="Y342" s="2" t="s">
        <v>131</v>
      </c>
      <c r="Z342" s="4">
        <v>195</v>
      </c>
      <c r="AA342" s="4">
        <f>=ROUNDDOWN(27.8571428571429,0)</f>
      </c>
      <c r="AB342" s="5">
        <v>7</v>
      </c>
      <c r="AC342" s="2" t="s">
        <v>583</v>
      </c>
      <c r="AD342" s="4">
        <v>110</v>
      </c>
      <c r="AE342" s="4">
        <v>640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/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/>
      <c r="BJ342" s="4">
        <v>6</v>
      </c>
      <c r="BK342" s="8">
        <v>441.52</v>
      </c>
      <c r="BL342" s="2" t="s">
        <v>1387</v>
      </c>
      <c r="BM342" s="7"/>
      <c r="BN342" s="7"/>
      <c r="BO342" s="4"/>
      <c r="BP342" s="8"/>
      <c r="BQ342" s="4"/>
      <c r="BR342" s="8"/>
      <c r="BS342" s="7"/>
      <c r="BT342" s="7"/>
      <c r="BU342" s="2" t="s">
        <v>109</v>
      </c>
      <c r="BV342" s="2" t="s">
        <v>97</v>
      </c>
      <c r="BW342" s="2" t="s">
        <v>137</v>
      </c>
      <c r="BX342" s="2" t="s">
        <v>590</v>
      </c>
      <c r="BY342" s="2" t="s">
        <v>112</v>
      </c>
      <c r="BZ342" s="2" t="s">
        <v>100</v>
      </c>
    </row>
    <row r="343">
      <c r="A343" s="2" t="s">
        <v>1388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1389</v>
      </c>
      <c r="G343" s="2" t="s">
        <v>838</v>
      </c>
      <c r="H343" s="2" t="s">
        <v>1390</v>
      </c>
      <c r="I343" s="2" t="s">
        <v>974</v>
      </c>
      <c r="J343" s="2" t="s">
        <v>114</v>
      </c>
      <c r="K343" s="2" t="s">
        <v>1263</v>
      </c>
      <c r="L343" s="3">
        <v>66.66</v>
      </c>
      <c r="M343" s="3">
        <v>69.99</v>
      </c>
      <c r="N343" s="3">
        <v>139.99</v>
      </c>
      <c r="O343" s="2" t="s">
        <v>97</v>
      </c>
      <c r="P343" s="2" t="s">
        <v>447</v>
      </c>
      <c r="Q343" s="2" t="s">
        <v>99</v>
      </c>
      <c r="R343" s="2" t="s">
        <v>100</v>
      </c>
      <c r="S343" s="2" t="s">
        <v>1391</v>
      </c>
      <c r="T343" s="2" t="s">
        <v>100</v>
      </c>
      <c r="U343" s="2" t="s">
        <v>102</v>
      </c>
      <c r="V343" s="2" t="s">
        <v>103</v>
      </c>
      <c r="W343" s="2" t="s">
        <v>104</v>
      </c>
      <c r="X343" s="2" t="s">
        <v>1240</v>
      </c>
      <c r="Y343" s="2" t="s">
        <v>1392</v>
      </c>
      <c r="Z343" s="4">
        <v>25</v>
      </c>
      <c r="AA343" s="4">
        <f>=ROUNDDOWN(3.47222222222222,0)</f>
      </c>
      <c r="AB343" s="5">
        <v>7.2</v>
      </c>
      <c r="AC343" s="2" t="s">
        <v>100</v>
      </c>
      <c r="AD343" s="4"/>
      <c r="AE343" s="4"/>
      <c r="AF343" s="6">
        <v>64</v>
      </c>
      <c r="AG343" s="6"/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/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/>
      <c r="BJ343" s="4">
        <v>10</v>
      </c>
      <c r="BK343" s="8">
        <v>472.68</v>
      </c>
      <c r="BL343" s="2" t="s">
        <v>880</v>
      </c>
      <c r="BM343" s="7"/>
      <c r="BN343" s="7"/>
      <c r="BO343" s="4"/>
      <c r="BP343" s="8"/>
      <c r="BQ343" s="4"/>
      <c r="BR343" s="8"/>
      <c r="BS343" s="7"/>
      <c r="BT343" s="7"/>
      <c r="BU343" s="2" t="s">
        <v>109</v>
      </c>
      <c r="BV343" s="2" t="s">
        <v>97</v>
      </c>
      <c r="BW343" s="2" t="s">
        <v>270</v>
      </c>
      <c r="BX343" s="2" t="s">
        <v>1393</v>
      </c>
      <c r="BY343" s="2" t="s">
        <v>112</v>
      </c>
      <c r="BZ343" s="2" t="s">
        <v>100</v>
      </c>
    </row>
    <row r="344">
      <c r="A344" s="2" t="s">
        <v>1394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1389</v>
      </c>
      <c r="G344" s="2" t="s">
        <v>838</v>
      </c>
      <c r="H344" s="2" t="s">
        <v>1390</v>
      </c>
      <c r="I344" s="2" t="s">
        <v>974</v>
      </c>
      <c r="J344" s="2" t="s">
        <v>120</v>
      </c>
      <c r="K344" s="2" t="s">
        <v>1263</v>
      </c>
      <c r="L344" s="3">
        <v>76.19</v>
      </c>
      <c r="M344" s="3">
        <v>80</v>
      </c>
      <c r="N344" s="3">
        <v>159.99</v>
      </c>
      <c r="O344" s="2" t="s">
        <v>97</v>
      </c>
      <c r="P344" s="2" t="s">
        <v>447</v>
      </c>
      <c r="Q344" s="2" t="s">
        <v>99</v>
      </c>
      <c r="R344" s="2" t="s">
        <v>100</v>
      </c>
      <c r="S344" s="2" t="s">
        <v>1391</v>
      </c>
      <c r="T344" s="2" t="s">
        <v>100</v>
      </c>
      <c r="U344" s="2" t="s">
        <v>102</v>
      </c>
      <c r="V344" s="2" t="s">
        <v>103</v>
      </c>
      <c r="W344" s="2" t="s">
        <v>104</v>
      </c>
      <c r="X344" s="2" t="s">
        <v>1240</v>
      </c>
      <c r="Y344" s="2" t="s">
        <v>1392</v>
      </c>
      <c r="Z344" s="4">
        <v>171</v>
      </c>
      <c r="AA344" s="4">
        <f>=ROUNDDOWN(24.7826086956522,0)</f>
      </c>
      <c r="AB344" s="5">
        <v>6.9</v>
      </c>
      <c r="AC344" s="2" t="s">
        <v>100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/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/>
      <c r="BJ344" s="4">
        <v>5</v>
      </c>
      <c r="BK344" s="8">
        <v>323.09</v>
      </c>
      <c r="BL344" s="2" t="s">
        <v>1395</v>
      </c>
      <c r="BM344" s="7"/>
      <c r="BN344" s="7"/>
      <c r="BO344" s="4"/>
      <c r="BP344" s="8"/>
      <c r="BQ344" s="4"/>
      <c r="BR344" s="8"/>
      <c r="BS344" s="7"/>
      <c r="BT344" s="7"/>
      <c r="BU344" s="2" t="s">
        <v>109</v>
      </c>
      <c r="BV344" s="2" t="s">
        <v>97</v>
      </c>
      <c r="BW344" s="2" t="s">
        <v>270</v>
      </c>
      <c r="BX344" s="2" t="s">
        <v>1029</v>
      </c>
      <c r="BY344" s="2" t="s">
        <v>112</v>
      </c>
      <c r="BZ344" s="2" t="s">
        <v>100</v>
      </c>
    </row>
    <row r="345">
      <c r="A345" s="2" t="s">
        <v>1396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1389</v>
      </c>
      <c r="G345" s="2" t="s">
        <v>838</v>
      </c>
      <c r="H345" s="2" t="s">
        <v>1390</v>
      </c>
      <c r="I345" s="2" t="s">
        <v>974</v>
      </c>
      <c r="J345" s="2" t="s">
        <v>124</v>
      </c>
      <c r="K345" s="2" t="s">
        <v>1263</v>
      </c>
      <c r="L345" s="3">
        <v>76.19</v>
      </c>
      <c r="M345" s="3">
        <v>80</v>
      </c>
      <c r="N345" s="3">
        <v>159.99</v>
      </c>
      <c r="O345" s="2" t="s">
        <v>97</v>
      </c>
      <c r="P345" s="2" t="s">
        <v>447</v>
      </c>
      <c r="Q345" s="2" t="s">
        <v>99</v>
      </c>
      <c r="R345" s="2" t="s">
        <v>100</v>
      </c>
      <c r="S345" s="2" t="s">
        <v>1391</v>
      </c>
      <c r="T345" s="2" t="s">
        <v>100</v>
      </c>
      <c r="U345" s="2" t="s">
        <v>102</v>
      </c>
      <c r="V345" s="2" t="s">
        <v>103</v>
      </c>
      <c r="W345" s="2" t="s">
        <v>104</v>
      </c>
      <c r="X345" s="2" t="s">
        <v>1240</v>
      </c>
      <c r="Y345" s="2" t="s">
        <v>1392</v>
      </c>
      <c r="Z345" s="4">
        <v>72</v>
      </c>
      <c r="AA345" s="4">
        <f>=ROUNDDOWN(18.4615384615385,0)</f>
      </c>
      <c r="AB345" s="5">
        <v>3.9</v>
      </c>
      <c r="AC345" s="2" t="s">
        <v>100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/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/>
      <c r="BJ345" s="4">
        <v>5</v>
      </c>
      <c r="BK345" s="8">
        <v>349.49</v>
      </c>
      <c r="BL345" s="2" t="s">
        <v>1397</v>
      </c>
      <c r="BM345" s="7"/>
      <c r="BN345" s="7"/>
      <c r="BO345" s="4"/>
      <c r="BP345" s="8"/>
      <c r="BQ345" s="4"/>
      <c r="BR345" s="8"/>
      <c r="BS345" s="7"/>
      <c r="BT345" s="7"/>
      <c r="BU345" s="2" t="s">
        <v>109</v>
      </c>
      <c r="BV345" s="2" t="s">
        <v>97</v>
      </c>
      <c r="BW345" s="2" t="s">
        <v>945</v>
      </c>
      <c r="BX345" s="2" t="s">
        <v>1398</v>
      </c>
      <c r="BY345" s="2" t="s">
        <v>112</v>
      </c>
      <c r="BZ345" s="2" t="s">
        <v>100</v>
      </c>
    </row>
    <row r="346">
      <c r="A346" s="2" t="s">
        <v>1399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1400</v>
      </c>
      <c r="G346" s="2" t="s">
        <v>1401</v>
      </c>
      <c r="H346" s="2" t="s">
        <v>1402</v>
      </c>
      <c r="I346" s="2" t="s">
        <v>1403</v>
      </c>
      <c r="J346" s="2" t="s">
        <v>785</v>
      </c>
      <c r="K346" s="2" t="s">
        <v>1263</v>
      </c>
      <c r="L346" s="3">
        <v>57.14</v>
      </c>
      <c r="M346" s="3">
        <v>60</v>
      </c>
      <c r="N346" s="3">
        <v>119.99</v>
      </c>
      <c r="O346" s="2" t="s">
        <v>473</v>
      </c>
      <c r="P346" s="2" t="s">
        <v>447</v>
      </c>
      <c r="Q346" s="2" t="s">
        <v>99</v>
      </c>
      <c r="R346" s="2" t="s">
        <v>100</v>
      </c>
      <c r="S346" s="2" t="s">
        <v>1404</v>
      </c>
      <c r="T346" s="2" t="s">
        <v>787</v>
      </c>
      <c r="U346" s="2" t="s">
        <v>644</v>
      </c>
      <c r="V346" s="2" t="s">
        <v>805</v>
      </c>
      <c r="W346" s="2" t="s">
        <v>1405</v>
      </c>
      <c r="X346" s="2" t="s">
        <v>976</v>
      </c>
      <c r="Y346" s="2" t="s">
        <v>1208</v>
      </c>
      <c r="Z346" s="4">
        <v>432</v>
      </c>
      <c r="AA346" s="4">
        <f>=ROUNDDOWN(108,0)</f>
      </c>
      <c r="AB346" s="5">
        <v>4</v>
      </c>
      <c r="AC346" s="2" t="s">
        <v>100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/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/>
      <c r="BJ346" s="4">
        <v>1</v>
      </c>
      <c r="BK346" s="8">
        <v>64.8</v>
      </c>
      <c r="BL346" s="2" t="s">
        <v>441</v>
      </c>
      <c r="BM346" s="7"/>
      <c r="BN346" s="7"/>
      <c r="BO346" s="4"/>
      <c r="BP346" s="8"/>
      <c r="BQ346" s="4"/>
      <c r="BR346" s="8"/>
      <c r="BS346" s="7"/>
      <c r="BT346" s="7"/>
      <c r="BU346" s="2" t="s">
        <v>109</v>
      </c>
      <c r="BV346" s="2" t="s">
        <v>97</v>
      </c>
      <c r="BW346" s="2" t="s">
        <v>1406</v>
      </c>
      <c r="BX346" s="2" t="s">
        <v>100</v>
      </c>
      <c r="BY346" s="2" t="s">
        <v>112</v>
      </c>
      <c r="BZ346" s="2" t="s">
        <v>100</v>
      </c>
    </row>
    <row r="347">
      <c r="A347" s="2" t="s">
        <v>1407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1400</v>
      </c>
      <c r="G347" s="2" t="s">
        <v>1401</v>
      </c>
      <c r="H347" s="2" t="s">
        <v>1402</v>
      </c>
      <c r="I347" s="2" t="s">
        <v>1403</v>
      </c>
      <c r="J347" s="2" t="s">
        <v>795</v>
      </c>
      <c r="K347" s="2" t="s">
        <v>1263</v>
      </c>
      <c r="L347" s="3">
        <v>66.66</v>
      </c>
      <c r="M347" s="3">
        <v>69.99</v>
      </c>
      <c r="N347" s="3">
        <v>139.99</v>
      </c>
      <c r="O347" s="2" t="s">
        <v>473</v>
      </c>
      <c r="P347" s="2" t="s">
        <v>447</v>
      </c>
      <c r="Q347" s="2" t="s">
        <v>99</v>
      </c>
      <c r="R347" s="2" t="s">
        <v>100</v>
      </c>
      <c r="S347" s="2" t="s">
        <v>1404</v>
      </c>
      <c r="T347" s="2" t="s">
        <v>787</v>
      </c>
      <c r="U347" s="2" t="s">
        <v>644</v>
      </c>
      <c r="V347" s="2" t="s">
        <v>805</v>
      </c>
      <c r="W347" s="2" t="s">
        <v>1405</v>
      </c>
      <c r="X347" s="2" t="s">
        <v>976</v>
      </c>
      <c r="Y347" s="2" t="s">
        <v>1208</v>
      </c>
      <c r="Z347" s="4">
        <v>354</v>
      </c>
      <c r="AA347" s="4">
        <f>=ROUNDDOWN(118,0)</f>
      </c>
      <c r="AB347" s="5">
        <v>3</v>
      </c>
      <c r="AC347" s="2" t="s">
        <v>100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100</v>
      </c>
      <c r="AW347" s="8" t="s">
        <v>100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/>
      <c r="BJ347" s="4">
        <v>1</v>
      </c>
      <c r="BK347" s="8">
        <v>45.35</v>
      </c>
      <c r="BL347" s="2" t="s">
        <v>715</v>
      </c>
      <c r="BM347" s="7"/>
      <c r="BN347" s="7"/>
      <c r="BO347" s="4"/>
      <c r="BP347" s="8"/>
      <c r="BQ347" s="4"/>
      <c r="BR347" s="8"/>
      <c r="BS347" s="7"/>
      <c r="BT347" s="7"/>
      <c r="BU347" s="2" t="s">
        <v>109</v>
      </c>
      <c r="BV347" s="2" t="s">
        <v>97</v>
      </c>
      <c r="BW347" s="2" t="s">
        <v>1406</v>
      </c>
      <c r="BX347" s="2" t="s">
        <v>1408</v>
      </c>
      <c r="BY347" s="2" t="s">
        <v>112</v>
      </c>
      <c r="BZ347" s="2" t="s">
        <v>100</v>
      </c>
    </row>
    <row r="348">
      <c r="A348" s="2" t="s">
        <v>1409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1410</v>
      </c>
      <c r="G348" s="2" t="s">
        <v>1411</v>
      </c>
      <c r="H348" s="2" t="s">
        <v>1412</v>
      </c>
      <c r="I348" s="2" t="s">
        <v>754</v>
      </c>
      <c r="J348" s="2" t="s">
        <v>95</v>
      </c>
      <c r="K348" s="2" t="s">
        <v>1413</v>
      </c>
      <c r="L348" s="3">
        <v>59.8</v>
      </c>
      <c r="M348" s="3">
        <v>62.79</v>
      </c>
      <c r="N348" s="3">
        <v>129.99</v>
      </c>
      <c r="O348" s="2" t="s">
        <v>97</v>
      </c>
      <c r="P348" s="2" t="s">
        <v>98</v>
      </c>
      <c r="Q348" s="2" t="s">
        <v>99</v>
      </c>
      <c r="R348" s="2" t="s">
        <v>100</v>
      </c>
      <c r="S348" s="2" t="s">
        <v>1414</v>
      </c>
      <c r="T348" s="2" t="s">
        <v>100</v>
      </c>
      <c r="U348" s="2" t="s">
        <v>102</v>
      </c>
      <c r="V348" s="2" t="s">
        <v>344</v>
      </c>
      <c r="W348" s="2" t="s">
        <v>976</v>
      </c>
      <c r="X348" s="2" t="s">
        <v>1302</v>
      </c>
      <c r="Y348" s="2" t="s">
        <v>131</v>
      </c>
      <c r="Z348" s="4">
        <v>149</v>
      </c>
      <c r="AA348" s="4">
        <f>=ROUNDDOWN(37.25,0)</f>
      </c>
      <c r="AB348" s="5">
        <v>4</v>
      </c>
      <c r="AC348" s="2" t="s">
        <v>482</v>
      </c>
      <c r="AD348" s="4">
        <v>70</v>
      </c>
      <c r="AE348" s="4">
        <v>70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/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/>
      <c r="BJ348" s="4">
        <v>1</v>
      </c>
      <c r="BK348" s="8">
        <v>48.58</v>
      </c>
      <c r="BL348" s="2" t="s">
        <v>133</v>
      </c>
      <c r="BM348" s="7"/>
      <c r="BN348" s="7"/>
      <c r="BO348" s="4"/>
      <c r="BP348" s="8"/>
      <c r="BQ348" s="4"/>
      <c r="BR348" s="8"/>
      <c r="BS348" s="7"/>
      <c r="BT348" s="7"/>
      <c r="BU348" s="2" t="s">
        <v>109</v>
      </c>
      <c r="BV348" s="2" t="s">
        <v>97</v>
      </c>
      <c r="BW348" s="2" t="s">
        <v>137</v>
      </c>
      <c r="BX348" s="2" t="s">
        <v>381</v>
      </c>
      <c r="BY348" s="2" t="s">
        <v>112</v>
      </c>
      <c r="BZ348" s="2" t="s">
        <v>100</v>
      </c>
    </row>
    <row r="349">
      <c r="A349" s="2" t="s">
        <v>1415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1410</v>
      </c>
      <c r="G349" s="2" t="s">
        <v>1411</v>
      </c>
      <c r="H349" s="2" t="s">
        <v>1412</v>
      </c>
      <c r="I349" s="2" t="s">
        <v>754</v>
      </c>
      <c r="J349" s="2" t="s">
        <v>114</v>
      </c>
      <c r="K349" s="2" t="s">
        <v>1413</v>
      </c>
      <c r="L349" s="3">
        <v>64.4</v>
      </c>
      <c r="M349" s="3">
        <v>67.62</v>
      </c>
      <c r="N349" s="3">
        <v>139.99</v>
      </c>
      <c r="O349" s="2" t="s">
        <v>97</v>
      </c>
      <c r="P349" s="2" t="s">
        <v>98</v>
      </c>
      <c r="Q349" s="2" t="s">
        <v>99</v>
      </c>
      <c r="R349" s="2" t="s">
        <v>100</v>
      </c>
      <c r="S349" s="2" t="s">
        <v>1414</v>
      </c>
      <c r="T349" s="2" t="s">
        <v>100</v>
      </c>
      <c r="U349" s="2" t="s">
        <v>102</v>
      </c>
      <c r="V349" s="2" t="s">
        <v>344</v>
      </c>
      <c r="W349" s="2" t="s">
        <v>976</v>
      </c>
      <c r="X349" s="2" t="s">
        <v>1302</v>
      </c>
      <c r="Y349" s="2" t="s">
        <v>131</v>
      </c>
      <c r="Z349" s="4">
        <v>324</v>
      </c>
      <c r="AA349" s="4">
        <f>=ROUNDDOWN(36,0)</f>
      </c>
      <c r="AB349" s="5">
        <v>9</v>
      </c>
      <c r="AC349" s="2" t="s">
        <v>482</v>
      </c>
      <c r="AD349" s="4">
        <v>30</v>
      </c>
      <c r="AE349" s="4">
        <v>30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/>
      <c r="BJ349" s="4">
        <v>3</v>
      </c>
      <c r="BK349" s="8">
        <v>193.04</v>
      </c>
      <c r="BL349" s="2" t="s">
        <v>388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97</v>
      </c>
      <c r="BW349" s="2" t="s">
        <v>137</v>
      </c>
      <c r="BX349" s="2" t="s">
        <v>846</v>
      </c>
      <c r="BY349" s="2" t="s">
        <v>112</v>
      </c>
      <c r="BZ349" s="2" t="s">
        <v>100</v>
      </c>
    </row>
    <row r="350">
      <c r="A350" s="2" t="s">
        <v>1416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1410</v>
      </c>
      <c r="G350" s="2" t="s">
        <v>1411</v>
      </c>
      <c r="H350" s="2" t="s">
        <v>1412</v>
      </c>
      <c r="I350" s="2" t="s">
        <v>754</v>
      </c>
      <c r="J350" s="2" t="s">
        <v>120</v>
      </c>
      <c r="K350" s="2" t="s">
        <v>1413</v>
      </c>
      <c r="L350" s="3">
        <v>73.6</v>
      </c>
      <c r="M350" s="3">
        <v>77.28</v>
      </c>
      <c r="N350" s="3">
        <v>159.99</v>
      </c>
      <c r="O350" s="2" t="s">
        <v>97</v>
      </c>
      <c r="P350" s="2" t="s">
        <v>98</v>
      </c>
      <c r="Q350" s="2" t="s">
        <v>99</v>
      </c>
      <c r="R350" s="2" t="s">
        <v>100</v>
      </c>
      <c r="S350" s="2" t="s">
        <v>1414</v>
      </c>
      <c r="T350" s="2" t="s">
        <v>100</v>
      </c>
      <c r="U350" s="2" t="s">
        <v>102</v>
      </c>
      <c r="V350" s="2" t="s">
        <v>344</v>
      </c>
      <c r="W350" s="2" t="s">
        <v>976</v>
      </c>
      <c r="X350" s="2" t="s">
        <v>1302</v>
      </c>
      <c r="Y350" s="2" t="s">
        <v>131</v>
      </c>
      <c r="Z350" s="4">
        <v>356</v>
      </c>
      <c r="AA350" s="4">
        <f>=ROUNDDOWN(44.5,0)</f>
      </c>
      <c r="AB350" s="5">
        <v>8</v>
      </c>
      <c r="AC350" s="2" t="s">
        <v>100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/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/>
      <c r="BJ350" s="4">
        <v>4</v>
      </c>
      <c r="BK350" s="8">
        <v>298.09</v>
      </c>
      <c r="BL350" s="2" t="s">
        <v>388</v>
      </c>
      <c r="BM350" s="7"/>
      <c r="BN350" s="7"/>
      <c r="BO350" s="4"/>
      <c r="BP350" s="8"/>
      <c r="BQ350" s="4"/>
      <c r="BR350" s="8"/>
      <c r="BS350" s="7"/>
      <c r="BT350" s="7"/>
      <c r="BU350" s="2" t="s">
        <v>109</v>
      </c>
      <c r="BV350" s="2" t="s">
        <v>97</v>
      </c>
      <c r="BW350" s="2" t="s">
        <v>137</v>
      </c>
      <c r="BX350" s="2" t="s">
        <v>590</v>
      </c>
      <c r="BY350" s="2" t="s">
        <v>112</v>
      </c>
      <c r="BZ350" s="2" t="s">
        <v>100</v>
      </c>
    </row>
    <row r="351">
      <c r="A351" s="2" t="s">
        <v>1417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1410</v>
      </c>
      <c r="G351" s="2" t="s">
        <v>1411</v>
      </c>
      <c r="H351" s="2" t="s">
        <v>1412</v>
      </c>
      <c r="I351" s="2" t="s">
        <v>754</v>
      </c>
      <c r="J351" s="2" t="s">
        <v>124</v>
      </c>
      <c r="K351" s="2" t="s">
        <v>1413</v>
      </c>
      <c r="L351" s="3">
        <v>73.6</v>
      </c>
      <c r="M351" s="3">
        <v>77.28</v>
      </c>
      <c r="N351" s="3">
        <v>159.99</v>
      </c>
      <c r="O351" s="2" t="s">
        <v>97</v>
      </c>
      <c r="P351" s="2" t="s">
        <v>98</v>
      </c>
      <c r="Q351" s="2" t="s">
        <v>99</v>
      </c>
      <c r="R351" s="2" t="s">
        <v>100</v>
      </c>
      <c r="S351" s="2" t="s">
        <v>1414</v>
      </c>
      <c r="T351" s="2" t="s">
        <v>100</v>
      </c>
      <c r="U351" s="2" t="s">
        <v>102</v>
      </c>
      <c r="V351" s="2" t="s">
        <v>344</v>
      </c>
      <c r="W351" s="2" t="s">
        <v>976</v>
      </c>
      <c r="X351" s="2" t="s">
        <v>1302</v>
      </c>
      <c r="Y351" s="2" t="s">
        <v>131</v>
      </c>
      <c r="Z351" s="4">
        <v>171</v>
      </c>
      <c r="AA351" s="4">
        <f>=ROUNDDOWN(34.2,0)</f>
      </c>
      <c r="AB351" s="5">
        <v>5</v>
      </c>
      <c r="AC351" s="2" t="s">
        <v>482</v>
      </c>
      <c r="AD351" s="4">
        <v>100</v>
      </c>
      <c r="AE351" s="4">
        <v>100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/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/>
      <c r="BJ351" s="4">
        <v>2</v>
      </c>
      <c r="BK351" s="8">
        <v>161.12</v>
      </c>
      <c r="BL351" s="2" t="s">
        <v>625</v>
      </c>
      <c r="BM351" s="7"/>
      <c r="BN351" s="7"/>
      <c r="BO351" s="4"/>
      <c r="BP351" s="8"/>
      <c r="BQ351" s="4"/>
      <c r="BR351" s="8"/>
      <c r="BS351" s="7"/>
      <c r="BT351" s="7"/>
      <c r="BU351" s="2" t="s">
        <v>109</v>
      </c>
      <c r="BV351" s="2" t="s">
        <v>97</v>
      </c>
      <c r="BW351" s="2" t="s">
        <v>137</v>
      </c>
      <c r="BX351" s="2" t="s">
        <v>1418</v>
      </c>
      <c r="BY351" s="2" t="s">
        <v>112</v>
      </c>
      <c r="BZ351" s="2" t="s">
        <v>100</v>
      </c>
    </row>
    <row r="352">
      <c r="A352" s="2" t="s">
        <v>1419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1410</v>
      </c>
      <c r="G352" s="2" t="s">
        <v>1411</v>
      </c>
      <c r="H352" s="2" t="s">
        <v>1412</v>
      </c>
      <c r="I352" s="2" t="s">
        <v>754</v>
      </c>
      <c r="J352" s="2" t="s">
        <v>95</v>
      </c>
      <c r="K352" s="2" t="s">
        <v>146</v>
      </c>
      <c r="L352" s="3">
        <v>59.8</v>
      </c>
      <c r="M352" s="3">
        <v>62.79</v>
      </c>
      <c r="N352" s="3">
        <v>129.99</v>
      </c>
      <c r="O352" s="2" t="s">
        <v>97</v>
      </c>
      <c r="P352" s="2" t="s">
        <v>98</v>
      </c>
      <c r="Q352" s="2" t="s">
        <v>99</v>
      </c>
      <c r="R352" s="2" t="s">
        <v>100</v>
      </c>
      <c r="S352" s="2" t="s">
        <v>1420</v>
      </c>
      <c r="T352" s="2" t="s">
        <v>100</v>
      </c>
      <c r="U352" s="2" t="s">
        <v>102</v>
      </c>
      <c r="V352" s="2" t="s">
        <v>344</v>
      </c>
      <c r="W352" s="2" t="s">
        <v>976</v>
      </c>
      <c r="X352" s="2" t="s">
        <v>1302</v>
      </c>
      <c r="Y352" s="2" t="s">
        <v>131</v>
      </c>
      <c r="Z352" s="4">
        <v>132</v>
      </c>
      <c r="AA352" s="4">
        <f>=ROUNDDOWN(33,0)</f>
      </c>
      <c r="AB352" s="5">
        <v>4</v>
      </c>
      <c r="AC352" s="2" t="s">
        <v>583</v>
      </c>
      <c r="AD352" s="4">
        <v>30</v>
      </c>
      <c r="AE352" s="4">
        <v>30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/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/>
      <c r="BJ352" s="4">
        <v>6</v>
      </c>
      <c r="BK352" s="8">
        <v>333.07</v>
      </c>
      <c r="BL352" s="2" t="s">
        <v>599</v>
      </c>
      <c r="BM352" s="7"/>
      <c r="BN352" s="7"/>
      <c r="BO352" s="4"/>
      <c r="BP352" s="8"/>
      <c r="BQ352" s="4"/>
      <c r="BR352" s="8"/>
      <c r="BS352" s="7"/>
      <c r="BT352" s="7"/>
      <c r="BU352" s="2" t="s">
        <v>109</v>
      </c>
      <c r="BV352" s="2" t="s">
        <v>97</v>
      </c>
      <c r="BW352" s="2" t="s">
        <v>122</v>
      </c>
      <c r="BX352" s="2" t="s">
        <v>621</v>
      </c>
      <c r="BY352" s="2" t="s">
        <v>112</v>
      </c>
      <c r="BZ352" s="2" t="s">
        <v>100</v>
      </c>
    </row>
    <row r="353">
      <c r="A353" s="2" t="s">
        <v>1421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1410</v>
      </c>
      <c r="G353" s="2" t="s">
        <v>1411</v>
      </c>
      <c r="H353" s="2" t="s">
        <v>1412</v>
      </c>
      <c r="I353" s="2" t="s">
        <v>754</v>
      </c>
      <c r="J353" s="2" t="s">
        <v>114</v>
      </c>
      <c r="K353" s="2" t="s">
        <v>146</v>
      </c>
      <c r="L353" s="3">
        <v>64.4</v>
      </c>
      <c r="M353" s="3">
        <v>67.62</v>
      </c>
      <c r="N353" s="3">
        <v>139.99</v>
      </c>
      <c r="O353" s="2" t="s">
        <v>97</v>
      </c>
      <c r="P353" s="2" t="s">
        <v>98</v>
      </c>
      <c r="Q353" s="2" t="s">
        <v>99</v>
      </c>
      <c r="R353" s="2" t="s">
        <v>100</v>
      </c>
      <c r="S353" s="2" t="s">
        <v>1420</v>
      </c>
      <c r="T353" s="2" t="s">
        <v>100</v>
      </c>
      <c r="U353" s="2" t="s">
        <v>102</v>
      </c>
      <c r="V353" s="2" t="s">
        <v>344</v>
      </c>
      <c r="W353" s="2" t="s">
        <v>976</v>
      </c>
      <c r="X353" s="2" t="s">
        <v>1302</v>
      </c>
      <c r="Y353" s="2" t="s">
        <v>131</v>
      </c>
      <c r="Z353" s="4">
        <v>183</v>
      </c>
      <c r="AA353" s="4">
        <f>=ROUNDDOWN(13.0714285714286,0)</f>
      </c>
      <c r="AB353" s="5">
        <v>14</v>
      </c>
      <c r="AC353" s="2" t="s">
        <v>583</v>
      </c>
      <c r="AD353" s="4">
        <v>80</v>
      </c>
      <c r="AE353" s="4">
        <v>370</v>
      </c>
      <c r="AF353" s="6">
        <v>65</v>
      </c>
      <c r="AG353" s="6">
        <v>48</v>
      </c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/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/>
      <c r="BJ353" s="4">
        <v>9</v>
      </c>
      <c r="BK353" s="8">
        <v>572.49</v>
      </c>
      <c r="BL353" s="2" t="s">
        <v>300</v>
      </c>
      <c r="BM353" s="7"/>
      <c r="BN353" s="7"/>
      <c r="BO353" s="4"/>
      <c r="BP353" s="8"/>
      <c r="BQ353" s="4"/>
      <c r="BR353" s="8"/>
      <c r="BS353" s="7"/>
      <c r="BT353" s="7"/>
      <c r="BU353" s="2" t="s">
        <v>109</v>
      </c>
      <c r="BV353" s="2" t="s">
        <v>97</v>
      </c>
      <c r="BW353" s="2" t="s">
        <v>137</v>
      </c>
      <c r="BX353" s="2" t="s">
        <v>118</v>
      </c>
      <c r="BY353" s="2" t="s">
        <v>112</v>
      </c>
      <c r="BZ353" s="2" t="s">
        <v>100</v>
      </c>
    </row>
    <row r="354">
      <c r="A354" s="2" t="s">
        <v>1422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1410</v>
      </c>
      <c r="G354" s="2" t="s">
        <v>1411</v>
      </c>
      <c r="H354" s="2" t="s">
        <v>1412</v>
      </c>
      <c r="I354" s="2" t="s">
        <v>754</v>
      </c>
      <c r="J354" s="2" t="s">
        <v>120</v>
      </c>
      <c r="K354" s="2" t="s">
        <v>146</v>
      </c>
      <c r="L354" s="3">
        <v>73.6</v>
      </c>
      <c r="M354" s="3">
        <v>77.28</v>
      </c>
      <c r="N354" s="3">
        <v>159.99</v>
      </c>
      <c r="O354" s="2" t="s">
        <v>97</v>
      </c>
      <c r="P354" s="2" t="s">
        <v>98</v>
      </c>
      <c r="Q354" s="2" t="s">
        <v>99</v>
      </c>
      <c r="R354" s="2" t="s">
        <v>100</v>
      </c>
      <c r="S354" s="2" t="s">
        <v>1420</v>
      </c>
      <c r="T354" s="2" t="s">
        <v>100</v>
      </c>
      <c r="U354" s="2" t="s">
        <v>102</v>
      </c>
      <c r="V354" s="2" t="s">
        <v>344</v>
      </c>
      <c r="W354" s="2" t="s">
        <v>976</v>
      </c>
      <c r="X354" s="2" t="s">
        <v>1302</v>
      </c>
      <c r="Y354" s="2" t="s">
        <v>131</v>
      </c>
      <c r="Z354" s="4">
        <v>172</v>
      </c>
      <c r="AA354" s="4">
        <f>=ROUNDDOWN(14.3333333333333,0)</f>
      </c>
      <c r="AB354" s="5">
        <v>12</v>
      </c>
      <c r="AC354" s="2" t="s">
        <v>583</v>
      </c>
      <c r="AD354" s="4">
        <v>80</v>
      </c>
      <c r="AE354" s="4">
        <v>260</v>
      </c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/>
      <c r="BJ354" s="4">
        <v>7</v>
      </c>
      <c r="BK354" s="8">
        <v>527.35</v>
      </c>
      <c r="BL354" s="2" t="s">
        <v>300</v>
      </c>
      <c r="BM354" s="7"/>
      <c r="BN354" s="7"/>
      <c r="BO354" s="4"/>
      <c r="BP354" s="8"/>
      <c r="BQ354" s="4"/>
      <c r="BR354" s="8"/>
      <c r="BS354" s="7"/>
      <c r="BT354" s="7"/>
      <c r="BU354" s="2" t="s">
        <v>109</v>
      </c>
      <c r="BV354" s="2" t="s">
        <v>97</v>
      </c>
      <c r="BW354" s="2" t="s">
        <v>137</v>
      </c>
      <c r="BX354" s="2" t="s">
        <v>1423</v>
      </c>
      <c r="BY354" s="2" t="s">
        <v>112</v>
      </c>
      <c r="BZ354" s="2" t="s">
        <v>100</v>
      </c>
    </row>
    <row r="355">
      <c r="A355" s="2" t="s">
        <v>1424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1410</v>
      </c>
      <c r="G355" s="2" t="s">
        <v>1411</v>
      </c>
      <c r="H355" s="2" t="s">
        <v>1412</v>
      </c>
      <c r="I355" s="2" t="s">
        <v>754</v>
      </c>
      <c r="J355" s="2" t="s">
        <v>124</v>
      </c>
      <c r="K355" s="2" t="s">
        <v>146</v>
      </c>
      <c r="L355" s="3">
        <v>73.6</v>
      </c>
      <c r="M355" s="3">
        <v>77.28</v>
      </c>
      <c r="N355" s="3">
        <v>159.99</v>
      </c>
      <c r="O355" s="2" t="s">
        <v>97</v>
      </c>
      <c r="P355" s="2" t="s">
        <v>98</v>
      </c>
      <c r="Q355" s="2" t="s">
        <v>99</v>
      </c>
      <c r="R355" s="2" t="s">
        <v>100</v>
      </c>
      <c r="S355" s="2" t="s">
        <v>1420</v>
      </c>
      <c r="T355" s="2" t="s">
        <v>100</v>
      </c>
      <c r="U355" s="2" t="s">
        <v>102</v>
      </c>
      <c r="V355" s="2" t="s">
        <v>344</v>
      </c>
      <c r="W355" s="2" t="s">
        <v>976</v>
      </c>
      <c r="X355" s="2" t="s">
        <v>1302</v>
      </c>
      <c r="Y355" s="2" t="s">
        <v>131</v>
      </c>
      <c r="Z355" s="4">
        <v>174</v>
      </c>
      <c r="AA355" s="4">
        <f>=ROUNDDOWN(19.3333333333333,0)</f>
      </c>
      <c r="AB355" s="5">
        <v>9</v>
      </c>
      <c r="AC355" s="2" t="s">
        <v>324</v>
      </c>
      <c r="AD355" s="4">
        <v>70</v>
      </c>
      <c r="AE355" s="4">
        <v>130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/>
      <c r="BJ355" s="4">
        <v>10</v>
      </c>
      <c r="BK355" s="8">
        <v>783.78</v>
      </c>
      <c r="BL355" s="2" t="s">
        <v>1425</v>
      </c>
      <c r="BM355" s="7"/>
      <c r="BN355" s="7"/>
      <c r="BO355" s="4"/>
      <c r="BP355" s="8"/>
      <c r="BQ355" s="4"/>
      <c r="BR355" s="8"/>
      <c r="BS355" s="7"/>
      <c r="BT355" s="7"/>
      <c r="BU355" s="2" t="s">
        <v>109</v>
      </c>
      <c r="BV355" s="2" t="s">
        <v>97</v>
      </c>
      <c r="BW355" s="2" t="s">
        <v>137</v>
      </c>
      <c r="BX355" s="2" t="s">
        <v>889</v>
      </c>
      <c r="BY355" s="2" t="s">
        <v>112</v>
      </c>
      <c r="BZ355" s="2" t="s">
        <v>100</v>
      </c>
    </row>
    <row r="356">
      <c r="A356" s="2" t="s">
        <v>1426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1427</v>
      </c>
      <c r="G356" s="2" t="s">
        <v>1428</v>
      </c>
      <c r="H356" s="2" t="s">
        <v>1429</v>
      </c>
      <c r="I356" s="2" t="s">
        <v>867</v>
      </c>
      <c r="J356" s="2" t="s">
        <v>114</v>
      </c>
      <c r="K356" s="2" t="s">
        <v>416</v>
      </c>
      <c r="L356" s="3">
        <v>75.2</v>
      </c>
      <c r="M356" s="3">
        <v>78.96</v>
      </c>
      <c r="N356" s="3">
        <v>159.99</v>
      </c>
      <c r="O356" s="2" t="s">
        <v>97</v>
      </c>
      <c r="P356" s="2" t="s">
        <v>447</v>
      </c>
      <c r="Q356" s="2" t="s">
        <v>99</v>
      </c>
      <c r="R356" s="2" t="s">
        <v>100</v>
      </c>
      <c r="S356" s="2" t="s">
        <v>1430</v>
      </c>
      <c r="T356" s="2" t="s">
        <v>359</v>
      </c>
      <c r="U356" s="2" t="s">
        <v>102</v>
      </c>
      <c r="V356" s="2" t="s">
        <v>677</v>
      </c>
      <c r="W356" s="2" t="s">
        <v>646</v>
      </c>
      <c r="X356" s="2" t="s">
        <v>450</v>
      </c>
      <c r="Y356" s="2" t="s">
        <v>1431</v>
      </c>
      <c r="Z356" s="4">
        <v>70</v>
      </c>
      <c r="AA356" s="4">
        <f>=ROUNDDOWN(7.77777777777778,0)</f>
      </c>
      <c r="AB356" s="5">
        <v>9</v>
      </c>
      <c r="AC356" s="2" t="s">
        <v>100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>
        <v>4</v>
      </c>
      <c r="BK356" s="8">
        <v>296.75</v>
      </c>
      <c r="BL356" s="2" t="s">
        <v>1432</v>
      </c>
      <c r="BM356" s="7"/>
      <c r="BN356" s="7"/>
      <c r="BO356" s="4"/>
      <c r="BP356" s="8"/>
      <c r="BQ356" s="4"/>
      <c r="BR356" s="8"/>
      <c r="BS356" s="7"/>
      <c r="BT356" s="7"/>
      <c r="BU356" s="2" t="s">
        <v>109</v>
      </c>
      <c r="BV356" s="2" t="s">
        <v>97</v>
      </c>
      <c r="BW356" s="2" t="s">
        <v>326</v>
      </c>
      <c r="BX356" s="2" t="s">
        <v>1433</v>
      </c>
      <c r="BY356" s="2" t="s">
        <v>112</v>
      </c>
      <c r="BZ356" s="2" t="s">
        <v>100</v>
      </c>
    </row>
    <row r="357">
      <c r="A357" s="2" t="s">
        <v>1434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1435</v>
      </c>
      <c r="G357" s="2" t="s">
        <v>1436</v>
      </c>
      <c r="H357" s="2" t="s">
        <v>1201</v>
      </c>
      <c r="I357" s="2" t="s">
        <v>1437</v>
      </c>
      <c r="J357" s="2" t="s">
        <v>785</v>
      </c>
      <c r="K357" s="2" t="s">
        <v>1438</v>
      </c>
      <c r="L357" s="3">
        <v>38.09</v>
      </c>
      <c r="M357" s="3">
        <v>39.99</v>
      </c>
      <c r="N357" s="3">
        <v>79.99</v>
      </c>
      <c r="O357" s="2" t="s">
        <v>97</v>
      </c>
      <c r="P357" s="2" t="s">
        <v>1216</v>
      </c>
      <c r="Q357" s="2" t="s">
        <v>99</v>
      </c>
      <c r="R357" s="2" t="s">
        <v>100</v>
      </c>
      <c r="S357" s="2" t="s">
        <v>1439</v>
      </c>
      <c r="T357" s="2" t="s">
        <v>787</v>
      </c>
      <c r="U357" s="2" t="s">
        <v>644</v>
      </c>
      <c r="V357" s="2" t="s">
        <v>734</v>
      </c>
      <c r="W357" s="2" t="s">
        <v>1440</v>
      </c>
      <c r="X357" s="2" t="s">
        <v>976</v>
      </c>
      <c r="Y357" s="2" t="s">
        <v>1441</v>
      </c>
      <c r="Z357" s="4"/>
      <c r="AA357" s="4">
        <f>=ROUNDDOWN({0},0)</f>
      </c>
      <c r="AB357" s="5">
        <v>17</v>
      </c>
      <c r="AC357" s="2" t="s">
        <v>482</v>
      </c>
      <c r="AD357" s="4">
        <v>175</v>
      </c>
      <c r="AE357" s="4">
        <v>350</v>
      </c>
      <c r="AF357" s="6">
        <v>64</v>
      </c>
      <c r="AG357" s="6"/>
      <c r="AH357" s="7">
        <v>0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/>
      <c r="BJ357" s="4"/>
      <c r="BK357" s="8"/>
      <c r="BL357" s="2" t="s">
        <v>100</v>
      </c>
      <c r="BM357" s="7"/>
      <c r="BN357" s="7"/>
      <c r="BO357" s="4"/>
      <c r="BP357" s="8"/>
      <c r="BQ357" s="4"/>
      <c r="BR357" s="8"/>
      <c r="BS357" s="7"/>
      <c r="BT357" s="7"/>
      <c r="BU357" s="2" t="s">
        <v>1338</v>
      </c>
      <c r="BV357" s="2" t="s">
        <v>97</v>
      </c>
      <c r="BW357" s="2" t="s">
        <v>100</v>
      </c>
      <c r="BX357" s="2" t="s">
        <v>100</v>
      </c>
      <c r="BY357" s="2" t="s">
        <v>112</v>
      </c>
      <c r="BZ357" s="2" t="s">
        <v>100</v>
      </c>
    </row>
    <row r="358">
      <c r="A358" s="2" t="s">
        <v>1442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1435</v>
      </c>
      <c r="G358" s="2" t="s">
        <v>1436</v>
      </c>
      <c r="H358" s="2" t="s">
        <v>1201</v>
      </c>
      <c r="I358" s="2" t="s">
        <v>1437</v>
      </c>
      <c r="J358" s="2" t="s">
        <v>795</v>
      </c>
      <c r="K358" s="2" t="s">
        <v>1438</v>
      </c>
      <c r="L358" s="3">
        <v>41.14</v>
      </c>
      <c r="M358" s="3">
        <v>43.2</v>
      </c>
      <c r="N358" s="3">
        <v>89.99</v>
      </c>
      <c r="O358" s="2" t="s">
        <v>97</v>
      </c>
      <c r="P358" s="2" t="s">
        <v>1216</v>
      </c>
      <c r="Q358" s="2" t="s">
        <v>99</v>
      </c>
      <c r="R358" s="2" t="s">
        <v>100</v>
      </c>
      <c r="S358" s="2" t="s">
        <v>1439</v>
      </c>
      <c r="T358" s="2" t="s">
        <v>787</v>
      </c>
      <c r="U358" s="2" t="s">
        <v>644</v>
      </c>
      <c r="V358" s="2" t="s">
        <v>734</v>
      </c>
      <c r="W358" s="2" t="s">
        <v>1440</v>
      </c>
      <c r="X358" s="2" t="s">
        <v>976</v>
      </c>
      <c r="Y358" s="2" t="s">
        <v>1441</v>
      </c>
      <c r="Z358" s="4"/>
      <c r="AA358" s="4">
        <f>=ROUNDDOWN({0},0)</f>
      </c>
      <c r="AB358" s="5">
        <v>14</v>
      </c>
      <c r="AC358" s="2" t="s">
        <v>482</v>
      </c>
      <c r="AD358" s="4">
        <v>195</v>
      </c>
      <c r="AE358" s="4">
        <v>390</v>
      </c>
      <c r="AF358" s="6">
        <v>64</v>
      </c>
      <c r="AG358" s="6"/>
      <c r="AH358" s="7">
        <v>0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/>
      <c r="BJ358" s="4"/>
      <c r="BK358" s="8"/>
      <c r="BL358" s="2" t="s">
        <v>100</v>
      </c>
      <c r="BM358" s="7"/>
      <c r="BN358" s="7"/>
      <c r="BO358" s="4"/>
      <c r="BP358" s="8"/>
      <c r="BQ358" s="4"/>
      <c r="BR358" s="8"/>
      <c r="BS358" s="7"/>
      <c r="BT358" s="7"/>
      <c r="BU358" s="2" t="s">
        <v>1338</v>
      </c>
      <c r="BV358" s="2" t="s">
        <v>97</v>
      </c>
      <c r="BW358" s="2" t="s">
        <v>100</v>
      </c>
      <c r="BX358" s="2" t="s">
        <v>100</v>
      </c>
      <c r="BY358" s="2" t="s">
        <v>112</v>
      </c>
      <c r="BZ358" s="2" t="s">
        <v>100</v>
      </c>
    </row>
    <row r="359">
      <c r="A359" s="2" t="s">
        <v>1443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1435</v>
      </c>
      <c r="G359" s="2" t="s">
        <v>1436</v>
      </c>
      <c r="H359" s="2" t="s">
        <v>1201</v>
      </c>
      <c r="I359" s="2" t="s">
        <v>1437</v>
      </c>
      <c r="J359" s="2" t="s">
        <v>785</v>
      </c>
      <c r="K359" s="2" t="s">
        <v>1444</v>
      </c>
      <c r="L359" s="3">
        <v>38.09</v>
      </c>
      <c r="M359" s="3">
        <v>39.99</v>
      </c>
      <c r="N359" s="3">
        <v>79.99</v>
      </c>
      <c r="O359" s="2" t="s">
        <v>97</v>
      </c>
      <c r="P359" s="2" t="s">
        <v>242</v>
      </c>
      <c r="Q359" s="2" t="s">
        <v>99</v>
      </c>
      <c r="R359" s="2" t="s">
        <v>100</v>
      </c>
      <c r="S359" s="2" t="s">
        <v>1445</v>
      </c>
      <c r="T359" s="2" t="s">
        <v>787</v>
      </c>
      <c r="U359" s="2" t="s">
        <v>644</v>
      </c>
      <c r="V359" s="2" t="s">
        <v>734</v>
      </c>
      <c r="W359" s="2" t="s">
        <v>1440</v>
      </c>
      <c r="X359" s="2" t="s">
        <v>976</v>
      </c>
      <c r="Y359" s="2" t="s">
        <v>1446</v>
      </c>
      <c r="Z359" s="4">
        <v>659</v>
      </c>
      <c r="AA359" s="4">
        <f>=ROUNDDOWN(19.969696969697,0)</f>
      </c>
      <c r="AB359" s="5">
        <v>33</v>
      </c>
      <c r="AC359" s="2" t="s">
        <v>429</v>
      </c>
      <c r="AD359" s="4">
        <v>240</v>
      </c>
      <c r="AE359" s="4">
        <v>630</v>
      </c>
      <c r="AF359" s="6">
        <v>64</v>
      </c>
      <c r="AG359" s="6"/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/>
      <c r="BJ359" s="4">
        <v>30</v>
      </c>
      <c r="BK359" s="8">
        <v>1106.71</v>
      </c>
      <c r="BL359" s="2" t="s">
        <v>1447</v>
      </c>
      <c r="BM359" s="7"/>
      <c r="BN359" s="7"/>
      <c r="BO359" s="4"/>
      <c r="BP359" s="8"/>
      <c r="BQ359" s="4"/>
      <c r="BR359" s="8"/>
      <c r="BS359" s="7"/>
      <c r="BT359" s="7"/>
      <c r="BU359" s="2" t="s">
        <v>109</v>
      </c>
      <c r="BV359" s="2" t="s">
        <v>97</v>
      </c>
      <c r="BW359" s="2" t="s">
        <v>1191</v>
      </c>
      <c r="BX359" s="2" t="s">
        <v>100</v>
      </c>
      <c r="BY359" s="2" t="s">
        <v>112</v>
      </c>
      <c r="BZ359" s="2" t="s">
        <v>100</v>
      </c>
    </row>
    <row r="360">
      <c r="A360" s="2" t="s">
        <v>1448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1435</v>
      </c>
      <c r="G360" s="2" t="s">
        <v>1436</v>
      </c>
      <c r="H360" s="2" t="s">
        <v>1201</v>
      </c>
      <c r="I360" s="2" t="s">
        <v>1437</v>
      </c>
      <c r="J360" s="2" t="s">
        <v>795</v>
      </c>
      <c r="K360" s="2" t="s">
        <v>1444</v>
      </c>
      <c r="L360" s="3">
        <v>41.14</v>
      </c>
      <c r="M360" s="3">
        <v>43.2</v>
      </c>
      <c r="N360" s="3">
        <v>89.99</v>
      </c>
      <c r="O360" s="2" t="s">
        <v>97</v>
      </c>
      <c r="P360" s="2" t="s">
        <v>242</v>
      </c>
      <c r="Q360" s="2" t="s">
        <v>99</v>
      </c>
      <c r="R360" s="2" t="s">
        <v>100</v>
      </c>
      <c r="S360" s="2" t="s">
        <v>1445</v>
      </c>
      <c r="T360" s="2" t="s">
        <v>787</v>
      </c>
      <c r="U360" s="2" t="s">
        <v>644</v>
      </c>
      <c r="V360" s="2" t="s">
        <v>734</v>
      </c>
      <c r="W360" s="2" t="s">
        <v>1440</v>
      </c>
      <c r="X360" s="2" t="s">
        <v>976</v>
      </c>
      <c r="Y360" s="2" t="s">
        <v>1446</v>
      </c>
      <c r="Z360" s="4">
        <v>355</v>
      </c>
      <c r="AA360" s="4">
        <f>=ROUNDDOWN(12.6785714285714,0)</f>
      </c>
      <c r="AB360" s="5">
        <v>28</v>
      </c>
      <c r="AC360" s="2" t="s">
        <v>1449</v>
      </c>
      <c r="AD360" s="4">
        <v>360</v>
      </c>
      <c r="AE360" s="4">
        <v>680</v>
      </c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/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/>
      <c r="BJ360" s="4">
        <v>17</v>
      </c>
      <c r="BK360" s="8">
        <v>737.32</v>
      </c>
      <c r="BL360" s="2" t="s">
        <v>1450</v>
      </c>
      <c r="BM360" s="7"/>
      <c r="BN360" s="7"/>
      <c r="BO360" s="4"/>
      <c r="BP360" s="8"/>
      <c r="BQ360" s="4"/>
      <c r="BR360" s="8"/>
      <c r="BS360" s="7"/>
      <c r="BT360" s="7"/>
      <c r="BU360" s="2" t="s">
        <v>109</v>
      </c>
      <c r="BV360" s="2" t="s">
        <v>97</v>
      </c>
      <c r="BW360" s="2" t="s">
        <v>1132</v>
      </c>
      <c r="BX360" s="2" t="s">
        <v>1451</v>
      </c>
      <c r="BY360" s="2" t="s">
        <v>112</v>
      </c>
      <c r="BZ360" s="2" t="s">
        <v>100</v>
      </c>
    </row>
    <row r="361">
      <c r="A361" s="2" t="s">
        <v>1452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1453</v>
      </c>
      <c r="G361" s="2" t="s">
        <v>1454</v>
      </c>
      <c r="H361" s="2" t="s">
        <v>1455</v>
      </c>
      <c r="I361" s="2" t="s">
        <v>1456</v>
      </c>
      <c r="J361" s="2" t="s">
        <v>785</v>
      </c>
      <c r="K361" s="2" t="s">
        <v>1457</v>
      </c>
      <c r="L361" s="3">
        <v>47.61</v>
      </c>
      <c r="M361" s="3">
        <v>49.99</v>
      </c>
      <c r="N361" s="3">
        <v>99.99</v>
      </c>
      <c r="O361" s="2" t="s">
        <v>97</v>
      </c>
      <c r="P361" s="2" t="s">
        <v>1216</v>
      </c>
      <c r="Q361" s="2" t="s">
        <v>99</v>
      </c>
      <c r="R361" s="2" t="s">
        <v>100</v>
      </c>
      <c r="S361" s="2" t="s">
        <v>1458</v>
      </c>
      <c r="T361" s="2" t="s">
        <v>100</v>
      </c>
      <c r="U361" s="2" t="s">
        <v>1459</v>
      </c>
      <c r="V361" s="2" t="s">
        <v>677</v>
      </c>
      <c r="W361" s="2" t="s">
        <v>345</v>
      </c>
      <c r="X361" s="2" t="s">
        <v>788</v>
      </c>
      <c r="Y361" s="2" t="s">
        <v>1460</v>
      </c>
      <c r="Z361" s="4">
        <v>177</v>
      </c>
      <c r="AA361" s="4">
        <f>=ROUNDDOWN(29.5,0)</f>
      </c>
      <c r="AB361" s="5">
        <v>6</v>
      </c>
      <c r="AC361" s="2" t="s">
        <v>100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/>
      <c r="BJ361" s="4">
        <v>6</v>
      </c>
      <c r="BK361" s="8">
        <v>312.71</v>
      </c>
      <c r="BL361" s="2" t="s">
        <v>1461</v>
      </c>
      <c r="BM361" s="7"/>
      <c r="BN361" s="7"/>
      <c r="BO361" s="4"/>
      <c r="BP361" s="8"/>
      <c r="BQ361" s="4"/>
      <c r="BR361" s="8"/>
      <c r="BS361" s="7"/>
      <c r="BT361" s="7"/>
      <c r="BU361" s="2" t="s">
        <v>109</v>
      </c>
      <c r="BV361" s="2" t="s">
        <v>97</v>
      </c>
      <c r="BW361" s="2" t="s">
        <v>1132</v>
      </c>
      <c r="BX361" s="2" t="s">
        <v>1462</v>
      </c>
      <c r="BY361" s="2" t="s">
        <v>112</v>
      </c>
      <c r="BZ361" s="2" t="s">
        <v>100</v>
      </c>
    </row>
    <row r="362">
      <c r="A362" s="2" t="s">
        <v>1463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1453</v>
      </c>
      <c r="G362" s="2" t="s">
        <v>1454</v>
      </c>
      <c r="H362" s="2" t="s">
        <v>1455</v>
      </c>
      <c r="I362" s="2" t="s">
        <v>1456</v>
      </c>
      <c r="J362" s="2" t="s">
        <v>795</v>
      </c>
      <c r="K362" s="2" t="s">
        <v>1457</v>
      </c>
      <c r="L362" s="3">
        <v>52.38</v>
      </c>
      <c r="M362" s="3">
        <v>55</v>
      </c>
      <c r="N362" s="3">
        <v>109.99</v>
      </c>
      <c r="O362" s="2" t="s">
        <v>97</v>
      </c>
      <c r="P362" s="2" t="s">
        <v>1216</v>
      </c>
      <c r="Q362" s="2" t="s">
        <v>99</v>
      </c>
      <c r="R362" s="2" t="s">
        <v>100</v>
      </c>
      <c r="S362" s="2" t="s">
        <v>1458</v>
      </c>
      <c r="T362" s="2" t="s">
        <v>100</v>
      </c>
      <c r="U362" s="2" t="s">
        <v>1459</v>
      </c>
      <c r="V362" s="2" t="s">
        <v>677</v>
      </c>
      <c r="W362" s="2" t="s">
        <v>345</v>
      </c>
      <c r="X362" s="2" t="s">
        <v>788</v>
      </c>
      <c r="Y362" s="2" t="s">
        <v>1460</v>
      </c>
      <c r="Z362" s="4">
        <v>127</v>
      </c>
      <c r="AA362" s="4">
        <f>=ROUNDDOWN(25.4,0)</f>
      </c>
      <c r="AB362" s="5">
        <v>5</v>
      </c>
      <c r="AC362" s="2" t="s">
        <v>100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/>
      <c r="BJ362" s="4">
        <v>6</v>
      </c>
      <c r="BK362" s="8">
        <v>346.47</v>
      </c>
      <c r="BL362" s="2" t="s">
        <v>1461</v>
      </c>
      <c r="BM362" s="7"/>
      <c r="BN362" s="7"/>
      <c r="BO362" s="4"/>
      <c r="BP362" s="8"/>
      <c r="BQ362" s="4"/>
      <c r="BR362" s="8"/>
      <c r="BS362" s="7"/>
      <c r="BT362" s="7"/>
      <c r="BU362" s="2" t="s">
        <v>109</v>
      </c>
      <c r="BV362" s="2" t="s">
        <v>97</v>
      </c>
      <c r="BW362" s="2" t="s">
        <v>1132</v>
      </c>
      <c r="BX362" s="2" t="s">
        <v>1464</v>
      </c>
      <c r="BY362" s="2" t="s">
        <v>112</v>
      </c>
      <c r="BZ362" s="2" t="s">
        <v>100</v>
      </c>
    </row>
    <row r="363">
      <c r="A363" s="2" t="s">
        <v>1465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1466</v>
      </c>
      <c r="G363" s="2" t="s">
        <v>1467</v>
      </c>
      <c r="H363" s="2" t="s">
        <v>1468</v>
      </c>
      <c r="I363" s="2" t="s">
        <v>1469</v>
      </c>
      <c r="J363" s="2" t="s">
        <v>785</v>
      </c>
      <c r="K363" s="2" t="s">
        <v>1470</v>
      </c>
      <c r="L363" s="3">
        <v>36.57</v>
      </c>
      <c r="M363" s="3">
        <v>38.4</v>
      </c>
      <c r="N363" s="3">
        <v>79.99</v>
      </c>
      <c r="O363" s="2" t="s">
        <v>97</v>
      </c>
      <c r="P363" s="2" t="s">
        <v>98</v>
      </c>
      <c r="Q363" s="2" t="s">
        <v>99</v>
      </c>
      <c r="R363" s="2" t="s">
        <v>100</v>
      </c>
      <c r="S363" s="2" t="s">
        <v>1471</v>
      </c>
      <c r="T363" s="2" t="s">
        <v>787</v>
      </c>
      <c r="U363" s="2" t="s">
        <v>1459</v>
      </c>
      <c r="V363" s="2" t="s">
        <v>734</v>
      </c>
      <c r="W363" s="2" t="s">
        <v>1405</v>
      </c>
      <c r="X363" s="2" t="s">
        <v>1064</v>
      </c>
      <c r="Y363" s="2" t="s">
        <v>1191</v>
      </c>
      <c r="Z363" s="4">
        <v>180</v>
      </c>
      <c r="AA363" s="4">
        <f>=ROUNDDOWN(15,0)</f>
      </c>
      <c r="AB363" s="5">
        <v>12</v>
      </c>
      <c r="AC363" s="2" t="s">
        <v>1472</v>
      </c>
      <c r="AD363" s="4">
        <v>340</v>
      </c>
      <c r="AE363" s="4">
        <v>340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/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/>
      <c r="BJ363" s="4">
        <v>5</v>
      </c>
      <c r="BK363" s="8">
        <v>207.94</v>
      </c>
      <c r="BL363" s="2" t="s">
        <v>1473</v>
      </c>
      <c r="BM363" s="7"/>
      <c r="BN363" s="7"/>
      <c r="BO363" s="4"/>
      <c r="BP363" s="8"/>
      <c r="BQ363" s="4"/>
      <c r="BR363" s="8"/>
      <c r="BS363" s="7"/>
      <c r="BT363" s="7"/>
      <c r="BU363" s="2" t="s">
        <v>109</v>
      </c>
      <c r="BV363" s="2" t="s">
        <v>97</v>
      </c>
      <c r="BW363" s="2" t="s">
        <v>1474</v>
      </c>
      <c r="BX363" s="2" t="s">
        <v>1198</v>
      </c>
      <c r="BY363" s="2" t="s">
        <v>112</v>
      </c>
      <c r="BZ363" s="2" t="s">
        <v>100</v>
      </c>
    </row>
    <row r="364">
      <c r="A364" s="2" t="s">
        <v>1475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1466</v>
      </c>
      <c r="G364" s="2" t="s">
        <v>1467</v>
      </c>
      <c r="H364" s="2" t="s">
        <v>1468</v>
      </c>
      <c r="I364" s="2" t="s">
        <v>1469</v>
      </c>
      <c r="J364" s="2" t="s">
        <v>795</v>
      </c>
      <c r="K364" s="2" t="s">
        <v>1470</v>
      </c>
      <c r="L364" s="3">
        <v>41.14</v>
      </c>
      <c r="M364" s="3">
        <v>43.2</v>
      </c>
      <c r="N364" s="3">
        <v>89.99</v>
      </c>
      <c r="O364" s="2" t="s">
        <v>97</v>
      </c>
      <c r="P364" s="2" t="s">
        <v>98</v>
      </c>
      <c r="Q364" s="2" t="s">
        <v>99</v>
      </c>
      <c r="R364" s="2" t="s">
        <v>100</v>
      </c>
      <c r="S364" s="2" t="s">
        <v>1471</v>
      </c>
      <c r="T364" s="2" t="s">
        <v>787</v>
      </c>
      <c r="U364" s="2" t="s">
        <v>1459</v>
      </c>
      <c r="V364" s="2" t="s">
        <v>734</v>
      </c>
      <c r="W364" s="2" t="s">
        <v>1405</v>
      </c>
      <c r="X364" s="2" t="s">
        <v>1064</v>
      </c>
      <c r="Y364" s="2" t="s">
        <v>1474</v>
      </c>
      <c r="Z364" s="4">
        <v>176</v>
      </c>
      <c r="AA364" s="4">
        <f>=ROUNDDOWN(16,0)</f>
      </c>
      <c r="AB364" s="5">
        <v>11</v>
      </c>
      <c r="AC364" s="2" t="s">
        <v>1472</v>
      </c>
      <c r="AD364" s="4">
        <v>310</v>
      </c>
      <c r="AE364" s="4">
        <v>310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/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/>
      <c r="BJ364" s="4">
        <v>6</v>
      </c>
      <c r="BK364" s="8">
        <v>256.83</v>
      </c>
      <c r="BL364" s="2" t="s">
        <v>388</v>
      </c>
      <c r="BM364" s="7"/>
      <c r="BN364" s="7"/>
      <c r="BO364" s="4"/>
      <c r="BP364" s="8"/>
      <c r="BQ364" s="4"/>
      <c r="BR364" s="8"/>
      <c r="BS364" s="7"/>
      <c r="BT364" s="7"/>
      <c r="BU364" s="2" t="s">
        <v>109</v>
      </c>
      <c r="BV364" s="2" t="s">
        <v>97</v>
      </c>
      <c r="BW364" s="2" t="s">
        <v>807</v>
      </c>
      <c r="BX364" s="2" t="s">
        <v>1476</v>
      </c>
      <c r="BY364" s="2" t="s">
        <v>112</v>
      </c>
      <c r="BZ364" s="2" t="s">
        <v>100</v>
      </c>
    </row>
    <row r="365">
      <c r="A365" s="2" t="s">
        <v>1477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1478</v>
      </c>
      <c r="G365" s="2" t="s">
        <v>1479</v>
      </c>
      <c r="H365" s="2" t="s">
        <v>1480</v>
      </c>
      <c r="I365" s="2" t="s">
        <v>1481</v>
      </c>
      <c r="J365" s="2" t="s">
        <v>114</v>
      </c>
      <c r="K365" s="2" t="s">
        <v>253</v>
      </c>
      <c r="L365" s="3">
        <v>74.45</v>
      </c>
      <c r="M365" s="3">
        <v>78.17</v>
      </c>
      <c r="N365" s="3">
        <v>154.99</v>
      </c>
      <c r="O365" s="2" t="s">
        <v>97</v>
      </c>
      <c r="P365" s="2" t="s">
        <v>242</v>
      </c>
      <c r="Q365" s="2" t="s">
        <v>99</v>
      </c>
      <c r="R365" s="2" t="s">
        <v>100</v>
      </c>
      <c r="S365" s="2" t="s">
        <v>1482</v>
      </c>
      <c r="T365" s="2" t="s">
        <v>100</v>
      </c>
      <c r="U365" s="2" t="s">
        <v>283</v>
      </c>
      <c r="V365" s="2" t="s">
        <v>677</v>
      </c>
      <c r="W365" s="2" t="s">
        <v>1064</v>
      </c>
      <c r="X365" s="2" t="s">
        <v>1483</v>
      </c>
      <c r="Y365" s="2" t="s">
        <v>1484</v>
      </c>
      <c r="Z365" s="4">
        <v>825</v>
      </c>
      <c r="AA365" s="4">
        <f>=ROUNDDOWN(29.4642857142857,0)</f>
      </c>
      <c r="AB365" s="5">
        <v>28</v>
      </c>
      <c r="AC365" s="2" t="s">
        <v>132</v>
      </c>
      <c r="AD365" s="4">
        <v>50</v>
      </c>
      <c r="AE365" s="4">
        <v>380</v>
      </c>
      <c r="AF365" s="6">
        <v>65</v>
      </c>
      <c r="AG365" s="6">
        <v>73</v>
      </c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/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/>
      <c r="BJ365" s="4">
        <v>16</v>
      </c>
      <c r="BK365" s="8">
        <v>1355.42</v>
      </c>
      <c r="BL365" s="2" t="s">
        <v>1485</v>
      </c>
      <c r="BM365" s="7"/>
      <c r="BN365" s="7"/>
      <c r="BO365" s="4"/>
      <c r="BP365" s="8"/>
      <c r="BQ365" s="4"/>
      <c r="BR365" s="8"/>
      <c r="BS365" s="7"/>
      <c r="BT365" s="7"/>
      <c r="BU365" s="2" t="s">
        <v>109</v>
      </c>
      <c r="BV365" s="2" t="s">
        <v>97</v>
      </c>
      <c r="BW365" s="2" t="s">
        <v>122</v>
      </c>
      <c r="BX365" s="2" t="s">
        <v>621</v>
      </c>
      <c r="BY365" s="2" t="s">
        <v>112</v>
      </c>
      <c r="BZ365" s="2" t="s">
        <v>100</v>
      </c>
    </row>
    <row r="366">
      <c r="A366" s="2" t="s">
        <v>1486</v>
      </c>
      <c r="B366" s="2" t="s">
        <v>87</v>
      </c>
      <c r="C366" s="2" t="s">
        <v>88</v>
      </c>
      <c r="D366" s="2" t="s">
        <v>89</v>
      </c>
      <c r="E366" s="2" t="s">
        <v>90</v>
      </c>
      <c r="F366" s="2" t="s">
        <v>1478</v>
      </c>
      <c r="G366" s="2" t="s">
        <v>1479</v>
      </c>
      <c r="H366" s="2" t="s">
        <v>1480</v>
      </c>
      <c r="I366" s="2" t="s">
        <v>1481</v>
      </c>
      <c r="J366" s="2" t="s">
        <v>120</v>
      </c>
      <c r="K366" s="2" t="s">
        <v>253</v>
      </c>
      <c r="L366" s="3">
        <v>83.74</v>
      </c>
      <c r="M366" s="3">
        <v>87.93</v>
      </c>
      <c r="N366" s="3">
        <v>174.99</v>
      </c>
      <c r="O366" s="2" t="s">
        <v>97</v>
      </c>
      <c r="P366" s="2" t="s">
        <v>242</v>
      </c>
      <c r="Q366" s="2" t="s">
        <v>99</v>
      </c>
      <c r="R366" s="2" t="s">
        <v>100</v>
      </c>
      <c r="S366" s="2" t="s">
        <v>1482</v>
      </c>
      <c r="T366" s="2" t="s">
        <v>100</v>
      </c>
      <c r="U366" s="2" t="s">
        <v>283</v>
      </c>
      <c r="V366" s="2" t="s">
        <v>677</v>
      </c>
      <c r="W366" s="2" t="s">
        <v>1064</v>
      </c>
      <c r="X366" s="2" t="s">
        <v>1483</v>
      </c>
      <c r="Y366" s="2" t="s">
        <v>1484</v>
      </c>
      <c r="Z366" s="4">
        <v>923</v>
      </c>
      <c r="AA366" s="4">
        <f>=ROUNDDOWN(28.84375,0)</f>
      </c>
      <c r="AB366" s="5">
        <v>32</v>
      </c>
      <c r="AC366" s="2" t="s">
        <v>1487</v>
      </c>
      <c r="AD366" s="4">
        <v>240</v>
      </c>
      <c r="AE366" s="4">
        <v>240</v>
      </c>
      <c r="AF366" s="6">
        <v>65</v>
      </c>
      <c r="AG366" s="6">
        <v>73</v>
      </c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/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/>
      <c r="BJ366" s="4">
        <v>33</v>
      </c>
      <c r="BK366" s="8">
        <v>3177.59</v>
      </c>
      <c r="BL366" s="2" t="s">
        <v>1488</v>
      </c>
      <c r="BM366" s="7"/>
      <c r="BN366" s="7"/>
      <c r="BO366" s="4"/>
      <c r="BP366" s="8"/>
      <c r="BQ366" s="4"/>
      <c r="BR366" s="8"/>
      <c r="BS366" s="7"/>
      <c r="BT366" s="7"/>
      <c r="BU366" s="2" t="s">
        <v>109</v>
      </c>
      <c r="BV366" s="2" t="s">
        <v>97</v>
      </c>
      <c r="BW366" s="2" t="s">
        <v>122</v>
      </c>
      <c r="BX366" s="2" t="s">
        <v>621</v>
      </c>
      <c r="BY366" s="2" t="s">
        <v>112</v>
      </c>
      <c r="BZ366" s="2" t="s">
        <v>100</v>
      </c>
    </row>
    <row r="367">
      <c r="A367" s="2" t="s">
        <v>1489</v>
      </c>
      <c r="B367" s="2" t="s">
        <v>87</v>
      </c>
      <c r="C367" s="2" t="s">
        <v>88</v>
      </c>
      <c r="D367" s="2" t="s">
        <v>89</v>
      </c>
      <c r="E367" s="2" t="s">
        <v>90</v>
      </c>
      <c r="F367" s="2" t="s">
        <v>1478</v>
      </c>
      <c r="G367" s="2" t="s">
        <v>1479</v>
      </c>
      <c r="H367" s="2" t="s">
        <v>1480</v>
      </c>
      <c r="I367" s="2" t="s">
        <v>1481</v>
      </c>
      <c r="J367" s="2" t="s">
        <v>124</v>
      </c>
      <c r="K367" s="2" t="s">
        <v>253</v>
      </c>
      <c r="L367" s="3">
        <v>83.74</v>
      </c>
      <c r="M367" s="3">
        <v>87.93</v>
      </c>
      <c r="N367" s="3">
        <v>174.99</v>
      </c>
      <c r="O367" s="2" t="s">
        <v>97</v>
      </c>
      <c r="P367" s="2" t="s">
        <v>242</v>
      </c>
      <c r="Q367" s="2" t="s">
        <v>99</v>
      </c>
      <c r="R367" s="2" t="s">
        <v>100</v>
      </c>
      <c r="S367" s="2" t="s">
        <v>1482</v>
      </c>
      <c r="T367" s="2" t="s">
        <v>100</v>
      </c>
      <c r="U367" s="2" t="s">
        <v>283</v>
      </c>
      <c r="V367" s="2" t="s">
        <v>677</v>
      </c>
      <c r="W367" s="2" t="s">
        <v>1064</v>
      </c>
      <c r="X367" s="2" t="s">
        <v>1483</v>
      </c>
      <c r="Y367" s="2" t="s">
        <v>1484</v>
      </c>
      <c r="Z367" s="4">
        <v>352</v>
      </c>
      <c r="AA367" s="4">
        <f>=ROUNDDOWN(25.1428571428571,0)</f>
      </c>
      <c r="AB367" s="5">
        <v>14</v>
      </c>
      <c r="AC367" s="2" t="s">
        <v>132</v>
      </c>
      <c r="AD367" s="4">
        <v>30</v>
      </c>
      <c r="AE367" s="4">
        <v>340</v>
      </c>
      <c r="AF367" s="6">
        <v>65</v>
      </c>
      <c r="AG367" s="6">
        <v>73</v>
      </c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/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/>
      <c r="BJ367" s="4">
        <v>3</v>
      </c>
      <c r="BK367" s="8">
        <v>289.08</v>
      </c>
      <c r="BL367" s="2" t="s">
        <v>1490</v>
      </c>
      <c r="BM367" s="7"/>
      <c r="BN367" s="7"/>
      <c r="BO367" s="4"/>
      <c r="BP367" s="8"/>
      <c r="BQ367" s="4"/>
      <c r="BR367" s="8"/>
      <c r="BS367" s="7"/>
      <c r="BT367" s="7"/>
      <c r="BU367" s="2" t="s">
        <v>109</v>
      </c>
      <c r="BV367" s="2" t="s">
        <v>97</v>
      </c>
      <c r="BW367" s="2" t="s">
        <v>122</v>
      </c>
      <c r="BX367" s="2" t="s">
        <v>1491</v>
      </c>
      <c r="BY367" s="2" t="s">
        <v>112</v>
      </c>
      <c r="BZ367" s="2" t="s">
        <v>100</v>
      </c>
    </row>
    <row r="368">
      <c r="A368" s="2" t="s">
        <v>1492</v>
      </c>
      <c r="B368" s="2" t="s">
        <v>87</v>
      </c>
      <c r="C368" s="2" t="s">
        <v>88</v>
      </c>
      <c r="D368" s="2" t="s">
        <v>89</v>
      </c>
      <c r="E368" s="2" t="s">
        <v>90</v>
      </c>
      <c r="F368" s="2" t="s">
        <v>1478</v>
      </c>
      <c r="G368" s="2" t="s">
        <v>1479</v>
      </c>
      <c r="H368" s="2" t="s">
        <v>1480</v>
      </c>
      <c r="I368" s="2" t="s">
        <v>1481</v>
      </c>
      <c r="J368" s="2" t="s">
        <v>114</v>
      </c>
      <c r="K368" s="2" t="s">
        <v>357</v>
      </c>
      <c r="L368" s="3">
        <v>74.45</v>
      </c>
      <c r="M368" s="3">
        <v>78.17</v>
      </c>
      <c r="N368" s="3">
        <v>154.99</v>
      </c>
      <c r="O368" s="2" t="s">
        <v>97</v>
      </c>
      <c r="P368" s="2" t="s">
        <v>447</v>
      </c>
      <c r="Q368" s="2" t="s">
        <v>99</v>
      </c>
      <c r="R368" s="2" t="s">
        <v>100</v>
      </c>
      <c r="S368" s="2" t="s">
        <v>1493</v>
      </c>
      <c r="T368" s="2" t="s">
        <v>100</v>
      </c>
      <c r="U368" s="2" t="s">
        <v>283</v>
      </c>
      <c r="V368" s="2" t="s">
        <v>677</v>
      </c>
      <c r="W368" s="2" t="s">
        <v>1064</v>
      </c>
      <c r="X368" s="2" t="s">
        <v>646</v>
      </c>
      <c r="Y368" s="2" t="s">
        <v>1494</v>
      </c>
      <c r="Z368" s="4">
        <v>666</v>
      </c>
      <c r="AA368" s="4">
        <f>=ROUNDDOWN(83.25,0)</f>
      </c>
      <c r="AB368" s="5">
        <v>8</v>
      </c>
      <c r="AC368" s="2" t="s">
        <v>100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/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/>
      <c r="BJ368" s="4">
        <v>7</v>
      </c>
      <c r="BK368" s="8">
        <v>559.89</v>
      </c>
      <c r="BL368" s="2" t="s">
        <v>1495</v>
      </c>
      <c r="BM368" s="7"/>
      <c r="BN368" s="7"/>
      <c r="BO368" s="4"/>
      <c r="BP368" s="8"/>
      <c r="BQ368" s="4"/>
      <c r="BR368" s="8"/>
      <c r="BS368" s="7"/>
      <c r="BT368" s="7"/>
      <c r="BU368" s="2" t="s">
        <v>109</v>
      </c>
      <c r="BV368" s="2" t="s">
        <v>97</v>
      </c>
      <c r="BW368" s="2" t="s">
        <v>566</v>
      </c>
      <c r="BX368" s="2" t="s">
        <v>1496</v>
      </c>
      <c r="BY368" s="2" t="s">
        <v>112</v>
      </c>
      <c r="BZ368" s="2" t="s">
        <v>100</v>
      </c>
    </row>
    <row r="369">
      <c r="A369" s="2" t="s">
        <v>1497</v>
      </c>
      <c r="B369" s="2" t="s">
        <v>87</v>
      </c>
      <c r="C369" s="2" t="s">
        <v>88</v>
      </c>
      <c r="D369" s="2" t="s">
        <v>89</v>
      </c>
      <c r="E369" s="2" t="s">
        <v>90</v>
      </c>
      <c r="F369" s="2" t="s">
        <v>1478</v>
      </c>
      <c r="G369" s="2" t="s">
        <v>1479</v>
      </c>
      <c r="H369" s="2" t="s">
        <v>1480</v>
      </c>
      <c r="I369" s="2" t="s">
        <v>1481</v>
      </c>
      <c r="J369" s="2" t="s">
        <v>120</v>
      </c>
      <c r="K369" s="2" t="s">
        <v>357</v>
      </c>
      <c r="L369" s="3">
        <v>83.74</v>
      </c>
      <c r="M369" s="3">
        <v>87.93</v>
      </c>
      <c r="N369" s="3">
        <v>174.99</v>
      </c>
      <c r="O369" s="2" t="s">
        <v>97</v>
      </c>
      <c r="P369" s="2" t="s">
        <v>447</v>
      </c>
      <c r="Q369" s="2" t="s">
        <v>99</v>
      </c>
      <c r="R369" s="2" t="s">
        <v>100</v>
      </c>
      <c r="S369" s="2" t="s">
        <v>1493</v>
      </c>
      <c r="T369" s="2" t="s">
        <v>100</v>
      </c>
      <c r="U369" s="2" t="s">
        <v>283</v>
      </c>
      <c r="V369" s="2" t="s">
        <v>677</v>
      </c>
      <c r="W369" s="2" t="s">
        <v>1064</v>
      </c>
      <c r="X369" s="2" t="s">
        <v>646</v>
      </c>
      <c r="Y369" s="2" t="s">
        <v>1494</v>
      </c>
      <c r="Z369" s="4">
        <v>379</v>
      </c>
      <c r="AA369" s="4">
        <f>=ROUNDDOWN(42.1111111111111,0)</f>
      </c>
      <c r="AB369" s="5">
        <v>9</v>
      </c>
      <c r="AC369" s="2" t="s">
        <v>100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/>
      <c r="BJ369" s="4">
        <v>9</v>
      </c>
      <c r="BK369" s="8">
        <v>853.94</v>
      </c>
      <c r="BL369" s="2" t="s">
        <v>1498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97</v>
      </c>
      <c r="BW369" s="2" t="s">
        <v>566</v>
      </c>
      <c r="BX369" s="2" t="s">
        <v>1090</v>
      </c>
      <c r="BY369" s="2" t="s">
        <v>112</v>
      </c>
      <c r="BZ369" s="2" t="s">
        <v>100</v>
      </c>
    </row>
    <row r="370">
      <c r="A370" s="2" t="s">
        <v>1499</v>
      </c>
      <c r="B370" s="2" t="s">
        <v>87</v>
      </c>
      <c r="C370" s="2" t="s">
        <v>88</v>
      </c>
      <c r="D370" s="2" t="s">
        <v>89</v>
      </c>
      <c r="E370" s="2" t="s">
        <v>90</v>
      </c>
      <c r="F370" s="2" t="s">
        <v>1478</v>
      </c>
      <c r="G370" s="2" t="s">
        <v>1479</v>
      </c>
      <c r="H370" s="2" t="s">
        <v>1480</v>
      </c>
      <c r="I370" s="2" t="s">
        <v>1481</v>
      </c>
      <c r="J370" s="2" t="s">
        <v>124</v>
      </c>
      <c r="K370" s="2" t="s">
        <v>357</v>
      </c>
      <c r="L370" s="3">
        <v>83.74</v>
      </c>
      <c r="M370" s="3">
        <v>87.93</v>
      </c>
      <c r="N370" s="3">
        <v>174.99</v>
      </c>
      <c r="O370" s="2" t="s">
        <v>97</v>
      </c>
      <c r="P370" s="2" t="s">
        <v>447</v>
      </c>
      <c r="Q370" s="2" t="s">
        <v>99</v>
      </c>
      <c r="R370" s="2" t="s">
        <v>100</v>
      </c>
      <c r="S370" s="2" t="s">
        <v>1493</v>
      </c>
      <c r="T370" s="2" t="s">
        <v>100</v>
      </c>
      <c r="U370" s="2" t="s">
        <v>283</v>
      </c>
      <c r="V370" s="2" t="s">
        <v>677</v>
      </c>
      <c r="W370" s="2" t="s">
        <v>1064</v>
      </c>
      <c r="X370" s="2" t="s">
        <v>646</v>
      </c>
      <c r="Y370" s="2" t="s">
        <v>1494</v>
      </c>
      <c r="Z370" s="4">
        <v>263</v>
      </c>
      <c r="AA370" s="4">
        <f>=ROUNDDOWN(52.6,0)</f>
      </c>
      <c r="AB370" s="5">
        <v>5</v>
      </c>
      <c r="AC370" s="2" t="s">
        <v>100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/>
      <c r="BJ370" s="4"/>
      <c r="BK370" s="8"/>
      <c r="BL370" s="2" t="s">
        <v>100</v>
      </c>
      <c r="BM370" s="7"/>
      <c r="BN370" s="7"/>
      <c r="BO370" s="4"/>
      <c r="BP370" s="8"/>
      <c r="BQ370" s="4"/>
      <c r="BR370" s="8"/>
      <c r="BS370" s="7"/>
      <c r="BT370" s="7"/>
      <c r="BU370" s="2" t="s">
        <v>109</v>
      </c>
      <c r="BV370" s="2" t="s">
        <v>97</v>
      </c>
      <c r="BW370" s="2" t="s">
        <v>566</v>
      </c>
      <c r="BX370" s="2" t="s">
        <v>1500</v>
      </c>
      <c r="BY370" s="2" t="s">
        <v>112</v>
      </c>
      <c r="BZ370" s="2" t="s">
        <v>100</v>
      </c>
    </row>
    <row r="371">
      <c r="A371" s="2" t="s">
        <v>1501</v>
      </c>
      <c r="B371" s="2" t="s">
        <v>87</v>
      </c>
      <c r="C371" s="2" t="s">
        <v>88</v>
      </c>
      <c r="D371" s="2" t="s">
        <v>89</v>
      </c>
      <c r="E371" s="2" t="s">
        <v>90</v>
      </c>
      <c r="F371" s="2" t="s">
        <v>1502</v>
      </c>
      <c r="G371" s="2" t="s">
        <v>1503</v>
      </c>
      <c r="H371" s="2" t="s">
        <v>1504</v>
      </c>
      <c r="I371" s="2" t="s">
        <v>1505</v>
      </c>
      <c r="J371" s="2" t="s">
        <v>785</v>
      </c>
      <c r="K371" s="2" t="s">
        <v>1506</v>
      </c>
      <c r="L371" s="3">
        <v>41.14</v>
      </c>
      <c r="M371" s="3">
        <v>43.2</v>
      </c>
      <c r="N371" s="3">
        <v>89.99</v>
      </c>
      <c r="O371" s="2" t="s">
        <v>97</v>
      </c>
      <c r="P371" s="2" t="s">
        <v>1335</v>
      </c>
      <c r="Q371" s="2" t="s">
        <v>99</v>
      </c>
      <c r="R371" s="2" t="s">
        <v>100</v>
      </c>
      <c r="S371" s="2" t="s">
        <v>1507</v>
      </c>
      <c r="T371" s="2" t="s">
        <v>359</v>
      </c>
      <c r="U371" s="2" t="s">
        <v>1508</v>
      </c>
      <c r="V371" s="2" t="s">
        <v>677</v>
      </c>
      <c r="W371" s="2" t="s">
        <v>646</v>
      </c>
      <c r="X371" s="2" t="s">
        <v>898</v>
      </c>
      <c r="Y371" s="2" t="s">
        <v>100</v>
      </c>
      <c r="Z371" s="4"/>
      <c r="AA371" s="4">
        <f>=ROUNDDOWN({0},0)</f>
      </c>
      <c r="AB371" s="5"/>
      <c r="AC371" s="2" t="s">
        <v>615</v>
      </c>
      <c r="AD371" s="4">
        <v>230</v>
      </c>
      <c r="AE371" s="4">
        <v>460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/>
      <c r="BJ371" s="4"/>
      <c r="BK371" s="8"/>
      <c r="BL371" s="2" t="s">
        <v>100</v>
      </c>
      <c r="BM371" s="7"/>
      <c r="BN371" s="7"/>
      <c r="BO371" s="4"/>
      <c r="BP371" s="8"/>
      <c r="BQ371" s="4"/>
      <c r="BR371" s="8"/>
      <c r="BS371" s="7"/>
      <c r="BT371" s="7"/>
      <c r="BU371" s="2" t="s">
        <v>1338</v>
      </c>
      <c r="BV371" s="2" t="s">
        <v>97</v>
      </c>
      <c r="BW371" s="2" t="s">
        <v>100</v>
      </c>
      <c r="BX371" s="2" t="s">
        <v>100</v>
      </c>
      <c r="BY371" s="2" t="s">
        <v>112</v>
      </c>
      <c r="BZ371" s="2" t="s">
        <v>100</v>
      </c>
    </row>
    <row r="372">
      <c r="A372" s="2" t="s">
        <v>1509</v>
      </c>
      <c r="B372" s="2" t="s">
        <v>87</v>
      </c>
      <c r="C372" s="2" t="s">
        <v>88</v>
      </c>
      <c r="D372" s="2" t="s">
        <v>89</v>
      </c>
      <c r="E372" s="2" t="s">
        <v>90</v>
      </c>
      <c r="F372" s="2" t="s">
        <v>1502</v>
      </c>
      <c r="G372" s="2" t="s">
        <v>1503</v>
      </c>
      <c r="H372" s="2" t="s">
        <v>1504</v>
      </c>
      <c r="I372" s="2" t="s">
        <v>1505</v>
      </c>
      <c r="J372" s="2" t="s">
        <v>795</v>
      </c>
      <c r="K372" s="2" t="s">
        <v>1506</v>
      </c>
      <c r="L372" s="3">
        <v>45.71</v>
      </c>
      <c r="M372" s="3">
        <v>48</v>
      </c>
      <c r="N372" s="3">
        <v>99.99</v>
      </c>
      <c r="O372" s="2" t="s">
        <v>97</v>
      </c>
      <c r="P372" s="2" t="s">
        <v>1335</v>
      </c>
      <c r="Q372" s="2" t="s">
        <v>99</v>
      </c>
      <c r="R372" s="2" t="s">
        <v>100</v>
      </c>
      <c r="S372" s="2" t="s">
        <v>1507</v>
      </c>
      <c r="T372" s="2" t="s">
        <v>359</v>
      </c>
      <c r="U372" s="2" t="s">
        <v>1508</v>
      </c>
      <c r="V372" s="2" t="s">
        <v>677</v>
      </c>
      <c r="W372" s="2" t="s">
        <v>646</v>
      </c>
      <c r="X372" s="2" t="s">
        <v>898</v>
      </c>
      <c r="Y372" s="2" t="s">
        <v>100</v>
      </c>
      <c r="Z372" s="4"/>
      <c r="AA372" s="4">
        <f>=ROUNDDOWN({0},0)</f>
      </c>
      <c r="AB372" s="5"/>
      <c r="AC372" s="2" t="s">
        <v>615</v>
      </c>
      <c r="AD372" s="4">
        <v>155</v>
      </c>
      <c r="AE372" s="4">
        <v>310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/>
      <c r="BJ372" s="4"/>
      <c r="BK372" s="8"/>
      <c r="BL372" s="2" t="s">
        <v>100</v>
      </c>
      <c r="BM372" s="7"/>
      <c r="BN372" s="7"/>
      <c r="BO372" s="4"/>
      <c r="BP372" s="8"/>
      <c r="BQ372" s="4"/>
      <c r="BR372" s="8"/>
      <c r="BS372" s="7"/>
      <c r="BT372" s="7"/>
      <c r="BU372" s="2" t="s">
        <v>1338</v>
      </c>
      <c r="BV372" s="2" t="s">
        <v>97</v>
      </c>
      <c r="BW372" s="2" t="s">
        <v>100</v>
      </c>
      <c r="BX372" s="2" t="s">
        <v>100</v>
      </c>
      <c r="BY372" s="2" t="s">
        <v>112</v>
      </c>
      <c r="BZ372" s="2" t="s">
        <v>100</v>
      </c>
    </row>
    <row r="373">
      <c r="A373" s="2" t="s">
        <v>1510</v>
      </c>
      <c r="B373" s="2" t="s">
        <v>87</v>
      </c>
      <c r="C373" s="2" t="s">
        <v>88</v>
      </c>
      <c r="D373" s="2" t="s">
        <v>89</v>
      </c>
      <c r="E373" s="2" t="s">
        <v>90</v>
      </c>
      <c r="F373" s="2" t="s">
        <v>1511</v>
      </c>
      <c r="G373" s="2" t="s">
        <v>1512</v>
      </c>
      <c r="H373" s="2" t="s">
        <v>1513</v>
      </c>
      <c r="I373" s="2" t="s">
        <v>1514</v>
      </c>
      <c r="J373" s="2" t="s">
        <v>785</v>
      </c>
      <c r="K373" s="2" t="s">
        <v>1515</v>
      </c>
      <c r="L373" s="3">
        <v>57.14</v>
      </c>
      <c r="M373" s="3">
        <v>60</v>
      </c>
      <c r="N373" s="3">
        <v>119.99</v>
      </c>
      <c r="O373" s="2" t="s">
        <v>473</v>
      </c>
      <c r="P373" s="2" t="s">
        <v>447</v>
      </c>
      <c r="Q373" s="2" t="s">
        <v>99</v>
      </c>
      <c r="R373" s="2" t="s">
        <v>100</v>
      </c>
      <c r="S373" s="2" t="s">
        <v>1516</v>
      </c>
      <c r="T373" s="2" t="s">
        <v>359</v>
      </c>
      <c r="U373" s="2" t="s">
        <v>644</v>
      </c>
      <c r="V373" s="2" t="s">
        <v>677</v>
      </c>
      <c r="W373" s="2" t="s">
        <v>646</v>
      </c>
      <c r="X373" s="2" t="s">
        <v>976</v>
      </c>
      <c r="Y373" s="2" t="s">
        <v>1517</v>
      </c>
      <c r="Z373" s="4">
        <v>249</v>
      </c>
      <c r="AA373" s="4">
        <f>=ROUNDDOWN(207.5,0)</f>
      </c>
      <c r="AB373" s="5">
        <v>1.2</v>
      </c>
      <c r="AC373" s="2" t="s">
        <v>100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/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/>
      <c r="BJ373" s="4">
        <v>1</v>
      </c>
      <c r="BK373" s="8">
        <v>33.6</v>
      </c>
      <c r="BL373" s="2" t="s">
        <v>1310</v>
      </c>
      <c r="BM373" s="7"/>
      <c r="BN373" s="7"/>
      <c r="BO373" s="4"/>
      <c r="BP373" s="8"/>
      <c r="BQ373" s="4"/>
      <c r="BR373" s="8"/>
      <c r="BS373" s="7"/>
      <c r="BT373" s="7"/>
      <c r="BU373" s="2" t="s">
        <v>109</v>
      </c>
      <c r="BV373" s="2" t="s">
        <v>97</v>
      </c>
      <c r="BW373" s="2" t="s">
        <v>1518</v>
      </c>
      <c r="BX373" s="2" t="s">
        <v>100</v>
      </c>
      <c r="BY373" s="2" t="s">
        <v>112</v>
      </c>
      <c r="BZ373" s="2" t="s">
        <v>100</v>
      </c>
    </row>
    <row r="374">
      <c r="A374" s="2" t="s">
        <v>1519</v>
      </c>
      <c r="B374" s="2" t="s">
        <v>87</v>
      </c>
      <c r="C374" s="2" t="s">
        <v>88</v>
      </c>
      <c r="D374" s="2" t="s">
        <v>89</v>
      </c>
      <c r="E374" s="2" t="s">
        <v>90</v>
      </c>
      <c r="F374" s="2" t="s">
        <v>1511</v>
      </c>
      <c r="G374" s="2" t="s">
        <v>1512</v>
      </c>
      <c r="H374" s="2" t="s">
        <v>1513</v>
      </c>
      <c r="I374" s="2" t="s">
        <v>1514</v>
      </c>
      <c r="J374" s="2" t="s">
        <v>795</v>
      </c>
      <c r="K374" s="2" t="s">
        <v>1515</v>
      </c>
      <c r="L374" s="3">
        <v>61.9</v>
      </c>
      <c r="M374" s="3">
        <v>65</v>
      </c>
      <c r="N374" s="3">
        <v>129.99</v>
      </c>
      <c r="O374" s="2" t="s">
        <v>473</v>
      </c>
      <c r="P374" s="2" t="s">
        <v>447</v>
      </c>
      <c r="Q374" s="2" t="s">
        <v>99</v>
      </c>
      <c r="R374" s="2" t="s">
        <v>100</v>
      </c>
      <c r="S374" s="2" t="s">
        <v>1516</v>
      </c>
      <c r="T374" s="2" t="s">
        <v>359</v>
      </c>
      <c r="U374" s="2" t="s">
        <v>644</v>
      </c>
      <c r="V374" s="2" t="s">
        <v>677</v>
      </c>
      <c r="W374" s="2" t="s">
        <v>646</v>
      </c>
      <c r="X374" s="2" t="s">
        <v>976</v>
      </c>
      <c r="Y374" s="2" t="s">
        <v>1517</v>
      </c>
      <c r="Z374" s="4">
        <v>183</v>
      </c>
      <c r="AA374" s="4">
        <f>=ROUNDDOWN(183,0)</f>
      </c>
      <c r="AB374" s="5">
        <v>1</v>
      </c>
      <c r="AC374" s="2" t="s">
        <v>100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/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/>
      <c r="BJ374" s="4">
        <v>1</v>
      </c>
      <c r="BK374" s="8">
        <v>70.19</v>
      </c>
      <c r="BL374" s="2" t="s">
        <v>441</v>
      </c>
      <c r="BM374" s="7"/>
      <c r="BN374" s="7"/>
      <c r="BO374" s="4"/>
      <c r="BP374" s="8"/>
      <c r="BQ374" s="4"/>
      <c r="BR374" s="8"/>
      <c r="BS374" s="7"/>
      <c r="BT374" s="7"/>
      <c r="BU374" s="2" t="s">
        <v>109</v>
      </c>
      <c r="BV374" s="2" t="s">
        <v>97</v>
      </c>
      <c r="BW374" s="2" t="s">
        <v>1518</v>
      </c>
      <c r="BX374" s="2" t="s">
        <v>1520</v>
      </c>
      <c r="BY374" s="2" t="s">
        <v>112</v>
      </c>
      <c r="BZ374" s="2" t="s">
        <v>100</v>
      </c>
    </row>
    <row r="375">
      <c r="A375" s="2" t="s">
        <v>1521</v>
      </c>
      <c r="B375" s="2" t="s">
        <v>87</v>
      </c>
      <c r="C375" s="2" t="s">
        <v>88</v>
      </c>
      <c r="D375" s="2" t="s">
        <v>89</v>
      </c>
      <c r="E375" s="2" t="s">
        <v>90</v>
      </c>
      <c r="F375" s="2" t="s">
        <v>1522</v>
      </c>
      <c r="G375" s="2" t="s">
        <v>1523</v>
      </c>
      <c r="H375" s="2" t="s">
        <v>1524</v>
      </c>
      <c r="I375" s="2" t="s">
        <v>1525</v>
      </c>
      <c r="J375" s="2" t="s">
        <v>114</v>
      </c>
      <c r="K375" s="2" t="s">
        <v>253</v>
      </c>
      <c r="L375" s="3">
        <v>72</v>
      </c>
      <c r="M375" s="3">
        <v>75.59</v>
      </c>
      <c r="N375" s="3">
        <v>149.99</v>
      </c>
      <c r="O375" s="2" t="s">
        <v>97</v>
      </c>
      <c r="P375" s="2" t="s">
        <v>98</v>
      </c>
      <c r="Q375" s="2" t="s">
        <v>99</v>
      </c>
      <c r="R375" s="2" t="s">
        <v>100</v>
      </c>
      <c r="S375" s="2" t="s">
        <v>1526</v>
      </c>
      <c r="T375" s="2" t="s">
        <v>100</v>
      </c>
      <c r="U375" s="2" t="s">
        <v>343</v>
      </c>
      <c r="V375" s="2" t="s">
        <v>103</v>
      </c>
      <c r="W375" s="2" t="s">
        <v>104</v>
      </c>
      <c r="X375" s="2" t="s">
        <v>1527</v>
      </c>
      <c r="Y375" s="2" t="s">
        <v>131</v>
      </c>
      <c r="Z375" s="4">
        <v>573</v>
      </c>
      <c r="AA375" s="4">
        <f>=ROUNDDOWN(22.92,0)</f>
      </c>
      <c r="AB375" s="5">
        <v>25</v>
      </c>
      <c r="AC375" s="2" t="s">
        <v>107</v>
      </c>
      <c r="AD375" s="4">
        <v>100</v>
      </c>
      <c r="AE375" s="4">
        <v>100</v>
      </c>
      <c r="AF375" s="6">
        <v>65</v>
      </c>
      <c r="AG375" s="6">
        <v>48</v>
      </c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/>
      <c r="BJ375" s="4">
        <v>19</v>
      </c>
      <c r="BK375" s="8">
        <v>1379.38</v>
      </c>
      <c r="BL375" s="2" t="s">
        <v>1485</v>
      </c>
      <c r="BM375" s="7"/>
      <c r="BN375" s="7"/>
      <c r="BO375" s="4"/>
      <c r="BP375" s="8"/>
      <c r="BQ375" s="4"/>
      <c r="BR375" s="8"/>
      <c r="BS375" s="7"/>
      <c r="BT375" s="7"/>
      <c r="BU375" s="2" t="s">
        <v>109</v>
      </c>
      <c r="BV375" s="2" t="s">
        <v>97</v>
      </c>
      <c r="BW375" s="2" t="s">
        <v>122</v>
      </c>
      <c r="BX375" s="2" t="s">
        <v>189</v>
      </c>
      <c r="BY375" s="2" t="s">
        <v>112</v>
      </c>
      <c r="BZ375" s="2" t="s">
        <v>100</v>
      </c>
    </row>
    <row r="376">
      <c r="A376" s="2" t="s">
        <v>1528</v>
      </c>
      <c r="B376" s="2" t="s">
        <v>87</v>
      </c>
      <c r="C376" s="2" t="s">
        <v>88</v>
      </c>
      <c r="D376" s="2" t="s">
        <v>89</v>
      </c>
      <c r="E376" s="2" t="s">
        <v>90</v>
      </c>
      <c r="F376" s="2" t="s">
        <v>1522</v>
      </c>
      <c r="G376" s="2" t="s">
        <v>1523</v>
      </c>
      <c r="H376" s="2" t="s">
        <v>1524</v>
      </c>
      <c r="I376" s="2" t="s">
        <v>1525</v>
      </c>
      <c r="J376" s="2" t="s">
        <v>120</v>
      </c>
      <c r="K376" s="2" t="s">
        <v>253</v>
      </c>
      <c r="L376" s="3">
        <v>83.3</v>
      </c>
      <c r="M376" s="3">
        <v>87.46</v>
      </c>
      <c r="N376" s="3">
        <v>169.99</v>
      </c>
      <c r="O376" s="2" t="s">
        <v>97</v>
      </c>
      <c r="P376" s="2" t="s">
        <v>98</v>
      </c>
      <c r="Q376" s="2" t="s">
        <v>99</v>
      </c>
      <c r="R376" s="2" t="s">
        <v>100</v>
      </c>
      <c r="S376" s="2" t="s">
        <v>1526</v>
      </c>
      <c r="T376" s="2" t="s">
        <v>100</v>
      </c>
      <c r="U376" s="2" t="s">
        <v>343</v>
      </c>
      <c r="V376" s="2" t="s">
        <v>103</v>
      </c>
      <c r="W376" s="2" t="s">
        <v>104</v>
      </c>
      <c r="X376" s="2" t="s">
        <v>1527</v>
      </c>
      <c r="Y376" s="2" t="s">
        <v>131</v>
      </c>
      <c r="Z376" s="4">
        <v>395</v>
      </c>
      <c r="AA376" s="4">
        <f>=ROUNDDOWN(21.9444444444444,0)</f>
      </c>
      <c r="AB376" s="5">
        <v>18</v>
      </c>
      <c r="AC376" s="2" t="s">
        <v>107</v>
      </c>
      <c r="AD376" s="4">
        <v>245</v>
      </c>
      <c r="AE376" s="4">
        <v>245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/>
      <c r="BJ376" s="4">
        <v>3</v>
      </c>
      <c r="BK376" s="8">
        <v>263.04</v>
      </c>
      <c r="BL376" s="2" t="s">
        <v>407</v>
      </c>
      <c r="BM376" s="7"/>
      <c r="BN376" s="7"/>
      <c r="BO376" s="4"/>
      <c r="BP376" s="8"/>
      <c r="BQ376" s="4"/>
      <c r="BR376" s="8"/>
      <c r="BS376" s="7"/>
      <c r="BT376" s="7"/>
      <c r="BU376" s="2" t="s">
        <v>109</v>
      </c>
      <c r="BV376" s="2" t="s">
        <v>97</v>
      </c>
      <c r="BW376" s="2" t="s">
        <v>122</v>
      </c>
      <c r="BX376" s="2" t="s">
        <v>181</v>
      </c>
      <c r="BY376" s="2" t="s">
        <v>112</v>
      </c>
      <c r="BZ376" s="2" t="s">
        <v>100</v>
      </c>
    </row>
    <row r="377">
      <c r="A377" s="2" t="s">
        <v>1529</v>
      </c>
      <c r="B377" s="2" t="s">
        <v>87</v>
      </c>
      <c r="C377" s="2" t="s">
        <v>88</v>
      </c>
      <c r="D377" s="2" t="s">
        <v>89</v>
      </c>
      <c r="E377" s="2" t="s">
        <v>90</v>
      </c>
      <c r="F377" s="2" t="s">
        <v>1530</v>
      </c>
      <c r="G377" s="2" t="s">
        <v>1531</v>
      </c>
      <c r="H377" s="2" t="s">
        <v>1532</v>
      </c>
      <c r="I377" s="2" t="s">
        <v>1533</v>
      </c>
      <c r="J377" s="2" t="s">
        <v>114</v>
      </c>
      <c r="K377" s="2" t="s">
        <v>146</v>
      </c>
      <c r="L377" s="3">
        <v>42.85</v>
      </c>
      <c r="M377" s="3">
        <v>44.99</v>
      </c>
      <c r="N377" s="3">
        <v>89.99</v>
      </c>
      <c r="O377" s="2" t="s">
        <v>97</v>
      </c>
      <c r="P377" s="2" t="s">
        <v>1216</v>
      </c>
      <c r="Q377" s="2" t="s">
        <v>99</v>
      </c>
      <c r="R377" s="2" t="s">
        <v>100</v>
      </c>
      <c r="S377" s="2" t="s">
        <v>1534</v>
      </c>
      <c r="T377" s="2" t="s">
        <v>787</v>
      </c>
      <c r="U377" s="2" t="s">
        <v>102</v>
      </c>
      <c r="V377" s="2" t="s">
        <v>805</v>
      </c>
      <c r="W377" s="2" t="s">
        <v>104</v>
      </c>
      <c r="X377" s="2" t="s">
        <v>788</v>
      </c>
      <c r="Y377" s="2" t="s">
        <v>1132</v>
      </c>
      <c r="Z377" s="4">
        <v>263</v>
      </c>
      <c r="AA377" s="4">
        <f>=ROUNDDOWN(32.875,0)</f>
      </c>
      <c r="AB377" s="5">
        <v>8</v>
      </c>
      <c r="AC377" s="2" t="s">
        <v>100</v>
      </c>
      <c r="AD377" s="4"/>
      <c r="AE377" s="4"/>
      <c r="AF377" s="6">
        <v>64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/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/>
      <c r="BJ377" s="4">
        <v>7</v>
      </c>
      <c r="BK377" s="8">
        <v>320.81</v>
      </c>
      <c r="BL377" s="2" t="s">
        <v>1535</v>
      </c>
      <c r="BM377" s="7"/>
      <c r="BN377" s="7"/>
      <c r="BO377" s="4"/>
      <c r="BP377" s="8"/>
      <c r="BQ377" s="4"/>
      <c r="BR377" s="8"/>
      <c r="BS377" s="7"/>
      <c r="BT377" s="7"/>
      <c r="BU377" s="2" t="s">
        <v>109</v>
      </c>
      <c r="BV377" s="2" t="s">
        <v>97</v>
      </c>
      <c r="BW377" s="2" t="s">
        <v>1518</v>
      </c>
      <c r="BX377" s="2" t="s">
        <v>1408</v>
      </c>
      <c r="BY377" s="2" t="s">
        <v>112</v>
      </c>
      <c r="BZ377" s="2" t="s">
        <v>100</v>
      </c>
    </row>
    <row r="378">
      <c r="A378" s="2" t="s">
        <v>1536</v>
      </c>
      <c r="B378" s="2" t="s">
        <v>87</v>
      </c>
      <c r="C378" s="2" t="s">
        <v>88</v>
      </c>
      <c r="D378" s="2" t="s">
        <v>89</v>
      </c>
      <c r="E378" s="2" t="s">
        <v>90</v>
      </c>
      <c r="F378" s="2" t="s">
        <v>1530</v>
      </c>
      <c r="G378" s="2" t="s">
        <v>1531</v>
      </c>
      <c r="H378" s="2" t="s">
        <v>1532</v>
      </c>
      <c r="I378" s="2" t="s">
        <v>1533</v>
      </c>
      <c r="J378" s="2" t="s">
        <v>120</v>
      </c>
      <c r="K378" s="2" t="s">
        <v>146</v>
      </c>
      <c r="L378" s="3">
        <v>47.61</v>
      </c>
      <c r="M378" s="3">
        <v>49.99</v>
      </c>
      <c r="N378" s="3">
        <v>99.99</v>
      </c>
      <c r="O378" s="2" t="s">
        <v>97</v>
      </c>
      <c r="P378" s="2" t="s">
        <v>1216</v>
      </c>
      <c r="Q378" s="2" t="s">
        <v>99</v>
      </c>
      <c r="R378" s="2" t="s">
        <v>100</v>
      </c>
      <c r="S378" s="2" t="s">
        <v>1534</v>
      </c>
      <c r="T378" s="2" t="s">
        <v>787</v>
      </c>
      <c r="U378" s="2" t="s">
        <v>102</v>
      </c>
      <c r="V378" s="2" t="s">
        <v>805</v>
      </c>
      <c r="W378" s="2" t="s">
        <v>104</v>
      </c>
      <c r="X378" s="2" t="s">
        <v>788</v>
      </c>
      <c r="Y378" s="2" t="s">
        <v>1132</v>
      </c>
      <c r="Z378" s="4">
        <v>290</v>
      </c>
      <c r="AA378" s="4">
        <f>=ROUNDDOWN(36.25,0)</f>
      </c>
      <c r="AB378" s="5">
        <v>8</v>
      </c>
      <c r="AC378" s="2" t="s">
        <v>100</v>
      </c>
      <c r="AD378" s="4"/>
      <c r="AE378" s="4"/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/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/>
      <c r="BJ378" s="4">
        <v>3</v>
      </c>
      <c r="BK378" s="8">
        <v>161.97</v>
      </c>
      <c r="BL378" s="2" t="s">
        <v>813</v>
      </c>
      <c r="BM378" s="7"/>
      <c r="BN378" s="7"/>
      <c r="BO378" s="4"/>
      <c r="BP378" s="8"/>
      <c r="BQ378" s="4"/>
      <c r="BR378" s="8"/>
      <c r="BS378" s="7"/>
      <c r="BT378" s="7"/>
      <c r="BU378" s="2" t="s">
        <v>109</v>
      </c>
      <c r="BV378" s="2" t="s">
        <v>97</v>
      </c>
      <c r="BW378" s="2" t="s">
        <v>1518</v>
      </c>
      <c r="BX378" s="2" t="s">
        <v>1537</v>
      </c>
      <c r="BY378" s="2" t="s">
        <v>112</v>
      </c>
      <c r="BZ378" s="2" t="s">
        <v>100</v>
      </c>
    </row>
    <row r="379">
      <c r="A379" s="2" t="s">
        <v>1538</v>
      </c>
      <c r="B379" s="2" t="s">
        <v>87</v>
      </c>
      <c r="C379" s="2" t="s">
        <v>88</v>
      </c>
      <c r="D379" s="2" t="s">
        <v>89</v>
      </c>
      <c r="E379" s="2" t="s">
        <v>90</v>
      </c>
      <c r="F379" s="2" t="s">
        <v>1530</v>
      </c>
      <c r="G379" s="2" t="s">
        <v>1531</v>
      </c>
      <c r="H379" s="2" t="s">
        <v>1532</v>
      </c>
      <c r="I379" s="2" t="s">
        <v>1533</v>
      </c>
      <c r="J379" s="2" t="s">
        <v>124</v>
      </c>
      <c r="K379" s="2" t="s">
        <v>146</v>
      </c>
      <c r="L379" s="3">
        <v>47.61</v>
      </c>
      <c r="M379" s="3">
        <v>49.99</v>
      </c>
      <c r="N379" s="3">
        <v>99.99</v>
      </c>
      <c r="O379" s="2" t="s">
        <v>97</v>
      </c>
      <c r="P379" s="2" t="s">
        <v>1216</v>
      </c>
      <c r="Q379" s="2" t="s">
        <v>99</v>
      </c>
      <c r="R379" s="2" t="s">
        <v>100</v>
      </c>
      <c r="S379" s="2" t="s">
        <v>1534</v>
      </c>
      <c r="T379" s="2" t="s">
        <v>787</v>
      </c>
      <c r="U379" s="2" t="s">
        <v>102</v>
      </c>
      <c r="V379" s="2" t="s">
        <v>805</v>
      </c>
      <c r="W379" s="2" t="s">
        <v>104</v>
      </c>
      <c r="X379" s="2" t="s">
        <v>788</v>
      </c>
      <c r="Y379" s="2" t="s">
        <v>1539</v>
      </c>
      <c r="Z379" s="4">
        <v>122</v>
      </c>
      <c r="AA379" s="4">
        <f>=ROUNDDOWN(24.4,0)</f>
      </c>
      <c r="AB379" s="5">
        <v>5</v>
      </c>
      <c r="AC379" s="2" t="s">
        <v>100</v>
      </c>
      <c r="AD379" s="4"/>
      <c r="AE379" s="4"/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/>
      <c r="BJ379" s="4">
        <v>5</v>
      </c>
      <c r="BK379" s="8">
        <v>272.23</v>
      </c>
      <c r="BL379" s="2" t="s">
        <v>1540</v>
      </c>
      <c r="BM379" s="7"/>
      <c r="BN379" s="7"/>
      <c r="BO379" s="4"/>
      <c r="BP379" s="8"/>
      <c r="BQ379" s="4"/>
      <c r="BR379" s="8"/>
      <c r="BS379" s="7"/>
      <c r="BT379" s="7"/>
      <c r="BU379" s="2" t="s">
        <v>109</v>
      </c>
      <c r="BV379" s="2" t="s">
        <v>97</v>
      </c>
      <c r="BW379" s="2" t="s">
        <v>1518</v>
      </c>
      <c r="BX379" s="2" t="s">
        <v>1541</v>
      </c>
      <c r="BY379" s="2" t="s">
        <v>112</v>
      </c>
      <c r="BZ379" s="2" t="s">
        <v>100</v>
      </c>
    </row>
    <row r="380">
      <c r="A380" s="2" t="s">
        <v>1542</v>
      </c>
      <c r="B380" s="2" t="s">
        <v>87</v>
      </c>
      <c r="C380" s="2" t="s">
        <v>88</v>
      </c>
      <c r="D380" s="2" t="s">
        <v>89</v>
      </c>
      <c r="E380" s="2" t="s">
        <v>90</v>
      </c>
      <c r="F380" s="2" t="s">
        <v>1530</v>
      </c>
      <c r="G380" s="2" t="s">
        <v>1531</v>
      </c>
      <c r="H380" s="2" t="s">
        <v>1532</v>
      </c>
      <c r="I380" s="2" t="s">
        <v>1533</v>
      </c>
      <c r="J380" s="2" t="s">
        <v>114</v>
      </c>
      <c r="K380" s="2" t="s">
        <v>175</v>
      </c>
      <c r="L380" s="3">
        <v>42.85</v>
      </c>
      <c r="M380" s="3">
        <v>44.99</v>
      </c>
      <c r="N380" s="3">
        <v>89.99</v>
      </c>
      <c r="O380" s="2" t="s">
        <v>97</v>
      </c>
      <c r="P380" s="2" t="s">
        <v>1216</v>
      </c>
      <c r="Q380" s="2" t="s">
        <v>99</v>
      </c>
      <c r="R380" s="2" t="s">
        <v>100</v>
      </c>
      <c r="S380" s="2" t="s">
        <v>1543</v>
      </c>
      <c r="T380" s="2" t="s">
        <v>787</v>
      </c>
      <c r="U380" s="2" t="s">
        <v>102</v>
      </c>
      <c r="V380" s="2" t="s">
        <v>805</v>
      </c>
      <c r="W380" s="2" t="s">
        <v>104</v>
      </c>
      <c r="X380" s="2" t="s">
        <v>788</v>
      </c>
      <c r="Y380" s="2" t="s">
        <v>1539</v>
      </c>
      <c r="Z380" s="4">
        <v>215</v>
      </c>
      <c r="AA380" s="4">
        <f>=ROUNDDOWN(16.5384615384615,0)</f>
      </c>
      <c r="AB380" s="5">
        <v>13</v>
      </c>
      <c r="AC380" s="2" t="s">
        <v>100</v>
      </c>
      <c r="AD380" s="4"/>
      <c r="AE380" s="4"/>
      <c r="AF380" s="6">
        <v>64</v>
      </c>
      <c r="AG380" s="6"/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/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/>
      <c r="BJ380" s="4">
        <v>11</v>
      </c>
      <c r="BK380" s="8">
        <v>530.47</v>
      </c>
      <c r="BL380" s="2" t="s">
        <v>1544</v>
      </c>
      <c r="BM380" s="7"/>
      <c r="BN380" s="7"/>
      <c r="BO380" s="4"/>
      <c r="BP380" s="8"/>
      <c r="BQ380" s="4"/>
      <c r="BR380" s="8"/>
      <c r="BS380" s="7"/>
      <c r="BT380" s="7"/>
      <c r="BU380" s="2" t="s">
        <v>109</v>
      </c>
      <c r="BV380" s="2" t="s">
        <v>97</v>
      </c>
      <c r="BW380" s="2" t="s">
        <v>1518</v>
      </c>
      <c r="BX380" s="2" t="s">
        <v>100</v>
      </c>
      <c r="BY380" s="2" t="s">
        <v>112</v>
      </c>
      <c r="BZ380" s="2" t="s">
        <v>100</v>
      </c>
    </row>
    <row r="381">
      <c r="A381" s="2" t="s">
        <v>1545</v>
      </c>
      <c r="B381" s="2" t="s">
        <v>87</v>
      </c>
      <c r="C381" s="2" t="s">
        <v>88</v>
      </c>
      <c r="D381" s="2" t="s">
        <v>89</v>
      </c>
      <c r="E381" s="2" t="s">
        <v>90</v>
      </c>
      <c r="F381" s="2" t="s">
        <v>1530</v>
      </c>
      <c r="G381" s="2" t="s">
        <v>1531</v>
      </c>
      <c r="H381" s="2" t="s">
        <v>1532</v>
      </c>
      <c r="I381" s="2" t="s">
        <v>1533</v>
      </c>
      <c r="J381" s="2" t="s">
        <v>120</v>
      </c>
      <c r="K381" s="2" t="s">
        <v>175</v>
      </c>
      <c r="L381" s="3">
        <v>47.61</v>
      </c>
      <c r="M381" s="3">
        <v>49.99</v>
      </c>
      <c r="N381" s="3">
        <v>99.99</v>
      </c>
      <c r="O381" s="2" t="s">
        <v>97</v>
      </c>
      <c r="P381" s="2" t="s">
        <v>1216</v>
      </c>
      <c r="Q381" s="2" t="s">
        <v>99</v>
      </c>
      <c r="R381" s="2" t="s">
        <v>100</v>
      </c>
      <c r="S381" s="2" t="s">
        <v>1543</v>
      </c>
      <c r="T381" s="2" t="s">
        <v>787</v>
      </c>
      <c r="U381" s="2" t="s">
        <v>102</v>
      </c>
      <c r="V381" s="2" t="s">
        <v>805</v>
      </c>
      <c r="W381" s="2" t="s">
        <v>104</v>
      </c>
      <c r="X381" s="2" t="s">
        <v>788</v>
      </c>
      <c r="Y381" s="2" t="s">
        <v>1539</v>
      </c>
      <c r="Z381" s="4">
        <v>259</v>
      </c>
      <c r="AA381" s="4">
        <f>=ROUNDDOWN(28.7777777777778,0)</f>
      </c>
      <c r="AB381" s="5">
        <v>9</v>
      </c>
      <c r="AC381" s="2" t="s">
        <v>100</v>
      </c>
      <c r="AD381" s="4"/>
      <c r="AE381" s="4"/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/>
      <c r="BJ381" s="4">
        <v>5</v>
      </c>
      <c r="BK381" s="8">
        <v>269.95</v>
      </c>
      <c r="BL381" s="2" t="s">
        <v>1546</v>
      </c>
      <c r="BM381" s="7"/>
      <c r="BN381" s="7"/>
      <c r="BO381" s="4"/>
      <c r="BP381" s="8"/>
      <c r="BQ381" s="4"/>
      <c r="BR381" s="8"/>
      <c r="BS381" s="7"/>
      <c r="BT381" s="7"/>
      <c r="BU381" s="2" t="s">
        <v>109</v>
      </c>
      <c r="BV381" s="2" t="s">
        <v>97</v>
      </c>
      <c r="BW381" s="2" t="s">
        <v>1547</v>
      </c>
      <c r="BX381" s="2" t="s">
        <v>1548</v>
      </c>
      <c r="BY381" s="2" t="s">
        <v>112</v>
      </c>
      <c r="BZ381" s="2" t="s">
        <v>100</v>
      </c>
    </row>
    <row r="382">
      <c r="A382" s="2" t="s">
        <v>1549</v>
      </c>
      <c r="B382" s="2" t="s">
        <v>87</v>
      </c>
      <c r="C382" s="2" t="s">
        <v>88</v>
      </c>
      <c r="D382" s="2" t="s">
        <v>89</v>
      </c>
      <c r="E382" s="2" t="s">
        <v>90</v>
      </c>
      <c r="F382" s="2" t="s">
        <v>1530</v>
      </c>
      <c r="G382" s="2" t="s">
        <v>1531</v>
      </c>
      <c r="H382" s="2" t="s">
        <v>1532</v>
      </c>
      <c r="I382" s="2" t="s">
        <v>1533</v>
      </c>
      <c r="J382" s="2" t="s">
        <v>124</v>
      </c>
      <c r="K382" s="2" t="s">
        <v>175</v>
      </c>
      <c r="L382" s="3">
        <v>47.61</v>
      </c>
      <c r="M382" s="3">
        <v>49.99</v>
      </c>
      <c r="N382" s="3">
        <v>99.99</v>
      </c>
      <c r="O382" s="2" t="s">
        <v>97</v>
      </c>
      <c r="P382" s="2" t="s">
        <v>1216</v>
      </c>
      <c r="Q382" s="2" t="s">
        <v>99</v>
      </c>
      <c r="R382" s="2" t="s">
        <v>100</v>
      </c>
      <c r="S382" s="2" t="s">
        <v>1543</v>
      </c>
      <c r="T382" s="2" t="s">
        <v>787</v>
      </c>
      <c r="U382" s="2" t="s">
        <v>102</v>
      </c>
      <c r="V382" s="2" t="s">
        <v>805</v>
      </c>
      <c r="W382" s="2" t="s">
        <v>104</v>
      </c>
      <c r="X382" s="2" t="s">
        <v>788</v>
      </c>
      <c r="Y382" s="2" t="s">
        <v>1539</v>
      </c>
      <c r="Z382" s="4">
        <v>120</v>
      </c>
      <c r="AA382" s="4">
        <f>=ROUNDDOWN(20,0)</f>
      </c>
      <c r="AB382" s="5">
        <v>6</v>
      </c>
      <c r="AC382" s="2" t="s">
        <v>100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/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/>
      <c r="BJ382" s="4">
        <v>3</v>
      </c>
      <c r="BK382" s="8">
        <v>158.97</v>
      </c>
      <c r="BL382" s="2" t="s">
        <v>1550</v>
      </c>
      <c r="BM382" s="7"/>
      <c r="BN382" s="7"/>
      <c r="BO382" s="4"/>
      <c r="BP382" s="8"/>
      <c r="BQ382" s="4"/>
      <c r="BR382" s="8"/>
      <c r="BS382" s="7"/>
      <c r="BT382" s="7"/>
      <c r="BU382" s="2" t="s">
        <v>109</v>
      </c>
      <c r="BV382" s="2" t="s">
        <v>97</v>
      </c>
      <c r="BW382" s="2" t="s">
        <v>1547</v>
      </c>
      <c r="BX382" s="2" t="s">
        <v>100</v>
      </c>
      <c r="BY382" s="2" t="s">
        <v>112</v>
      </c>
      <c r="BZ382" s="2" t="s">
        <v>100</v>
      </c>
    </row>
    <row r="383">
      <c r="A383" s="2" t="s">
        <v>1551</v>
      </c>
      <c r="B383" s="2" t="s">
        <v>87</v>
      </c>
      <c r="C383" s="2" t="s">
        <v>88</v>
      </c>
      <c r="D383" s="2" t="s">
        <v>89</v>
      </c>
      <c r="E383" s="2" t="s">
        <v>90</v>
      </c>
      <c r="F383" s="2" t="s">
        <v>1552</v>
      </c>
      <c r="G383" s="2" t="s">
        <v>1552</v>
      </c>
      <c r="H383" s="2" t="s">
        <v>1553</v>
      </c>
      <c r="I383" s="2" t="s">
        <v>1554</v>
      </c>
      <c r="J383" s="2" t="s">
        <v>795</v>
      </c>
      <c r="K383" s="2" t="s">
        <v>1555</v>
      </c>
      <c r="L383" s="3">
        <v>66.66</v>
      </c>
      <c r="M383" s="3">
        <v>69.99</v>
      </c>
      <c r="N383" s="3">
        <v>139.99</v>
      </c>
      <c r="O383" s="2" t="s">
        <v>473</v>
      </c>
      <c r="P383" s="2" t="s">
        <v>447</v>
      </c>
      <c r="Q383" s="2" t="s">
        <v>99</v>
      </c>
      <c r="R383" s="2" t="s">
        <v>100</v>
      </c>
      <c r="S383" s="2" t="s">
        <v>1556</v>
      </c>
      <c r="T383" s="2" t="s">
        <v>787</v>
      </c>
      <c r="U383" s="2" t="s">
        <v>644</v>
      </c>
      <c r="V383" s="2" t="s">
        <v>805</v>
      </c>
      <c r="W383" s="2" t="s">
        <v>1064</v>
      </c>
      <c r="X383" s="2" t="s">
        <v>976</v>
      </c>
      <c r="Y383" s="2" t="s">
        <v>1557</v>
      </c>
      <c r="Z383" s="4">
        <v>141</v>
      </c>
      <c r="AA383" s="4">
        <f>=ROUNDDOWN(82.9411764705882,0)</f>
      </c>
      <c r="AB383" s="5">
        <v>1.7</v>
      </c>
      <c r="AC383" s="2" t="s">
        <v>100</v>
      </c>
      <c r="AD383" s="4"/>
      <c r="AE383" s="4"/>
      <c r="AF383" s="6">
        <v>68</v>
      </c>
      <c r="AG383" s="6"/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>
        <v>1</v>
      </c>
      <c r="BK383" s="8">
        <v>56.69</v>
      </c>
      <c r="BL383" s="2" t="s">
        <v>715</v>
      </c>
      <c r="BM383" s="7"/>
      <c r="BN383" s="7"/>
      <c r="BO383" s="4"/>
      <c r="BP383" s="8"/>
      <c r="BQ383" s="4"/>
      <c r="BR383" s="8"/>
      <c r="BS383" s="7"/>
      <c r="BT383" s="7"/>
      <c r="BU383" s="2" t="s">
        <v>109</v>
      </c>
      <c r="BV383" s="2" t="s">
        <v>97</v>
      </c>
      <c r="BW383" s="2" t="s">
        <v>566</v>
      </c>
      <c r="BX383" s="2" t="s">
        <v>1558</v>
      </c>
      <c r="BY383" s="2" t="s">
        <v>112</v>
      </c>
      <c r="BZ383" s="2" t="s">
        <v>100</v>
      </c>
    </row>
    <row r="384">
      <c r="A384" s="2" t="s">
        <v>1559</v>
      </c>
      <c r="B384" s="2" t="s">
        <v>87</v>
      </c>
      <c r="C384" s="2" t="s">
        <v>88</v>
      </c>
      <c r="D384" s="2" t="s">
        <v>89</v>
      </c>
      <c r="E384" s="2" t="s">
        <v>90</v>
      </c>
      <c r="F384" s="2" t="s">
        <v>1560</v>
      </c>
      <c r="G384" s="2" t="s">
        <v>1561</v>
      </c>
      <c r="H384" s="2" t="s">
        <v>1562</v>
      </c>
      <c r="I384" s="2" t="s">
        <v>1563</v>
      </c>
      <c r="J384" s="2" t="s">
        <v>785</v>
      </c>
      <c r="K384" s="2" t="s">
        <v>96</v>
      </c>
      <c r="L384" s="3">
        <v>45.71</v>
      </c>
      <c r="M384" s="3">
        <v>48</v>
      </c>
      <c r="N384" s="3">
        <v>99.99</v>
      </c>
      <c r="O384" s="2" t="s">
        <v>97</v>
      </c>
      <c r="P384" s="2" t="s">
        <v>1216</v>
      </c>
      <c r="Q384" s="2" t="s">
        <v>99</v>
      </c>
      <c r="R384" s="2" t="s">
        <v>100</v>
      </c>
      <c r="S384" s="2" t="s">
        <v>1564</v>
      </c>
      <c r="T384" s="2" t="s">
        <v>1565</v>
      </c>
      <c r="U384" s="2" t="s">
        <v>644</v>
      </c>
      <c r="V384" s="2" t="s">
        <v>645</v>
      </c>
      <c r="W384" s="2" t="s">
        <v>1240</v>
      </c>
      <c r="X384" s="2" t="s">
        <v>100</v>
      </c>
      <c r="Y384" s="2" t="s">
        <v>1566</v>
      </c>
      <c r="Z384" s="4">
        <v>389</v>
      </c>
      <c r="AA384" s="4">
        <f>=ROUNDDOWN(64.8333333333333,0)</f>
      </c>
      <c r="AB384" s="5">
        <v>6</v>
      </c>
      <c r="AC384" s="2" t="s">
        <v>100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/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/>
      <c r="BJ384" s="4">
        <v>4</v>
      </c>
      <c r="BK384" s="8">
        <v>197.05</v>
      </c>
      <c r="BL384" s="2" t="s">
        <v>477</v>
      </c>
      <c r="BM384" s="7"/>
      <c r="BN384" s="7"/>
      <c r="BO384" s="4"/>
      <c r="BP384" s="8"/>
      <c r="BQ384" s="4"/>
      <c r="BR384" s="8"/>
      <c r="BS384" s="7"/>
      <c r="BT384" s="7"/>
      <c r="BU384" s="2" t="s">
        <v>109</v>
      </c>
      <c r="BV384" s="2" t="s">
        <v>97</v>
      </c>
      <c r="BW384" s="2" t="s">
        <v>1566</v>
      </c>
      <c r="BX384" s="2" t="s">
        <v>100</v>
      </c>
      <c r="BY384" s="2" t="s">
        <v>112</v>
      </c>
      <c r="BZ384" s="2" t="s">
        <v>100</v>
      </c>
    </row>
    <row r="385">
      <c r="A385" s="2" t="s">
        <v>1567</v>
      </c>
      <c r="B385" s="2" t="s">
        <v>87</v>
      </c>
      <c r="C385" s="2" t="s">
        <v>88</v>
      </c>
      <c r="D385" s="2" t="s">
        <v>89</v>
      </c>
      <c r="E385" s="2" t="s">
        <v>90</v>
      </c>
      <c r="F385" s="2" t="s">
        <v>1560</v>
      </c>
      <c r="G385" s="2" t="s">
        <v>1561</v>
      </c>
      <c r="H385" s="2" t="s">
        <v>1562</v>
      </c>
      <c r="I385" s="2" t="s">
        <v>1563</v>
      </c>
      <c r="J385" s="2" t="s">
        <v>795</v>
      </c>
      <c r="K385" s="2" t="s">
        <v>96</v>
      </c>
      <c r="L385" s="3">
        <v>50.28</v>
      </c>
      <c r="M385" s="3">
        <v>52.79</v>
      </c>
      <c r="N385" s="3">
        <v>109.99</v>
      </c>
      <c r="O385" s="2" t="s">
        <v>97</v>
      </c>
      <c r="P385" s="2" t="s">
        <v>1216</v>
      </c>
      <c r="Q385" s="2" t="s">
        <v>99</v>
      </c>
      <c r="R385" s="2" t="s">
        <v>100</v>
      </c>
      <c r="S385" s="2" t="s">
        <v>1564</v>
      </c>
      <c r="T385" s="2" t="s">
        <v>1565</v>
      </c>
      <c r="U385" s="2" t="s">
        <v>644</v>
      </c>
      <c r="V385" s="2" t="s">
        <v>645</v>
      </c>
      <c r="W385" s="2" t="s">
        <v>1240</v>
      </c>
      <c r="X385" s="2" t="s">
        <v>100</v>
      </c>
      <c r="Y385" s="2" t="s">
        <v>1568</v>
      </c>
      <c r="Z385" s="4">
        <v>307</v>
      </c>
      <c r="AA385" s="4">
        <f>=ROUNDDOWN(43.8571428571429,0)</f>
      </c>
      <c r="AB385" s="5">
        <v>7</v>
      </c>
      <c r="AC385" s="2" t="s">
        <v>100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/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/>
      <c r="BJ385" s="4">
        <v>6</v>
      </c>
      <c r="BK385" s="8">
        <v>331.57</v>
      </c>
      <c r="BL385" s="2" t="s">
        <v>325</v>
      </c>
      <c r="BM385" s="7"/>
      <c r="BN385" s="7"/>
      <c r="BO385" s="4"/>
      <c r="BP385" s="8"/>
      <c r="BQ385" s="4"/>
      <c r="BR385" s="8"/>
      <c r="BS385" s="7"/>
      <c r="BT385" s="7"/>
      <c r="BU385" s="2" t="s">
        <v>109</v>
      </c>
      <c r="BV385" s="2" t="s">
        <v>97</v>
      </c>
      <c r="BW385" s="2" t="s">
        <v>1569</v>
      </c>
      <c r="BX385" s="2" t="s">
        <v>1570</v>
      </c>
      <c r="BY385" s="2" t="s">
        <v>112</v>
      </c>
      <c r="BZ385" s="2" t="s">
        <v>100</v>
      </c>
    </row>
    <row r="386">
      <c r="A386" s="2" t="s">
        <v>1571</v>
      </c>
      <c r="B386" s="2" t="s">
        <v>87</v>
      </c>
      <c r="C386" s="2" t="s">
        <v>88</v>
      </c>
      <c r="D386" s="2" t="s">
        <v>89</v>
      </c>
      <c r="E386" s="2" t="s">
        <v>90</v>
      </c>
      <c r="F386" s="2" t="s">
        <v>1560</v>
      </c>
      <c r="G386" s="2" t="s">
        <v>1561</v>
      </c>
      <c r="H386" s="2" t="s">
        <v>1562</v>
      </c>
      <c r="I386" s="2" t="s">
        <v>1563</v>
      </c>
      <c r="J386" s="2" t="s">
        <v>785</v>
      </c>
      <c r="K386" s="2" t="s">
        <v>1572</v>
      </c>
      <c r="L386" s="3">
        <v>45.71</v>
      </c>
      <c r="M386" s="3">
        <v>48</v>
      </c>
      <c r="N386" s="3">
        <v>99.99</v>
      </c>
      <c r="O386" s="2" t="s">
        <v>97</v>
      </c>
      <c r="P386" s="2" t="s">
        <v>1216</v>
      </c>
      <c r="Q386" s="2" t="s">
        <v>99</v>
      </c>
      <c r="R386" s="2" t="s">
        <v>100</v>
      </c>
      <c r="S386" s="2" t="s">
        <v>1573</v>
      </c>
      <c r="T386" s="2" t="s">
        <v>1565</v>
      </c>
      <c r="U386" s="2" t="s">
        <v>644</v>
      </c>
      <c r="V386" s="2" t="s">
        <v>645</v>
      </c>
      <c r="W386" s="2" t="s">
        <v>1240</v>
      </c>
      <c r="X386" s="2" t="s">
        <v>100</v>
      </c>
      <c r="Y386" s="2" t="s">
        <v>1566</v>
      </c>
      <c r="Z386" s="4">
        <v>379</v>
      </c>
      <c r="AA386" s="4">
        <f>=ROUNDDOWN(75.8,0)</f>
      </c>
      <c r="AB386" s="5">
        <v>5</v>
      </c>
      <c r="AC386" s="2" t="s">
        <v>100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/>
      <c r="BJ386" s="4">
        <v>3</v>
      </c>
      <c r="BK386" s="8">
        <v>156.98</v>
      </c>
      <c r="BL386" s="2" t="s">
        <v>407</v>
      </c>
      <c r="BM386" s="7"/>
      <c r="BN386" s="7"/>
      <c r="BO386" s="4"/>
      <c r="BP386" s="8"/>
      <c r="BQ386" s="4"/>
      <c r="BR386" s="8"/>
      <c r="BS386" s="7"/>
      <c r="BT386" s="7"/>
      <c r="BU386" s="2" t="s">
        <v>109</v>
      </c>
      <c r="BV386" s="2" t="s">
        <v>97</v>
      </c>
      <c r="BW386" s="2" t="s">
        <v>1566</v>
      </c>
      <c r="BX386" s="2" t="s">
        <v>1574</v>
      </c>
      <c r="BY386" s="2" t="s">
        <v>112</v>
      </c>
      <c r="BZ386" s="2" t="s">
        <v>100</v>
      </c>
    </row>
    <row r="387">
      <c r="A387" s="2" t="s">
        <v>1575</v>
      </c>
      <c r="B387" s="2" t="s">
        <v>87</v>
      </c>
      <c r="C387" s="2" t="s">
        <v>88</v>
      </c>
      <c r="D387" s="2" t="s">
        <v>89</v>
      </c>
      <c r="E387" s="2" t="s">
        <v>90</v>
      </c>
      <c r="F387" s="2" t="s">
        <v>1560</v>
      </c>
      <c r="G387" s="2" t="s">
        <v>1561</v>
      </c>
      <c r="H387" s="2" t="s">
        <v>1562</v>
      </c>
      <c r="I387" s="2" t="s">
        <v>1563</v>
      </c>
      <c r="J387" s="2" t="s">
        <v>795</v>
      </c>
      <c r="K387" s="2" t="s">
        <v>1572</v>
      </c>
      <c r="L387" s="3">
        <v>50.28</v>
      </c>
      <c r="M387" s="3">
        <v>52.79</v>
      </c>
      <c r="N387" s="3">
        <v>109.99</v>
      </c>
      <c r="O387" s="2" t="s">
        <v>97</v>
      </c>
      <c r="P387" s="2" t="s">
        <v>1216</v>
      </c>
      <c r="Q387" s="2" t="s">
        <v>99</v>
      </c>
      <c r="R387" s="2" t="s">
        <v>100</v>
      </c>
      <c r="S387" s="2" t="s">
        <v>1573</v>
      </c>
      <c r="T387" s="2" t="s">
        <v>1565</v>
      </c>
      <c r="U387" s="2" t="s">
        <v>644</v>
      </c>
      <c r="V387" s="2" t="s">
        <v>645</v>
      </c>
      <c r="W387" s="2" t="s">
        <v>1240</v>
      </c>
      <c r="X387" s="2" t="s">
        <v>100</v>
      </c>
      <c r="Y387" s="2" t="s">
        <v>1566</v>
      </c>
      <c r="Z387" s="4">
        <v>254</v>
      </c>
      <c r="AA387" s="4">
        <f>=ROUNDDOWN(36.2857142857143,0)</f>
      </c>
      <c r="AB387" s="5">
        <v>7</v>
      </c>
      <c r="AC387" s="2" t="s">
        <v>100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/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/>
      <c r="BJ387" s="4">
        <v>4</v>
      </c>
      <c r="BK387" s="8">
        <v>228.88</v>
      </c>
      <c r="BL387" s="2" t="s">
        <v>407</v>
      </c>
      <c r="BM387" s="7"/>
      <c r="BN387" s="7"/>
      <c r="BO387" s="4"/>
      <c r="BP387" s="8"/>
      <c r="BQ387" s="4"/>
      <c r="BR387" s="8"/>
      <c r="BS387" s="7"/>
      <c r="BT387" s="7"/>
      <c r="BU387" s="2" t="s">
        <v>109</v>
      </c>
      <c r="BV387" s="2" t="s">
        <v>97</v>
      </c>
      <c r="BW387" s="2" t="s">
        <v>1566</v>
      </c>
      <c r="BX387" s="2" t="s">
        <v>814</v>
      </c>
      <c r="BY387" s="2" t="s">
        <v>112</v>
      </c>
      <c r="BZ387" s="2" t="s">
        <v>100</v>
      </c>
    </row>
    <row r="388">
      <c r="A388" s="2" t="s">
        <v>1576</v>
      </c>
      <c r="B388" s="2" t="s">
        <v>87</v>
      </c>
      <c r="C388" s="2" t="s">
        <v>88</v>
      </c>
      <c r="D388" s="2" t="s">
        <v>89</v>
      </c>
      <c r="E388" s="2" t="s">
        <v>90</v>
      </c>
      <c r="F388" s="2" t="s">
        <v>1560</v>
      </c>
      <c r="G388" s="2" t="s">
        <v>1561</v>
      </c>
      <c r="H388" s="2" t="s">
        <v>1562</v>
      </c>
      <c r="I388" s="2" t="s">
        <v>1563</v>
      </c>
      <c r="J388" s="2" t="s">
        <v>785</v>
      </c>
      <c r="K388" s="2" t="s">
        <v>1515</v>
      </c>
      <c r="L388" s="3">
        <v>45.71</v>
      </c>
      <c r="M388" s="3">
        <v>48</v>
      </c>
      <c r="N388" s="3">
        <v>99.99</v>
      </c>
      <c r="O388" s="2" t="s">
        <v>97</v>
      </c>
      <c r="P388" s="2" t="s">
        <v>1216</v>
      </c>
      <c r="Q388" s="2" t="s">
        <v>99</v>
      </c>
      <c r="R388" s="2" t="s">
        <v>100</v>
      </c>
      <c r="S388" s="2" t="s">
        <v>1577</v>
      </c>
      <c r="T388" s="2" t="s">
        <v>1565</v>
      </c>
      <c r="U388" s="2" t="s">
        <v>644</v>
      </c>
      <c r="V388" s="2" t="s">
        <v>645</v>
      </c>
      <c r="W388" s="2" t="s">
        <v>1240</v>
      </c>
      <c r="X388" s="2" t="s">
        <v>100</v>
      </c>
      <c r="Y388" s="2" t="s">
        <v>1566</v>
      </c>
      <c r="Z388" s="4">
        <v>355</v>
      </c>
      <c r="AA388" s="4">
        <f>=ROUNDDOWN(59.1666666666667,0)</f>
      </c>
      <c r="AB388" s="5">
        <v>6</v>
      </c>
      <c r="AC388" s="2" t="s">
        <v>100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/>
      <c r="BJ388" s="4">
        <v>6</v>
      </c>
      <c r="BK388" s="8">
        <v>288.96</v>
      </c>
      <c r="BL388" s="2" t="s">
        <v>701</v>
      </c>
      <c r="BM388" s="7"/>
      <c r="BN388" s="7"/>
      <c r="BO388" s="4"/>
      <c r="BP388" s="8"/>
      <c r="BQ388" s="4"/>
      <c r="BR388" s="8"/>
      <c r="BS388" s="7"/>
      <c r="BT388" s="7"/>
      <c r="BU388" s="2" t="s">
        <v>109</v>
      </c>
      <c r="BV388" s="2" t="s">
        <v>97</v>
      </c>
      <c r="BW388" s="2" t="s">
        <v>1566</v>
      </c>
      <c r="BX388" s="2" t="s">
        <v>100</v>
      </c>
      <c r="BY388" s="2" t="s">
        <v>112</v>
      </c>
      <c r="BZ388" s="2" t="s">
        <v>100</v>
      </c>
    </row>
    <row r="389">
      <c r="A389" s="2" t="s">
        <v>1578</v>
      </c>
      <c r="B389" s="2" t="s">
        <v>87</v>
      </c>
      <c r="C389" s="2" t="s">
        <v>88</v>
      </c>
      <c r="D389" s="2" t="s">
        <v>89</v>
      </c>
      <c r="E389" s="2" t="s">
        <v>90</v>
      </c>
      <c r="F389" s="2" t="s">
        <v>1560</v>
      </c>
      <c r="G389" s="2" t="s">
        <v>1561</v>
      </c>
      <c r="H389" s="2" t="s">
        <v>1562</v>
      </c>
      <c r="I389" s="2" t="s">
        <v>1563</v>
      </c>
      <c r="J389" s="2" t="s">
        <v>795</v>
      </c>
      <c r="K389" s="2" t="s">
        <v>1515</v>
      </c>
      <c r="L389" s="3">
        <v>50.28</v>
      </c>
      <c r="M389" s="3">
        <v>52.79</v>
      </c>
      <c r="N389" s="3">
        <v>109.99</v>
      </c>
      <c r="O389" s="2" t="s">
        <v>97</v>
      </c>
      <c r="P389" s="2" t="s">
        <v>1216</v>
      </c>
      <c r="Q389" s="2" t="s">
        <v>99</v>
      </c>
      <c r="R389" s="2" t="s">
        <v>100</v>
      </c>
      <c r="S389" s="2" t="s">
        <v>1577</v>
      </c>
      <c r="T389" s="2" t="s">
        <v>1565</v>
      </c>
      <c r="U389" s="2" t="s">
        <v>644</v>
      </c>
      <c r="V389" s="2" t="s">
        <v>645</v>
      </c>
      <c r="W389" s="2" t="s">
        <v>1240</v>
      </c>
      <c r="X389" s="2" t="s">
        <v>100</v>
      </c>
      <c r="Y389" s="2" t="s">
        <v>1566</v>
      </c>
      <c r="Z389" s="4">
        <v>210</v>
      </c>
      <c r="AA389" s="4">
        <f>=ROUNDDOWN(19.0909090909091,0)</f>
      </c>
      <c r="AB389" s="5">
        <v>11</v>
      </c>
      <c r="AC389" s="2" t="s">
        <v>100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/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/>
      <c r="BJ389" s="4">
        <v>10</v>
      </c>
      <c r="BK389" s="8">
        <v>606.97</v>
      </c>
      <c r="BL389" s="2" t="s">
        <v>1579</v>
      </c>
      <c r="BM389" s="7"/>
      <c r="BN389" s="7"/>
      <c r="BO389" s="4"/>
      <c r="BP389" s="8"/>
      <c r="BQ389" s="4"/>
      <c r="BR389" s="8"/>
      <c r="BS389" s="7"/>
      <c r="BT389" s="7"/>
      <c r="BU389" s="2" t="s">
        <v>109</v>
      </c>
      <c r="BV389" s="2" t="s">
        <v>97</v>
      </c>
      <c r="BW389" s="2" t="s">
        <v>1566</v>
      </c>
      <c r="BX389" s="2" t="s">
        <v>814</v>
      </c>
      <c r="BY389" s="2" t="s">
        <v>112</v>
      </c>
      <c r="BZ389" s="2" t="s">
        <v>100</v>
      </c>
    </row>
    <row r="390">
      <c r="A390" s="2" t="s">
        <v>1580</v>
      </c>
      <c r="B390" s="2" t="s">
        <v>87</v>
      </c>
      <c r="C390" s="2" t="s">
        <v>88</v>
      </c>
      <c r="D390" s="2" t="s">
        <v>89</v>
      </c>
      <c r="E390" s="2" t="s">
        <v>90</v>
      </c>
      <c r="F390" s="2" t="s">
        <v>1581</v>
      </c>
      <c r="G390" s="2" t="s">
        <v>1582</v>
      </c>
      <c r="H390" s="2" t="s">
        <v>1583</v>
      </c>
      <c r="I390" s="2" t="s">
        <v>1279</v>
      </c>
      <c r="J390" s="2" t="s">
        <v>785</v>
      </c>
      <c r="K390" s="2" t="s">
        <v>185</v>
      </c>
      <c r="L390" s="3">
        <v>41.14</v>
      </c>
      <c r="M390" s="3">
        <v>43.2</v>
      </c>
      <c r="N390" s="3">
        <v>89.99</v>
      </c>
      <c r="O390" s="2" t="s">
        <v>97</v>
      </c>
      <c r="P390" s="2" t="s">
        <v>1216</v>
      </c>
      <c r="Q390" s="2" t="s">
        <v>99</v>
      </c>
      <c r="R390" s="2" t="s">
        <v>100</v>
      </c>
      <c r="S390" s="2" t="s">
        <v>1584</v>
      </c>
      <c r="T390" s="2" t="s">
        <v>1218</v>
      </c>
      <c r="U390" s="2" t="s">
        <v>676</v>
      </c>
      <c r="V390" s="2" t="s">
        <v>344</v>
      </c>
      <c r="W390" s="2" t="s">
        <v>244</v>
      </c>
      <c r="X390" s="2" t="s">
        <v>100</v>
      </c>
      <c r="Y390" s="2" t="s">
        <v>1281</v>
      </c>
      <c r="Z390" s="4">
        <v>215</v>
      </c>
      <c r="AA390" s="4">
        <f>=ROUNDDOWN(179.166666666667,0)</f>
      </c>
      <c r="AB390" s="5">
        <v>1.2</v>
      </c>
      <c r="AC390" s="2" t="s">
        <v>900</v>
      </c>
      <c r="AD390" s="4">
        <v>220</v>
      </c>
      <c r="AE390" s="4">
        <v>220</v>
      </c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/>
      <c r="BJ390" s="4">
        <v>1</v>
      </c>
      <c r="BK390" s="8">
        <v>46.65</v>
      </c>
      <c r="BL390" s="2" t="s">
        <v>715</v>
      </c>
      <c r="BM390" s="7"/>
      <c r="BN390" s="7"/>
      <c r="BO390" s="4"/>
      <c r="BP390" s="8"/>
      <c r="BQ390" s="4"/>
      <c r="BR390" s="8"/>
      <c r="BS390" s="7"/>
      <c r="BT390" s="7"/>
      <c r="BU390" s="2" t="s">
        <v>109</v>
      </c>
      <c r="BV390" s="2" t="s">
        <v>97</v>
      </c>
      <c r="BW390" s="2" t="s">
        <v>1221</v>
      </c>
      <c r="BX390" s="2" t="s">
        <v>100</v>
      </c>
      <c r="BY390" s="2" t="s">
        <v>112</v>
      </c>
      <c r="BZ390" s="2" t="s">
        <v>100</v>
      </c>
    </row>
    <row r="391">
      <c r="A391" s="2" t="s">
        <v>1585</v>
      </c>
      <c r="B391" s="2" t="s">
        <v>87</v>
      </c>
      <c r="C391" s="2" t="s">
        <v>88</v>
      </c>
      <c r="D391" s="2" t="s">
        <v>89</v>
      </c>
      <c r="E391" s="2" t="s">
        <v>90</v>
      </c>
      <c r="F391" s="2" t="s">
        <v>1581</v>
      </c>
      <c r="G391" s="2" t="s">
        <v>1582</v>
      </c>
      <c r="H391" s="2" t="s">
        <v>1583</v>
      </c>
      <c r="I391" s="2" t="s">
        <v>1279</v>
      </c>
      <c r="J391" s="2" t="s">
        <v>795</v>
      </c>
      <c r="K391" s="2" t="s">
        <v>185</v>
      </c>
      <c r="L391" s="3">
        <v>45.71</v>
      </c>
      <c r="M391" s="3">
        <v>48</v>
      </c>
      <c r="N391" s="3">
        <v>99.99</v>
      </c>
      <c r="O391" s="2" t="s">
        <v>97</v>
      </c>
      <c r="P391" s="2" t="s">
        <v>1216</v>
      </c>
      <c r="Q391" s="2" t="s">
        <v>99</v>
      </c>
      <c r="R391" s="2" t="s">
        <v>100</v>
      </c>
      <c r="S391" s="2" t="s">
        <v>1584</v>
      </c>
      <c r="T391" s="2" t="s">
        <v>1218</v>
      </c>
      <c r="U391" s="2" t="s">
        <v>676</v>
      </c>
      <c r="V391" s="2" t="s">
        <v>344</v>
      </c>
      <c r="W391" s="2" t="s">
        <v>244</v>
      </c>
      <c r="X391" s="2" t="s">
        <v>100</v>
      </c>
      <c r="Y391" s="2" t="s">
        <v>1281</v>
      </c>
      <c r="Z391" s="4">
        <v>175</v>
      </c>
      <c r="AA391" s="4">
        <f>=ROUNDDOWN(175,0)</f>
      </c>
      <c r="AB391" s="5">
        <v>1</v>
      </c>
      <c r="AC391" s="2" t="s">
        <v>900</v>
      </c>
      <c r="AD391" s="4">
        <v>180</v>
      </c>
      <c r="AE391" s="4">
        <v>180</v>
      </c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/>
      <c r="BJ391" s="4"/>
      <c r="BK391" s="8"/>
      <c r="BL391" s="2" t="s">
        <v>100</v>
      </c>
      <c r="BM391" s="7"/>
      <c r="BN391" s="7"/>
      <c r="BO391" s="4"/>
      <c r="BP391" s="8"/>
      <c r="BQ391" s="4"/>
      <c r="BR391" s="8"/>
      <c r="BS391" s="7"/>
      <c r="BT391" s="7"/>
      <c r="BU391" s="2" t="s">
        <v>109</v>
      </c>
      <c r="BV391" s="2" t="s">
        <v>97</v>
      </c>
      <c r="BW391" s="2" t="s">
        <v>1221</v>
      </c>
      <c r="BX391" s="2" t="s">
        <v>100</v>
      </c>
      <c r="BY391" s="2" t="s">
        <v>112</v>
      </c>
      <c r="BZ391" s="2" t="s">
        <v>100</v>
      </c>
    </row>
    <row r="392">
      <c r="A392" s="2" t="s">
        <v>1586</v>
      </c>
      <c r="B392" s="2" t="s">
        <v>87</v>
      </c>
      <c r="C392" s="2" t="s">
        <v>88</v>
      </c>
      <c r="D392" s="2" t="s">
        <v>89</v>
      </c>
      <c r="E392" s="2" t="s">
        <v>90</v>
      </c>
      <c r="F392" s="2" t="s">
        <v>1581</v>
      </c>
      <c r="G392" s="2" t="s">
        <v>1582</v>
      </c>
      <c r="H392" s="2" t="s">
        <v>1583</v>
      </c>
      <c r="I392" s="2" t="s">
        <v>1279</v>
      </c>
      <c r="J392" s="2" t="s">
        <v>785</v>
      </c>
      <c r="K392" s="2" t="s">
        <v>129</v>
      </c>
      <c r="L392" s="3">
        <v>41.14</v>
      </c>
      <c r="M392" s="3">
        <v>43.2</v>
      </c>
      <c r="N392" s="3">
        <v>89.99</v>
      </c>
      <c r="O392" s="2" t="s">
        <v>97</v>
      </c>
      <c r="P392" s="2" t="s">
        <v>1216</v>
      </c>
      <c r="Q392" s="2" t="s">
        <v>99</v>
      </c>
      <c r="R392" s="2" t="s">
        <v>100</v>
      </c>
      <c r="S392" s="2" t="s">
        <v>1587</v>
      </c>
      <c r="T392" s="2" t="s">
        <v>1218</v>
      </c>
      <c r="U392" s="2" t="s">
        <v>676</v>
      </c>
      <c r="V392" s="2" t="s">
        <v>344</v>
      </c>
      <c r="W392" s="2" t="s">
        <v>244</v>
      </c>
      <c r="X392" s="2" t="s">
        <v>100</v>
      </c>
      <c r="Y392" s="2" t="s">
        <v>1281</v>
      </c>
      <c r="Z392" s="4">
        <v>216</v>
      </c>
      <c r="AA392" s="4">
        <f>=ROUNDDOWN(432,0)</f>
      </c>
      <c r="AB392" s="5">
        <v>0.5</v>
      </c>
      <c r="AC392" s="2" t="s">
        <v>900</v>
      </c>
      <c r="AD392" s="4">
        <v>220</v>
      </c>
      <c r="AE392" s="4">
        <v>220</v>
      </c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/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/>
      <c r="BJ392" s="4"/>
      <c r="BK392" s="8"/>
      <c r="BL392" s="2" t="s">
        <v>100</v>
      </c>
      <c r="BM392" s="7"/>
      <c r="BN392" s="7"/>
      <c r="BO392" s="4"/>
      <c r="BP392" s="8"/>
      <c r="BQ392" s="4"/>
      <c r="BR392" s="8"/>
      <c r="BS392" s="7"/>
      <c r="BT392" s="7"/>
      <c r="BU392" s="2" t="s">
        <v>109</v>
      </c>
      <c r="BV392" s="2" t="s">
        <v>97</v>
      </c>
      <c r="BW392" s="2" t="s">
        <v>1221</v>
      </c>
      <c r="BX392" s="2" t="s">
        <v>100</v>
      </c>
      <c r="BY392" s="2" t="s">
        <v>112</v>
      </c>
      <c r="BZ392" s="2" t="s">
        <v>100</v>
      </c>
    </row>
    <row r="393">
      <c r="A393" s="2" t="s">
        <v>1588</v>
      </c>
      <c r="B393" s="2" t="s">
        <v>87</v>
      </c>
      <c r="C393" s="2" t="s">
        <v>88</v>
      </c>
      <c r="D393" s="2" t="s">
        <v>89</v>
      </c>
      <c r="E393" s="2" t="s">
        <v>90</v>
      </c>
      <c r="F393" s="2" t="s">
        <v>1581</v>
      </c>
      <c r="G393" s="2" t="s">
        <v>1582</v>
      </c>
      <c r="H393" s="2" t="s">
        <v>1583</v>
      </c>
      <c r="I393" s="2" t="s">
        <v>1279</v>
      </c>
      <c r="J393" s="2" t="s">
        <v>795</v>
      </c>
      <c r="K393" s="2" t="s">
        <v>129</v>
      </c>
      <c r="L393" s="3">
        <v>45.71</v>
      </c>
      <c r="M393" s="3">
        <v>48</v>
      </c>
      <c r="N393" s="3">
        <v>99.99</v>
      </c>
      <c r="O393" s="2" t="s">
        <v>97</v>
      </c>
      <c r="P393" s="2" t="s">
        <v>1216</v>
      </c>
      <c r="Q393" s="2" t="s">
        <v>99</v>
      </c>
      <c r="R393" s="2" t="s">
        <v>100</v>
      </c>
      <c r="S393" s="2" t="s">
        <v>1587</v>
      </c>
      <c r="T393" s="2" t="s">
        <v>1218</v>
      </c>
      <c r="U393" s="2" t="s">
        <v>676</v>
      </c>
      <c r="V393" s="2" t="s">
        <v>344</v>
      </c>
      <c r="W393" s="2" t="s">
        <v>244</v>
      </c>
      <c r="X393" s="2" t="s">
        <v>100</v>
      </c>
      <c r="Y393" s="2" t="s">
        <v>1281</v>
      </c>
      <c r="Z393" s="4">
        <v>179</v>
      </c>
      <c r="AA393" s="4">
        <f>=ROUNDDOWN(596.666666666667,0)</f>
      </c>
      <c r="AB393" s="5">
        <v>0.3</v>
      </c>
      <c r="AC393" s="2" t="s">
        <v>900</v>
      </c>
      <c r="AD393" s="4">
        <v>180</v>
      </c>
      <c r="AE393" s="4">
        <v>180</v>
      </c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/>
      <c r="BJ393" s="4"/>
      <c r="BK393" s="8"/>
      <c r="BL393" s="2" t="s">
        <v>100</v>
      </c>
      <c r="BM393" s="7"/>
      <c r="BN393" s="7"/>
      <c r="BO393" s="4"/>
      <c r="BP393" s="8"/>
      <c r="BQ393" s="4"/>
      <c r="BR393" s="8"/>
      <c r="BS393" s="7"/>
      <c r="BT393" s="7"/>
      <c r="BU393" s="2" t="s">
        <v>109</v>
      </c>
      <c r="BV393" s="2" t="s">
        <v>97</v>
      </c>
      <c r="BW393" s="2" t="s">
        <v>1221</v>
      </c>
      <c r="BX393" s="2" t="s">
        <v>100</v>
      </c>
      <c r="BY393" s="2" t="s">
        <v>112</v>
      </c>
      <c r="BZ393" s="2" t="s">
        <v>100</v>
      </c>
    </row>
    <row r="394">
      <c r="A394" s="2" t="s">
        <v>1589</v>
      </c>
      <c r="B394" s="2" t="s">
        <v>87</v>
      </c>
      <c r="C394" s="2" t="s">
        <v>88</v>
      </c>
      <c r="D394" s="2" t="s">
        <v>89</v>
      </c>
      <c r="E394" s="2" t="s">
        <v>90</v>
      </c>
      <c r="F394" s="2" t="s">
        <v>1590</v>
      </c>
      <c r="G394" s="2" t="s">
        <v>396</v>
      </c>
      <c r="H394" s="2" t="s">
        <v>1591</v>
      </c>
      <c r="I394" s="2" t="s">
        <v>1279</v>
      </c>
      <c r="J394" s="2" t="s">
        <v>785</v>
      </c>
      <c r="K394" s="2" t="s">
        <v>1592</v>
      </c>
      <c r="L394" s="3">
        <v>41.14</v>
      </c>
      <c r="M394" s="3">
        <v>43.2</v>
      </c>
      <c r="N394" s="3">
        <v>89.99</v>
      </c>
      <c r="O394" s="2" t="s">
        <v>97</v>
      </c>
      <c r="P394" s="2" t="s">
        <v>1216</v>
      </c>
      <c r="Q394" s="2" t="s">
        <v>99</v>
      </c>
      <c r="R394" s="2" t="s">
        <v>100</v>
      </c>
      <c r="S394" s="2" t="s">
        <v>1593</v>
      </c>
      <c r="T394" s="2" t="s">
        <v>1218</v>
      </c>
      <c r="U394" s="2" t="s">
        <v>676</v>
      </c>
      <c r="V394" s="2" t="s">
        <v>805</v>
      </c>
      <c r="W394" s="2" t="s">
        <v>244</v>
      </c>
      <c r="X394" s="2" t="s">
        <v>104</v>
      </c>
      <c r="Y394" s="2" t="s">
        <v>1594</v>
      </c>
      <c r="Z394" s="4">
        <v>199</v>
      </c>
      <c r="AA394" s="4">
        <f>=ROUNDDOWN(110.555555555556,0)</f>
      </c>
      <c r="AB394" s="5">
        <v>1.8</v>
      </c>
      <c r="AC394" s="2" t="s">
        <v>1595</v>
      </c>
      <c r="AD394" s="4">
        <v>200</v>
      </c>
      <c r="AE394" s="4">
        <v>200</v>
      </c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/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/>
      <c r="BJ394" s="4">
        <v>2</v>
      </c>
      <c r="BK394" s="8">
        <v>93.3</v>
      </c>
      <c r="BL394" s="2" t="s">
        <v>715</v>
      </c>
      <c r="BM394" s="7"/>
      <c r="BN394" s="7"/>
      <c r="BO394" s="4"/>
      <c r="BP394" s="8"/>
      <c r="BQ394" s="4"/>
      <c r="BR394" s="8"/>
      <c r="BS394" s="7"/>
      <c r="BT394" s="7"/>
      <c r="BU394" s="2" t="s">
        <v>109</v>
      </c>
      <c r="BV394" s="2" t="s">
        <v>97</v>
      </c>
      <c r="BW394" s="2" t="s">
        <v>1221</v>
      </c>
      <c r="BX394" s="2" t="s">
        <v>100</v>
      </c>
      <c r="BY394" s="2" t="s">
        <v>112</v>
      </c>
      <c r="BZ394" s="2" t="s">
        <v>100</v>
      </c>
    </row>
    <row r="395">
      <c r="A395" s="2" t="s">
        <v>1596</v>
      </c>
      <c r="B395" s="2" t="s">
        <v>87</v>
      </c>
      <c r="C395" s="2" t="s">
        <v>88</v>
      </c>
      <c r="D395" s="2" t="s">
        <v>89</v>
      </c>
      <c r="E395" s="2" t="s">
        <v>90</v>
      </c>
      <c r="F395" s="2" t="s">
        <v>1590</v>
      </c>
      <c r="G395" s="2" t="s">
        <v>396</v>
      </c>
      <c r="H395" s="2" t="s">
        <v>1591</v>
      </c>
      <c r="I395" s="2" t="s">
        <v>1279</v>
      </c>
      <c r="J395" s="2" t="s">
        <v>795</v>
      </c>
      <c r="K395" s="2" t="s">
        <v>1592</v>
      </c>
      <c r="L395" s="3">
        <v>45.71</v>
      </c>
      <c r="M395" s="3">
        <v>48</v>
      </c>
      <c r="N395" s="3">
        <v>99.99</v>
      </c>
      <c r="O395" s="2" t="s">
        <v>97</v>
      </c>
      <c r="P395" s="2" t="s">
        <v>1216</v>
      </c>
      <c r="Q395" s="2" t="s">
        <v>99</v>
      </c>
      <c r="R395" s="2" t="s">
        <v>100</v>
      </c>
      <c r="S395" s="2" t="s">
        <v>1593</v>
      </c>
      <c r="T395" s="2" t="s">
        <v>1218</v>
      </c>
      <c r="U395" s="2" t="s">
        <v>676</v>
      </c>
      <c r="V395" s="2" t="s">
        <v>805</v>
      </c>
      <c r="W395" s="2" t="s">
        <v>244</v>
      </c>
      <c r="X395" s="2" t="s">
        <v>104</v>
      </c>
      <c r="Y395" s="2" t="s">
        <v>1594</v>
      </c>
      <c r="Z395" s="4">
        <v>197</v>
      </c>
      <c r="AA395" s="4">
        <f>=ROUNDDOWN(218.888888888889,0)</f>
      </c>
      <c r="AB395" s="5">
        <v>0.9</v>
      </c>
      <c r="AC395" s="2" t="s">
        <v>1595</v>
      </c>
      <c r="AD395" s="4">
        <v>200</v>
      </c>
      <c r="AE395" s="4">
        <v>200</v>
      </c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/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/>
      <c r="BJ395" s="4">
        <v>1</v>
      </c>
      <c r="BK395" s="8">
        <v>51.84</v>
      </c>
      <c r="BL395" s="2" t="s">
        <v>715</v>
      </c>
      <c r="BM395" s="7"/>
      <c r="BN395" s="7"/>
      <c r="BO395" s="4"/>
      <c r="BP395" s="8"/>
      <c r="BQ395" s="4"/>
      <c r="BR395" s="8"/>
      <c r="BS395" s="7"/>
      <c r="BT395" s="7"/>
      <c r="BU395" s="2" t="s">
        <v>109</v>
      </c>
      <c r="BV395" s="2" t="s">
        <v>97</v>
      </c>
      <c r="BW395" s="2" t="s">
        <v>1221</v>
      </c>
      <c r="BX395" s="2" t="s">
        <v>100</v>
      </c>
      <c r="BY395" s="2" t="s">
        <v>112</v>
      </c>
      <c r="BZ395" s="2" t="s">
        <v>100</v>
      </c>
    </row>
    <row r="396">
      <c r="A396" s="2" t="s">
        <v>1597</v>
      </c>
      <c r="B396" s="2" t="s">
        <v>87</v>
      </c>
      <c r="C396" s="2" t="s">
        <v>88</v>
      </c>
      <c r="D396" s="2" t="s">
        <v>89</v>
      </c>
      <c r="E396" s="2" t="s">
        <v>90</v>
      </c>
      <c r="F396" s="2" t="s">
        <v>1590</v>
      </c>
      <c r="G396" s="2" t="s">
        <v>396</v>
      </c>
      <c r="H396" s="2" t="s">
        <v>1591</v>
      </c>
      <c r="I396" s="2" t="s">
        <v>1279</v>
      </c>
      <c r="J396" s="2" t="s">
        <v>785</v>
      </c>
      <c r="K396" s="2" t="s">
        <v>1598</v>
      </c>
      <c r="L396" s="3">
        <v>41.14</v>
      </c>
      <c r="M396" s="3">
        <v>43.2</v>
      </c>
      <c r="N396" s="3">
        <v>89.99</v>
      </c>
      <c r="O396" s="2" t="s">
        <v>97</v>
      </c>
      <c r="P396" s="2" t="s">
        <v>1216</v>
      </c>
      <c r="Q396" s="2" t="s">
        <v>99</v>
      </c>
      <c r="R396" s="2" t="s">
        <v>100</v>
      </c>
      <c r="S396" s="2" t="s">
        <v>1599</v>
      </c>
      <c r="T396" s="2" t="s">
        <v>1218</v>
      </c>
      <c r="U396" s="2" t="s">
        <v>676</v>
      </c>
      <c r="V396" s="2" t="s">
        <v>805</v>
      </c>
      <c r="W396" s="2" t="s">
        <v>244</v>
      </c>
      <c r="X396" s="2" t="s">
        <v>104</v>
      </c>
      <c r="Y396" s="2" t="s">
        <v>1594</v>
      </c>
      <c r="Z396" s="4">
        <v>218</v>
      </c>
      <c r="AA396" s="4">
        <f>=ROUNDDOWN({0},0)</f>
      </c>
      <c r="AB396" s="5"/>
      <c r="AC396" s="2" t="s">
        <v>1595</v>
      </c>
      <c r="AD396" s="4">
        <v>220</v>
      </c>
      <c r="AE396" s="4">
        <v>220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/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/>
      <c r="BJ396" s="4"/>
      <c r="BK396" s="8"/>
      <c r="BL396" s="2" t="s">
        <v>100</v>
      </c>
      <c r="BM396" s="7"/>
      <c r="BN396" s="7"/>
      <c r="BO396" s="4"/>
      <c r="BP396" s="8"/>
      <c r="BQ396" s="4"/>
      <c r="BR396" s="8"/>
      <c r="BS396" s="7"/>
      <c r="BT396" s="7"/>
      <c r="BU396" s="2" t="s">
        <v>109</v>
      </c>
      <c r="BV396" s="2" t="s">
        <v>97</v>
      </c>
      <c r="BW396" s="2" t="s">
        <v>1221</v>
      </c>
      <c r="BX396" s="2" t="s">
        <v>100</v>
      </c>
      <c r="BY396" s="2" t="s">
        <v>112</v>
      </c>
      <c r="BZ396" s="2" t="s">
        <v>100</v>
      </c>
    </row>
    <row r="397">
      <c r="A397" s="2" t="s">
        <v>1600</v>
      </c>
      <c r="B397" s="2" t="s">
        <v>87</v>
      </c>
      <c r="C397" s="2" t="s">
        <v>88</v>
      </c>
      <c r="D397" s="2" t="s">
        <v>89</v>
      </c>
      <c r="E397" s="2" t="s">
        <v>90</v>
      </c>
      <c r="F397" s="2" t="s">
        <v>1590</v>
      </c>
      <c r="G397" s="2" t="s">
        <v>396</v>
      </c>
      <c r="H397" s="2" t="s">
        <v>1591</v>
      </c>
      <c r="I397" s="2" t="s">
        <v>1279</v>
      </c>
      <c r="J397" s="2" t="s">
        <v>795</v>
      </c>
      <c r="K397" s="2" t="s">
        <v>1598</v>
      </c>
      <c r="L397" s="3">
        <v>45.71</v>
      </c>
      <c r="M397" s="3">
        <v>48</v>
      </c>
      <c r="N397" s="3">
        <v>99.99</v>
      </c>
      <c r="O397" s="2" t="s">
        <v>97</v>
      </c>
      <c r="P397" s="2" t="s">
        <v>1216</v>
      </c>
      <c r="Q397" s="2" t="s">
        <v>99</v>
      </c>
      <c r="R397" s="2" t="s">
        <v>100</v>
      </c>
      <c r="S397" s="2" t="s">
        <v>1599</v>
      </c>
      <c r="T397" s="2" t="s">
        <v>1218</v>
      </c>
      <c r="U397" s="2" t="s">
        <v>676</v>
      </c>
      <c r="V397" s="2" t="s">
        <v>805</v>
      </c>
      <c r="W397" s="2" t="s">
        <v>244</v>
      </c>
      <c r="X397" s="2" t="s">
        <v>104</v>
      </c>
      <c r="Y397" s="2" t="s">
        <v>1594</v>
      </c>
      <c r="Z397" s="4">
        <v>178</v>
      </c>
      <c r="AA397" s="4">
        <f>=ROUNDDOWN({0},0)</f>
      </c>
      <c r="AB397" s="5"/>
      <c r="AC397" s="2" t="s">
        <v>1595</v>
      </c>
      <c r="AD397" s="4">
        <v>180</v>
      </c>
      <c r="AE397" s="4">
        <v>180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/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/>
      <c r="BJ397" s="4"/>
      <c r="BK397" s="8"/>
      <c r="BL397" s="2" t="s">
        <v>100</v>
      </c>
      <c r="BM397" s="7"/>
      <c r="BN397" s="7"/>
      <c r="BO397" s="4"/>
      <c r="BP397" s="8"/>
      <c r="BQ397" s="4"/>
      <c r="BR397" s="8"/>
      <c r="BS397" s="7"/>
      <c r="BT397" s="7"/>
      <c r="BU397" s="2" t="s">
        <v>109</v>
      </c>
      <c r="BV397" s="2" t="s">
        <v>97</v>
      </c>
      <c r="BW397" s="2" t="s">
        <v>1221</v>
      </c>
      <c r="BX397" s="2" t="s">
        <v>100</v>
      </c>
      <c r="BY397" s="2" t="s">
        <v>112</v>
      </c>
      <c r="BZ397" s="2" t="s">
        <v>100</v>
      </c>
    </row>
    <row r="398">
      <c r="A398" s="2" t="s">
        <v>1601</v>
      </c>
      <c r="B398" s="2" t="s">
        <v>87</v>
      </c>
      <c r="C398" s="2" t="s">
        <v>88</v>
      </c>
      <c r="D398" s="2" t="s">
        <v>89</v>
      </c>
      <c r="E398" s="2" t="s">
        <v>90</v>
      </c>
      <c r="F398" s="2" t="s">
        <v>1602</v>
      </c>
      <c r="G398" s="2" t="s">
        <v>1603</v>
      </c>
      <c r="H398" s="2" t="s">
        <v>1604</v>
      </c>
      <c r="I398" s="2" t="s">
        <v>1605</v>
      </c>
      <c r="J398" s="2" t="s">
        <v>114</v>
      </c>
      <c r="K398" s="2" t="s">
        <v>227</v>
      </c>
      <c r="L398" s="3">
        <v>69</v>
      </c>
      <c r="M398" s="3">
        <v>72.45</v>
      </c>
      <c r="N398" s="3">
        <v>149.99</v>
      </c>
      <c r="O398" s="2" t="s">
        <v>97</v>
      </c>
      <c r="P398" s="2" t="s">
        <v>447</v>
      </c>
      <c r="Q398" s="2" t="s">
        <v>99</v>
      </c>
      <c r="R398" s="2" t="s">
        <v>100</v>
      </c>
      <c r="S398" s="2" t="s">
        <v>1606</v>
      </c>
      <c r="T398" s="2" t="s">
        <v>100</v>
      </c>
      <c r="U398" s="2" t="s">
        <v>102</v>
      </c>
      <c r="V398" s="2" t="s">
        <v>608</v>
      </c>
      <c r="W398" s="2" t="s">
        <v>1064</v>
      </c>
      <c r="X398" s="2" t="s">
        <v>450</v>
      </c>
      <c r="Y398" s="2" t="s">
        <v>1317</v>
      </c>
      <c r="Z398" s="4">
        <v>90</v>
      </c>
      <c r="AA398" s="4">
        <f>=ROUNDDOWN(9.18367346938776,0)</f>
      </c>
      <c r="AB398" s="5">
        <v>9.8</v>
      </c>
      <c r="AC398" s="2" t="s">
        <v>100</v>
      </c>
      <c r="AD398" s="4"/>
      <c r="AE398" s="4"/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/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/>
      <c r="BJ398" s="4">
        <v>5</v>
      </c>
      <c r="BK398" s="8">
        <v>229.66</v>
      </c>
      <c r="BL398" s="2" t="s">
        <v>325</v>
      </c>
      <c r="BM398" s="7"/>
      <c r="BN398" s="7"/>
      <c r="BO398" s="4"/>
      <c r="BP398" s="8"/>
      <c r="BQ398" s="4"/>
      <c r="BR398" s="8"/>
      <c r="BS398" s="7"/>
      <c r="BT398" s="7"/>
      <c r="BU398" s="2" t="s">
        <v>109</v>
      </c>
      <c r="BV398" s="2" t="s">
        <v>97</v>
      </c>
      <c r="BW398" s="2" t="s">
        <v>122</v>
      </c>
      <c r="BX398" s="2" t="s">
        <v>758</v>
      </c>
      <c r="BY398" s="2" t="s">
        <v>112</v>
      </c>
      <c r="BZ398" s="2" t="s">
        <v>100</v>
      </c>
    </row>
    <row r="399">
      <c r="A399" s="2" t="s">
        <v>1607</v>
      </c>
      <c r="B399" s="2" t="s">
        <v>87</v>
      </c>
      <c r="C399" s="2" t="s">
        <v>88</v>
      </c>
      <c r="D399" s="2" t="s">
        <v>89</v>
      </c>
      <c r="E399" s="2" t="s">
        <v>90</v>
      </c>
      <c r="F399" s="2" t="s">
        <v>1602</v>
      </c>
      <c r="G399" s="2" t="s">
        <v>1603</v>
      </c>
      <c r="H399" s="2" t="s">
        <v>1604</v>
      </c>
      <c r="I399" s="2" t="s">
        <v>1605</v>
      </c>
      <c r="J399" s="2" t="s">
        <v>120</v>
      </c>
      <c r="K399" s="2" t="s">
        <v>227</v>
      </c>
      <c r="L399" s="3">
        <v>78.2</v>
      </c>
      <c r="M399" s="3">
        <v>82.11</v>
      </c>
      <c r="N399" s="3">
        <v>169.99</v>
      </c>
      <c r="O399" s="2" t="s">
        <v>97</v>
      </c>
      <c r="P399" s="2" t="s">
        <v>447</v>
      </c>
      <c r="Q399" s="2" t="s">
        <v>99</v>
      </c>
      <c r="R399" s="2" t="s">
        <v>100</v>
      </c>
      <c r="S399" s="2" t="s">
        <v>1606</v>
      </c>
      <c r="T399" s="2" t="s">
        <v>100</v>
      </c>
      <c r="U399" s="2" t="s">
        <v>102</v>
      </c>
      <c r="V399" s="2" t="s">
        <v>608</v>
      </c>
      <c r="W399" s="2" t="s">
        <v>1064</v>
      </c>
      <c r="X399" s="2" t="s">
        <v>450</v>
      </c>
      <c r="Y399" s="2" t="s">
        <v>1317</v>
      </c>
      <c r="Z399" s="4">
        <v>170</v>
      </c>
      <c r="AA399" s="4">
        <f>=ROUNDDOWN(34,0)</f>
      </c>
      <c r="AB399" s="5">
        <v>5</v>
      </c>
      <c r="AC399" s="2" t="s">
        <v>100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/>
      <c r="BJ399" s="4">
        <v>1</v>
      </c>
      <c r="BK399" s="8">
        <v>40.8</v>
      </c>
      <c r="BL399" s="2" t="s">
        <v>1310</v>
      </c>
      <c r="BM399" s="7"/>
      <c r="BN399" s="7"/>
      <c r="BO399" s="4"/>
      <c r="BP399" s="8"/>
      <c r="BQ399" s="4"/>
      <c r="BR399" s="8"/>
      <c r="BS399" s="7"/>
      <c r="BT399" s="7"/>
      <c r="BU399" s="2" t="s">
        <v>109</v>
      </c>
      <c r="BV399" s="2" t="s">
        <v>97</v>
      </c>
      <c r="BW399" s="2" t="s">
        <v>122</v>
      </c>
      <c r="BX399" s="2" t="s">
        <v>621</v>
      </c>
      <c r="BY399" s="2" t="s">
        <v>112</v>
      </c>
      <c r="BZ399" s="2" t="s">
        <v>100</v>
      </c>
    </row>
    <row r="400">
      <c r="A400" s="2" t="s">
        <v>1608</v>
      </c>
      <c r="B400" s="2" t="s">
        <v>87</v>
      </c>
      <c r="C400" s="2" t="s">
        <v>88</v>
      </c>
      <c r="D400" s="2" t="s">
        <v>89</v>
      </c>
      <c r="E400" s="2" t="s">
        <v>90</v>
      </c>
      <c r="F400" s="2" t="s">
        <v>1602</v>
      </c>
      <c r="G400" s="2" t="s">
        <v>1603</v>
      </c>
      <c r="H400" s="2" t="s">
        <v>1604</v>
      </c>
      <c r="I400" s="2" t="s">
        <v>1605</v>
      </c>
      <c r="J400" s="2" t="s">
        <v>124</v>
      </c>
      <c r="K400" s="2" t="s">
        <v>227</v>
      </c>
      <c r="L400" s="3">
        <v>78.2</v>
      </c>
      <c r="M400" s="3">
        <v>82.11</v>
      </c>
      <c r="N400" s="3">
        <v>169.99</v>
      </c>
      <c r="O400" s="2" t="s">
        <v>97</v>
      </c>
      <c r="P400" s="2" t="s">
        <v>447</v>
      </c>
      <c r="Q400" s="2" t="s">
        <v>99</v>
      </c>
      <c r="R400" s="2" t="s">
        <v>100</v>
      </c>
      <c r="S400" s="2" t="s">
        <v>1606</v>
      </c>
      <c r="T400" s="2" t="s">
        <v>100</v>
      </c>
      <c r="U400" s="2" t="s">
        <v>102</v>
      </c>
      <c r="V400" s="2" t="s">
        <v>608</v>
      </c>
      <c r="W400" s="2" t="s">
        <v>1064</v>
      </c>
      <c r="X400" s="2" t="s">
        <v>450</v>
      </c>
      <c r="Y400" s="2" t="s">
        <v>1317</v>
      </c>
      <c r="Z400" s="4">
        <v>68</v>
      </c>
      <c r="AA400" s="4">
        <f>=ROUNDDOWN(35.7894736842105,0)</f>
      </c>
      <c r="AB400" s="5">
        <v>1.9</v>
      </c>
      <c r="AC400" s="2" t="s">
        <v>100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/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/>
      <c r="BJ400" s="4">
        <v>3</v>
      </c>
      <c r="BK400" s="8">
        <v>247.94</v>
      </c>
      <c r="BL400" s="2" t="s">
        <v>1550</v>
      </c>
      <c r="BM400" s="7"/>
      <c r="BN400" s="7"/>
      <c r="BO400" s="4"/>
      <c r="BP400" s="8"/>
      <c r="BQ400" s="4"/>
      <c r="BR400" s="8"/>
      <c r="BS400" s="7"/>
      <c r="BT400" s="7"/>
      <c r="BU400" s="2" t="s">
        <v>109</v>
      </c>
      <c r="BV400" s="2" t="s">
        <v>97</v>
      </c>
      <c r="BW400" s="2" t="s">
        <v>122</v>
      </c>
      <c r="BX400" s="2" t="s">
        <v>216</v>
      </c>
      <c r="BY400" s="2" t="s">
        <v>112</v>
      </c>
      <c r="BZ400" s="2" t="s">
        <v>100</v>
      </c>
    </row>
    <row r="401">
      <c r="A401" s="2" t="s">
        <v>1609</v>
      </c>
      <c r="B401" s="2" t="s">
        <v>87</v>
      </c>
      <c r="C401" s="2" t="s">
        <v>88</v>
      </c>
      <c r="D401" s="2" t="s">
        <v>89</v>
      </c>
      <c r="E401" s="2" t="s">
        <v>90</v>
      </c>
      <c r="F401" s="2" t="s">
        <v>1610</v>
      </c>
      <c r="G401" s="2" t="s">
        <v>1611</v>
      </c>
      <c r="H401" s="2" t="s">
        <v>1612</v>
      </c>
      <c r="I401" s="2" t="s">
        <v>1613</v>
      </c>
      <c r="J401" s="2" t="s">
        <v>114</v>
      </c>
      <c r="K401" s="2" t="s">
        <v>434</v>
      </c>
      <c r="L401" s="3">
        <v>75.2</v>
      </c>
      <c r="M401" s="3">
        <v>78.96</v>
      </c>
      <c r="N401" s="3">
        <v>159.99</v>
      </c>
      <c r="O401" s="2" t="s">
        <v>473</v>
      </c>
      <c r="P401" s="2" t="s">
        <v>447</v>
      </c>
      <c r="Q401" s="2" t="s">
        <v>99</v>
      </c>
      <c r="R401" s="2" t="s">
        <v>100</v>
      </c>
      <c r="S401" s="2" t="s">
        <v>1614</v>
      </c>
      <c r="T401" s="2" t="s">
        <v>100</v>
      </c>
      <c r="U401" s="2" t="s">
        <v>343</v>
      </c>
      <c r="V401" s="2" t="s">
        <v>677</v>
      </c>
      <c r="W401" s="2" t="s">
        <v>104</v>
      </c>
      <c r="X401" s="2" t="s">
        <v>647</v>
      </c>
      <c r="Y401" s="2" t="s">
        <v>131</v>
      </c>
      <c r="Z401" s="4">
        <v>505</v>
      </c>
      <c r="AA401" s="4">
        <f>=ROUNDDOWN(56.1111111111111,0)</f>
      </c>
      <c r="AB401" s="5">
        <v>9</v>
      </c>
      <c r="AC401" s="2" t="s">
        <v>871</v>
      </c>
      <c r="AD401" s="4">
        <v>40</v>
      </c>
      <c r="AE401" s="4">
        <v>40</v>
      </c>
      <c r="AF401" s="6">
        <v>65</v>
      </c>
      <c r="AG401" s="6">
        <v>73</v>
      </c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/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/>
      <c r="BJ401" s="4">
        <v>6</v>
      </c>
      <c r="BK401" s="8">
        <v>417.01</v>
      </c>
      <c r="BL401" s="2" t="s">
        <v>999</v>
      </c>
      <c r="BM401" s="7"/>
      <c r="BN401" s="7"/>
      <c r="BO401" s="4"/>
      <c r="BP401" s="8"/>
      <c r="BQ401" s="4"/>
      <c r="BR401" s="8"/>
      <c r="BS401" s="7"/>
      <c r="BT401" s="7"/>
      <c r="BU401" s="2" t="s">
        <v>109</v>
      </c>
      <c r="BV401" s="2" t="s">
        <v>97</v>
      </c>
      <c r="BW401" s="2" t="s">
        <v>122</v>
      </c>
      <c r="BX401" s="2" t="s">
        <v>260</v>
      </c>
      <c r="BY401" s="2" t="s">
        <v>112</v>
      </c>
      <c r="BZ401" s="2" t="s">
        <v>100</v>
      </c>
    </row>
    <row r="402">
      <c r="A402" s="2" t="s">
        <v>1615</v>
      </c>
      <c r="B402" s="2" t="s">
        <v>87</v>
      </c>
      <c r="C402" s="2" t="s">
        <v>88</v>
      </c>
      <c r="D402" s="2" t="s">
        <v>89</v>
      </c>
      <c r="E402" s="2" t="s">
        <v>90</v>
      </c>
      <c r="F402" s="2" t="s">
        <v>1610</v>
      </c>
      <c r="G402" s="2" t="s">
        <v>1611</v>
      </c>
      <c r="H402" s="2" t="s">
        <v>1612</v>
      </c>
      <c r="I402" s="2" t="s">
        <v>1613</v>
      </c>
      <c r="J402" s="2" t="s">
        <v>120</v>
      </c>
      <c r="K402" s="2" t="s">
        <v>434</v>
      </c>
      <c r="L402" s="3">
        <v>84.6</v>
      </c>
      <c r="M402" s="3">
        <v>88.83</v>
      </c>
      <c r="N402" s="3">
        <v>179.99</v>
      </c>
      <c r="O402" s="2" t="s">
        <v>97</v>
      </c>
      <c r="P402" s="2" t="s">
        <v>447</v>
      </c>
      <c r="Q402" s="2" t="s">
        <v>99</v>
      </c>
      <c r="R402" s="2" t="s">
        <v>100</v>
      </c>
      <c r="S402" s="2" t="s">
        <v>1614</v>
      </c>
      <c r="T402" s="2" t="s">
        <v>100</v>
      </c>
      <c r="U402" s="2" t="s">
        <v>343</v>
      </c>
      <c r="V402" s="2" t="s">
        <v>677</v>
      </c>
      <c r="W402" s="2" t="s">
        <v>104</v>
      </c>
      <c r="X402" s="2" t="s">
        <v>647</v>
      </c>
      <c r="Y402" s="2" t="s">
        <v>1616</v>
      </c>
      <c r="Z402" s="4">
        <v>360</v>
      </c>
      <c r="AA402" s="4">
        <f>=ROUNDDOWN(36,0)</f>
      </c>
      <c r="AB402" s="5">
        <v>10</v>
      </c>
      <c r="AC402" s="2" t="s">
        <v>100</v>
      </c>
      <c r="AD402" s="4"/>
      <c r="AE402" s="4"/>
      <c r="AF402" s="6">
        <v>65</v>
      </c>
      <c r="AG402" s="6">
        <v>73</v>
      </c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/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/>
      <c r="BJ402" s="4">
        <v>12</v>
      </c>
      <c r="BK402" s="8">
        <v>968.58</v>
      </c>
      <c r="BL402" s="2" t="s">
        <v>1617</v>
      </c>
      <c r="BM402" s="7"/>
      <c r="BN402" s="7"/>
      <c r="BO402" s="4"/>
      <c r="BP402" s="8"/>
      <c r="BQ402" s="4"/>
      <c r="BR402" s="8"/>
      <c r="BS402" s="7"/>
      <c r="BT402" s="7"/>
      <c r="BU402" s="2" t="s">
        <v>109</v>
      </c>
      <c r="BV402" s="2" t="s">
        <v>97</v>
      </c>
      <c r="BW402" s="2" t="s">
        <v>122</v>
      </c>
      <c r="BX402" s="2" t="s">
        <v>196</v>
      </c>
      <c r="BY402" s="2" t="s">
        <v>112</v>
      </c>
      <c r="BZ402" s="2" t="s">
        <v>100</v>
      </c>
    </row>
    <row r="403">
      <c r="A403" s="2" t="s">
        <v>1618</v>
      </c>
      <c r="B403" s="2" t="s">
        <v>87</v>
      </c>
      <c r="C403" s="2" t="s">
        <v>88</v>
      </c>
      <c r="D403" s="2" t="s">
        <v>89</v>
      </c>
      <c r="E403" s="2" t="s">
        <v>90</v>
      </c>
      <c r="F403" s="2" t="s">
        <v>1610</v>
      </c>
      <c r="G403" s="2" t="s">
        <v>1611</v>
      </c>
      <c r="H403" s="2" t="s">
        <v>1612</v>
      </c>
      <c r="I403" s="2" t="s">
        <v>1613</v>
      </c>
      <c r="J403" s="2" t="s">
        <v>124</v>
      </c>
      <c r="K403" s="2" t="s">
        <v>434</v>
      </c>
      <c r="L403" s="3">
        <v>84.6</v>
      </c>
      <c r="M403" s="3">
        <v>88.83</v>
      </c>
      <c r="N403" s="3">
        <v>179.99</v>
      </c>
      <c r="O403" s="2" t="s">
        <v>97</v>
      </c>
      <c r="P403" s="2" t="s">
        <v>447</v>
      </c>
      <c r="Q403" s="2" t="s">
        <v>99</v>
      </c>
      <c r="R403" s="2" t="s">
        <v>100</v>
      </c>
      <c r="S403" s="2" t="s">
        <v>1614</v>
      </c>
      <c r="T403" s="2" t="s">
        <v>100</v>
      </c>
      <c r="U403" s="2" t="s">
        <v>343</v>
      </c>
      <c r="V403" s="2" t="s">
        <v>677</v>
      </c>
      <c r="W403" s="2" t="s">
        <v>104</v>
      </c>
      <c r="X403" s="2" t="s">
        <v>647</v>
      </c>
      <c r="Y403" s="2" t="s">
        <v>709</v>
      </c>
      <c r="Z403" s="4">
        <v>225</v>
      </c>
      <c r="AA403" s="4">
        <f>=ROUNDDOWN(32.1428571428571,0)</f>
      </c>
      <c r="AB403" s="5">
        <v>7</v>
      </c>
      <c r="AC403" s="2" t="s">
        <v>871</v>
      </c>
      <c r="AD403" s="4">
        <v>30</v>
      </c>
      <c r="AE403" s="4">
        <v>30</v>
      </c>
      <c r="AF403" s="6">
        <v>65</v>
      </c>
      <c r="AG403" s="6">
        <v>73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/>
      <c r="BJ403" s="4">
        <v>4</v>
      </c>
      <c r="BK403" s="8">
        <v>367.32</v>
      </c>
      <c r="BL403" s="2" t="s">
        <v>1619</v>
      </c>
      <c r="BM403" s="7"/>
      <c r="BN403" s="7"/>
      <c r="BO403" s="4"/>
      <c r="BP403" s="8"/>
      <c r="BQ403" s="4"/>
      <c r="BR403" s="8"/>
      <c r="BS403" s="7"/>
      <c r="BT403" s="7"/>
      <c r="BU403" s="2" t="s">
        <v>109</v>
      </c>
      <c r="BV403" s="2" t="s">
        <v>97</v>
      </c>
      <c r="BW403" s="2" t="s">
        <v>122</v>
      </c>
      <c r="BX403" s="2" t="s">
        <v>1620</v>
      </c>
      <c r="BY403" s="2" t="s">
        <v>112</v>
      </c>
      <c r="BZ403" s="2" t="s">
        <v>100</v>
      </c>
    </row>
    <row r="404">
      <c r="A404" s="2" t="s">
        <v>1621</v>
      </c>
      <c r="B404" s="2" t="s">
        <v>87</v>
      </c>
      <c r="C404" s="2" t="s">
        <v>88</v>
      </c>
      <c r="D404" s="2" t="s">
        <v>89</v>
      </c>
      <c r="E404" s="2" t="s">
        <v>90</v>
      </c>
      <c r="F404" s="2" t="s">
        <v>1622</v>
      </c>
      <c r="G404" s="2" t="s">
        <v>1623</v>
      </c>
      <c r="H404" s="2" t="s">
        <v>1624</v>
      </c>
      <c r="I404" s="2" t="s">
        <v>1625</v>
      </c>
      <c r="J404" s="2" t="s">
        <v>785</v>
      </c>
      <c r="K404" s="2" t="s">
        <v>198</v>
      </c>
      <c r="L404" s="3">
        <v>61.73</v>
      </c>
      <c r="M404" s="3">
        <v>64.82</v>
      </c>
      <c r="N404" s="3">
        <v>129.99</v>
      </c>
      <c r="O404" s="2" t="s">
        <v>97</v>
      </c>
      <c r="P404" s="2" t="s">
        <v>242</v>
      </c>
      <c r="Q404" s="2" t="s">
        <v>99</v>
      </c>
      <c r="R404" s="2" t="s">
        <v>100</v>
      </c>
      <c r="S404" s="2" t="s">
        <v>1626</v>
      </c>
      <c r="T404" s="2" t="s">
        <v>100</v>
      </c>
      <c r="U404" s="2" t="s">
        <v>676</v>
      </c>
      <c r="V404" s="2" t="s">
        <v>645</v>
      </c>
      <c r="W404" s="2" t="s">
        <v>646</v>
      </c>
      <c r="X404" s="2" t="s">
        <v>1627</v>
      </c>
      <c r="Y404" s="2" t="s">
        <v>1628</v>
      </c>
      <c r="Z404" s="4">
        <v>451</v>
      </c>
      <c r="AA404" s="4">
        <f>=ROUNDDOWN(25.0555555555556,0)</f>
      </c>
      <c r="AB404" s="5">
        <v>18</v>
      </c>
      <c r="AC404" s="2" t="s">
        <v>1629</v>
      </c>
      <c r="AD404" s="4">
        <v>320</v>
      </c>
      <c r="AE404" s="4">
        <v>320</v>
      </c>
      <c r="AF404" s="6">
        <v>66</v>
      </c>
      <c r="AG404" s="6">
        <v>49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/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/>
      <c r="BJ404" s="4">
        <v>18</v>
      </c>
      <c r="BK404" s="8">
        <v>1302.41</v>
      </c>
      <c r="BL404" s="2" t="s">
        <v>1630</v>
      </c>
      <c r="BM404" s="7"/>
      <c r="BN404" s="7"/>
      <c r="BO404" s="4"/>
      <c r="BP404" s="8"/>
      <c r="BQ404" s="4"/>
      <c r="BR404" s="8"/>
      <c r="BS404" s="7"/>
      <c r="BT404" s="7"/>
      <c r="BU404" s="2" t="s">
        <v>109</v>
      </c>
      <c r="BV404" s="2" t="s">
        <v>97</v>
      </c>
      <c r="BW404" s="2" t="s">
        <v>1159</v>
      </c>
      <c r="BX404" s="2" t="s">
        <v>1631</v>
      </c>
      <c r="BY404" s="2" t="s">
        <v>112</v>
      </c>
      <c r="BZ404" s="2" t="s">
        <v>100</v>
      </c>
    </row>
    <row r="405">
      <c r="A405" s="2" t="s">
        <v>1632</v>
      </c>
      <c r="B405" s="2" t="s">
        <v>87</v>
      </c>
      <c r="C405" s="2" t="s">
        <v>88</v>
      </c>
      <c r="D405" s="2" t="s">
        <v>89</v>
      </c>
      <c r="E405" s="2" t="s">
        <v>90</v>
      </c>
      <c r="F405" s="2" t="s">
        <v>1622</v>
      </c>
      <c r="G405" s="2" t="s">
        <v>1623</v>
      </c>
      <c r="H405" s="2" t="s">
        <v>1624</v>
      </c>
      <c r="I405" s="2" t="s">
        <v>1625</v>
      </c>
      <c r="J405" s="2" t="s">
        <v>795</v>
      </c>
      <c r="K405" s="2" t="s">
        <v>198</v>
      </c>
      <c r="L405" s="3">
        <v>67.5</v>
      </c>
      <c r="M405" s="3">
        <v>70.88</v>
      </c>
      <c r="N405" s="3">
        <v>139.99</v>
      </c>
      <c r="O405" s="2" t="s">
        <v>97</v>
      </c>
      <c r="P405" s="2" t="s">
        <v>242</v>
      </c>
      <c r="Q405" s="2" t="s">
        <v>99</v>
      </c>
      <c r="R405" s="2" t="s">
        <v>100</v>
      </c>
      <c r="S405" s="2" t="s">
        <v>1626</v>
      </c>
      <c r="T405" s="2" t="s">
        <v>100</v>
      </c>
      <c r="U405" s="2" t="s">
        <v>676</v>
      </c>
      <c r="V405" s="2" t="s">
        <v>645</v>
      </c>
      <c r="W405" s="2" t="s">
        <v>646</v>
      </c>
      <c r="X405" s="2" t="s">
        <v>1627</v>
      </c>
      <c r="Y405" s="2" t="s">
        <v>1628</v>
      </c>
      <c r="Z405" s="4">
        <v>505</v>
      </c>
      <c r="AA405" s="4">
        <f>=ROUNDDOWN(20.2,0)</f>
      </c>
      <c r="AB405" s="5">
        <v>25</v>
      </c>
      <c r="AC405" s="2" t="s">
        <v>1629</v>
      </c>
      <c r="AD405" s="4">
        <v>480</v>
      </c>
      <c r="AE405" s="4">
        <v>480</v>
      </c>
      <c r="AF405" s="6">
        <v>66</v>
      </c>
      <c r="AG405" s="6">
        <v>49</v>
      </c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/>
      <c r="BJ405" s="4">
        <v>18</v>
      </c>
      <c r="BK405" s="8">
        <v>1417.76</v>
      </c>
      <c r="BL405" s="2" t="s">
        <v>1633</v>
      </c>
      <c r="BM405" s="7"/>
      <c r="BN405" s="7"/>
      <c r="BO405" s="4"/>
      <c r="BP405" s="8"/>
      <c r="BQ405" s="4"/>
      <c r="BR405" s="8"/>
      <c r="BS405" s="7"/>
      <c r="BT405" s="7"/>
      <c r="BU405" s="2" t="s">
        <v>109</v>
      </c>
      <c r="BV405" s="2" t="s">
        <v>97</v>
      </c>
      <c r="BW405" s="2" t="s">
        <v>1634</v>
      </c>
      <c r="BX405" s="2" t="s">
        <v>1635</v>
      </c>
      <c r="BY405" s="2" t="s">
        <v>112</v>
      </c>
      <c r="BZ405" s="2" t="s">
        <v>100</v>
      </c>
    </row>
    <row r="406">
      <c r="A406" s="2" t="s">
        <v>1636</v>
      </c>
      <c r="B406" s="2" t="s">
        <v>87</v>
      </c>
      <c r="C406" s="2" t="s">
        <v>88</v>
      </c>
      <c r="D406" s="2" t="s">
        <v>89</v>
      </c>
      <c r="E406" s="2" t="s">
        <v>90</v>
      </c>
      <c r="F406" s="2" t="s">
        <v>1637</v>
      </c>
      <c r="G406" s="2" t="s">
        <v>1638</v>
      </c>
      <c r="H406" s="2" t="s">
        <v>1639</v>
      </c>
      <c r="I406" s="2" t="s">
        <v>241</v>
      </c>
      <c r="J406" s="2" t="s">
        <v>114</v>
      </c>
      <c r="K406" s="2" t="s">
        <v>253</v>
      </c>
      <c r="L406" s="3">
        <v>67.2</v>
      </c>
      <c r="M406" s="3">
        <v>70.55</v>
      </c>
      <c r="N406" s="3">
        <v>139.99</v>
      </c>
      <c r="O406" s="2" t="s">
        <v>473</v>
      </c>
      <c r="P406" s="2" t="s">
        <v>447</v>
      </c>
      <c r="Q406" s="2" t="s">
        <v>99</v>
      </c>
      <c r="R406" s="2" t="s">
        <v>100</v>
      </c>
      <c r="S406" s="2" t="s">
        <v>1640</v>
      </c>
      <c r="T406" s="2" t="s">
        <v>100</v>
      </c>
      <c r="U406" s="2" t="s">
        <v>102</v>
      </c>
      <c r="V406" s="2" t="s">
        <v>1641</v>
      </c>
      <c r="W406" s="2" t="s">
        <v>1064</v>
      </c>
      <c r="X406" s="2" t="s">
        <v>1642</v>
      </c>
      <c r="Y406" s="2" t="s">
        <v>131</v>
      </c>
      <c r="Z406" s="4">
        <v>34</v>
      </c>
      <c r="AA406" s="4">
        <f>=ROUNDDOWN(4.85714285714286,0)</f>
      </c>
      <c r="AB406" s="5">
        <v>7</v>
      </c>
      <c r="AC406" s="2" t="s">
        <v>100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/>
      <c r="BJ406" s="4">
        <v>3</v>
      </c>
      <c r="BK406" s="8">
        <v>217.15</v>
      </c>
      <c r="BL406" s="2" t="s">
        <v>1643</v>
      </c>
      <c r="BM406" s="7"/>
      <c r="BN406" s="7"/>
      <c r="BO406" s="4"/>
      <c r="BP406" s="8"/>
      <c r="BQ406" s="4"/>
      <c r="BR406" s="8"/>
      <c r="BS406" s="7"/>
      <c r="BT406" s="7"/>
      <c r="BU406" s="2" t="s">
        <v>109</v>
      </c>
      <c r="BV406" s="2" t="s">
        <v>97</v>
      </c>
      <c r="BW406" s="2" t="s">
        <v>137</v>
      </c>
      <c r="BX406" s="2" t="s">
        <v>1126</v>
      </c>
      <c r="BY406" s="2" t="s">
        <v>112</v>
      </c>
      <c r="BZ406" s="2" t="s">
        <v>100</v>
      </c>
    </row>
    <row r="407">
      <c r="A407" s="2" t="s">
        <v>1644</v>
      </c>
      <c r="B407" s="2" t="s">
        <v>87</v>
      </c>
      <c r="C407" s="2" t="s">
        <v>88</v>
      </c>
      <c r="D407" s="2" t="s">
        <v>89</v>
      </c>
      <c r="E407" s="2" t="s">
        <v>90</v>
      </c>
      <c r="F407" s="2" t="s">
        <v>1637</v>
      </c>
      <c r="G407" s="2" t="s">
        <v>1638</v>
      </c>
      <c r="H407" s="2" t="s">
        <v>1639</v>
      </c>
      <c r="I407" s="2" t="s">
        <v>241</v>
      </c>
      <c r="J407" s="2" t="s">
        <v>120</v>
      </c>
      <c r="K407" s="2" t="s">
        <v>253</v>
      </c>
      <c r="L407" s="3">
        <v>76.8</v>
      </c>
      <c r="M407" s="3">
        <v>80.63</v>
      </c>
      <c r="N407" s="3">
        <v>159.99</v>
      </c>
      <c r="O407" s="2" t="s">
        <v>473</v>
      </c>
      <c r="P407" s="2" t="s">
        <v>447</v>
      </c>
      <c r="Q407" s="2" t="s">
        <v>99</v>
      </c>
      <c r="R407" s="2" t="s">
        <v>100</v>
      </c>
      <c r="S407" s="2" t="s">
        <v>1640</v>
      </c>
      <c r="T407" s="2" t="s">
        <v>100</v>
      </c>
      <c r="U407" s="2" t="s">
        <v>102</v>
      </c>
      <c r="V407" s="2" t="s">
        <v>1641</v>
      </c>
      <c r="W407" s="2" t="s">
        <v>1064</v>
      </c>
      <c r="X407" s="2" t="s">
        <v>1642</v>
      </c>
      <c r="Y407" s="2" t="s">
        <v>131</v>
      </c>
      <c r="Z407" s="4">
        <v>75</v>
      </c>
      <c r="AA407" s="4">
        <f>=ROUNDDOWN(15,0)</f>
      </c>
      <c r="AB407" s="5">
        <v>5</v>
      </c>
      <c r="AC407" s="2" t="s">
        <v>100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/>
      <c r="BJ407" s="4">
        <v>1</v>
      </c>
      <c r="BK407" s="8">
        <v>80.47</v>
      </c>
      <c r="BL407" s="2" t="s">
        <v>441</v>
      </c>
      <c r="BM407" s="7"/>
      <c r="BN407" s="7"/>
      <c r="BO407" s="4"/>
      <c r="BP407" s="8"/>
      <c r="BQ407" s="4"/>
      <c r="BR407" s="8"/>
      <c r="BS407" s="7"/>
      <c r="BT407" s="7"/>
      <c r="BU407" s="2" t="s">
        <v>109</v>
      </c>
      <c r="BV407" s="2" t="s">
        <v>97</v>
      </c>
      <c r="BW407" s="2" t="s">
        <v>137</v>
      </c>
      <c r="BX407" s="2" t="s">
        <v>1078</v>
      </c>
      <c r="BY407" s="2" t="s">
        <v>112</v>
      </c>
      <c r="BZ407" s="2" t="s">
        <v>100</v>
      </c>
    </row>
    <row r="408">
      <c r="A408" s="2" t="s">
        <v>1645</v>
      </c>
      <c r="B408" s="2" t="s">
        <v>87</v>
      </c>
      <c r="C408" s="2" t="s">
        <v>88</v>
      </c>
      <c r="D408" s="2" t="s">
        <v>89</v>
      </c>
      <c r="E408" s="2" t="s">
        <v>90</v>
      </c>
      <c r="F408" s="2" t="s">
        <v>1637</v>
      </c>
      <c r="G408" s="2" t="s">
        <v>1638</v>
      </c>
      <c r="H408" s="2" t="s">
        <v>1639</v>
      </c>
      <c r="I408" s="2" t="s">
        <v>241</v>
      </c>
      <c r="J408" s="2" t="s">
        <v>124</v>
      </c>
      <c r="K408" s="2" t="s">
        <v>253</v>
      </c>
      <c r="L408" s="3">
        <v>76.8</v>
      </c>
      <c r="M408" s="3">
        <v>80.63</v>
      </c>
      <c r="N408" s="3">
        <v>159.99</v>
      </c>
      <c r="O408" s="2" t="s">
        <v>473</v>
      </c>
      <c r="P408" s="2" t="s">
        <v>447</v>
      </c>
      <c r="Q408" s="2" t="s">
        <v>99</v>
      </c>
      <c r="R408" s="2" t="s">
        <v>100</v>
      </c>
      <c r="S408" s="2" t="s">
        <v>1640</v>
      </c>
      <c r="T408" s="2" t="s">
        <v>100</v>
      </c>
      <c r="U408" s="2" t="s">
        <v>102</v>
      </c>
      <c r="V408" s="2" t="s">
        <v>1641</v>
      </c>
      <c r="W408" s="2" t="s">
        <v>1064</v>
      </c>
      <c r="X408" s="2" t="s">
        <v>1642</v>
      </c>
      <c r="Y408" s="2" t="s">
        <v>131</v>
      </c>
      <c r="Z408" s="4">
        <v>8</v>
      </c>
      <c r="AA408" s="4">
        <f>=ROUNDDOWN(2.66666666666667,0)</f>
      </c>
      <c r="AB408" s="5">
        <v>3</v>
      </c>
      <c r="AC408" s="2" t="s">
        <v>100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/>
      <c r="BJ408" s="4">
        <v>1</v>
      </c>
      <c r="BK408" s="8">
        <v>37.88</v>
      </c>
      <c r="BL408" s="2" t="s">
        <v>133</v>
      </c>
      <c r="BM408" s="7"/>
      <c r="BN408" s="7"/>
      <c r="BO408" s="4"/>
      <c r="BP408" s="8"/>
      <c r="BQ408" s="4"/>
      <c r="BR408" s="8"/>
      <c r="BS408" s="7"/>
      <c r="BT408" s="7"/>
      <c r="BU408" s="2" t="s">
        <v>109</v>
      </c>
      <c r="BV408" s="2" t="s">
        <v>97</v>
      </c>
      <c r="BW408" s="2" t="s">
        <v>137</v>
      </c>
      <c r="BX408" s="2" t="s">
        <v>1646</v>
      </c>
      <c r="BY408" s="2" t="s">
        <v>112</v>
      </c>
      <c r="BZ408" s="2" t="s">
        <v>100</v>
      </c>
    </row>
    <row r="409">
      <c r="A409" s="2" t="s">
        <v>1647</v>
      </c>
      <c r="B409" s="2" t="s">
        <v>87</v>
      </c>
      <c r="C409" s="2" t="s">
        <v>88</v>
      </c>
      <c r="D409" s="2" t="s">
        <v>89</v>
      </c>
      <c r="E409" s="2" t="s">
        <v>90</v>
      </c>
      <c r="F409" s="2" t="s">
        <v>1648</v>
      </c>
      <c r="G409" s="2" t="s">
        <v>1649</v>
      </c>
      <c r="H409" s="2" t="s">
        <v>1650</v>
      </c>
      <c r="I409" s="2" t="s">
        <v>1651</v>
      </c>
      <c r="J409" s="2" t="s">
        <v>785</v>
      </c>
      <c r="K409" s="2" t="s">
        <v>163</v>
      </c>
      <c r="L409" s="3">
        <v>36.57</v>
      </c>
      <c r="M409" s="3">
        <v>38.4</v>
      </c>
      <c r="N409" s="3">
        <v>79.99</v>
      </c>
      <c r="O409" s="2" t="s">
        <v>97</v>
      </c>
      <c r="P409" s="2" t="s">
        <v>1216</v>
      </c>
      <c r="Q409" s="2" t="s">
        <v>99</v>
      </c>
      <c r="R409" s="2" t="s">
        <v>100</v>
      </c>
      <c r="S409" s="2" t="s">
        <v>1652</v>
      </c>
      <c r="T409" s="2" t="s">
        <v>787</v>
      </c>
      <c r="U409" s="2" t="s">
        <v>1459</v>
      </c>
      <c r="V409" s="2" t="s">
        <v>677</v>
      </c>
      <c r="W409" s="2" t="s">
        <v>788</v>
      </c>
      <c r="X409" s="2" t="s">
        <v>976</v>
      </c>
      <c r="Y409" s="2" t="s">
        <v>1653</v>
      </c>
      <c r="Z409" s="4">
        <v>285</v>
      </c>
      <c r="AA409" s="4">
        <f>=ROUNDDOWN(114,0)</f>
      </c>
      <c r="AB409" s="5">
        <v>2.5</v>
      </c>
      <c r="AC409" s="2" t="s">
        <v>100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/>
      <c r="BJ409" s="4">
        <v>5</v>
      </c>
      <c r="BK409" s="8">
        <v>207.35</v>
      </c>
      <c r="BL409" s="2" t="s">
        <v>715</v>
      </c>
      <c r="BM409" s="7"/>
      <c r="BN409" s="7"/>
      <c r="BO409" s="4"/>
      <c r="BP409" s="8"/>
      <c r="BQ409" s="4"/>
      <c r="BR409" s="8"/>
      <c r="BS409" s="7"/>
      <c r="BT409" s="7"/>
      <c r="BU409" s="2" t="s">
        <v>109</v>
      </c>
      <c r="BV409" s="2" t="s">
        <v>97</v>
      </c>
      <c r="BW409" s="2" t="s">
        <v>1221</v>
      </c>
      <c r="BX409" s="2" t="s">
        <v>100</v>
      </c>
      <c r="BY409" s="2" t="s">
        <v>112</v>
      </c>
      <c r="BZ409" s="2" t="s">
        <v>100</v>
      </c>
    </row>
    <row r="410">
      <c r="A410" s="2" t="s">
        <v>1654</v>
      </c>
      <c r="B410" s="2" t="s">
        <v>87</v>
      </c>
      <c r="C410" s="2" t="s">
        <v>88</v>
      </c>
      <c r="D410" s="2" t="s">
        <v>89</v>
      </c>
      <c r="E410" s="2" t="s">
        <v>90</v>
      </c>
      <c r="F410" s="2" t="s">
        <v>1648</v>
      </c>
      <c r="G410" s="2" t="s">
        <v>1649</v>
      </c>
      <c r="H410" s="2" t="s">
        <v>1650</v>
      </c>
      <c r="I410" s="2" t="s">
        <v>1651</v>
      </c>
      <c r="J410" s="2" t="s">
        <v>795</v>
      </c>
      <c r="K410" s="2" t="s">
        <v>163</v>
      </c>
      <c r="L410" s="3">
        <v>41.14</v>
      </c>
      <c r="M410" s="3">
        <v>43.2</v>
      </c>
      <c r="N410" s="3">
        <v>89.99</v>
      </c>
      <c r="O410" s="2" t="s">
        <v>97</v>
      </c>
      <c r="P410" s="2" t="s">
        <v>1216</v>
      </c>
      <c r="Q410" s="2" t="s">
        <v>99</v>
      </c>
      <c r="R410" s="2" t="s">
        <v>100</v>
      </c>
      <c r="S410" s="2" t="s">
        <v>1652</v>
      </c>
      <c r="T410" s="2" t="s">
        <v>787</v>
      </c>
      <c r="U410" s="2" t="s">
        <v>1459</v>
      </c>
      <c r="V410" s="2" t="s">
        <v>677</v>
      </c>
      <c r="W410" s="2" t="s">
        <v>788</v>
      </c>
      <c r="X410" s="2" t="s">
        <v>976</v>
      </c>
      <c r="Y410" s="2" t="s">
        <v>1653</v>
      </c>
      <c r="Z410" s="4">
        <v>228</v>
      </c>
      <c r="AA410" s="4">
        <f>=ROUNDDOWN(175.384615384615,0)</f>
      </c>
      <c r="AB410" s="5">
        <v>1.3</v>
      </c>
      <c r="AC410" s="2" t="s">
        <v>100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/>
      <c r="BJ410" s="4"/>
      <c r="BK410" s="8"/>
      <c r="BL410" s="2" t="s">
        <v>100</v>
      </c>
      <c r="BM410" s="7"/>
      <c r="BN410" s="7"/>
      <c r="BO410" s="4"/>
      <c r="BP410" s="8"/>
      <c r="BQ410" s="4"/>
      <c r="BR410" s="8"/>
      <c r="BS410" s="7"/>
      <c r="BT410" s="7"/>
      <c r="BU410" s="2" t="s">
        <v>109</v>
      </c>
      <c r="BV410" s="2" t="s">
        <v>97</v>
      </c>
      <c r="BW410" s="2" t="s">
        <v>1221</v>
      </c>
      <c r="BX410" s="2" t="s">
        <v>100</v>
      </c>
      <c r="BY410" s="2" t="s">
        <v>112</v>
      </c>
      <c r="BZ410" s="2" t="s">
        <v>100</v>
      </c>
    </row>
    <row r="411">
      <c r="A411" s="2" t="s">
        <v>1655</v>
      </c>
      <c r="B411" s="2" t="s">
        <v>87</v>
      </c>
      <c r="C411" s="2" t="s">
        <v>88</v>
      </c>
      <c r="D411" s="2" t="s">
        <v>89</v>
      </c>
      <c r="E411" s="2" t="s">
        <v>90</v>
      </c>
      <c r="F411" s="2" t="s">
        <v>1656</v>
      </c>
      <c r="G411" s="2" t="s">
        <v>1657</v>
      </c>
      <c r="H411" s="2" t="s">
        <v>1658</v>
      </c>
      <c r="I411" s="2" t="s">
        <v>867</v>
      </c>
      <c r="J411" s="2" t="s">
        <v>114</v>
      </c>
      <c r="K411" s="2" t="s">
        <v>1659</v>
      </c>
      <c r="L411" s="3">
        <v>75</v>
      </c>
      <c r="M411" s="3">
        <v>78.74</v>
      </c>
      <c r="N411" s="3">
        <v>149.99</v>
      </c>
      <c r="O411" s="2" t="s">
        <v>97</v>
      </c>
      <c r="P411" s="2" t="s">
        <v>587</v>
      </c>
      <c r="Q411" s="2" t="s">
        <v>99</v>
      </c>
      <c r="R411" s="2" t="s">
        <v>100</v>
      </c>
      <c r="S411" s="2" t="s">
        <v>1660</v>
      </c>
      <c r="T411" s="2" t="s">
        <v>100</v>
      </c>
      <c r="U411" s="2" t="s">
        <v>102</v>
      </c>
      <c r="V411" s="2" t="s">
        <v>677</v>
      </c>
      <c r="W411" s="2" t="s">
        <v>104</v>
      </c>
      <c r="X411" s="2" t="s">
        <v>499</v>
      </c>
      <c r="Y411" s="2" t="s">
        <v>1661</v>
      </c>
      <c r="Z411" s="4">
        <v>357</v>
      </c>
      <c r="AA411" s="4">
        <f>=ROUNDDOWN(51,0)</f>
      </c>
      <c r="AB411" s="5">
        <v>7</v>
      </c>
      <c r="AC411" s="2" t="s">
        <v>100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/>
      <c r="BJ411" s="4">
        <v>4</v>
      </c>
      <c r="BK411" s="8">
        <v>337.58</v>
      </c>
      <c r="BL411" s="2" t="s">
        <v>430</v>
      </c>
      <c r="BM411" s="7"/>
      <c r="BN411" s="7"/>
      <c r="BO411" s="4"/>
      <c r="BP411" s="8"/>
      <c r="BQ411" s="4"/>
      <c r="BR411" s="8"/>
      <c r="BS411" s="7"/>
      <c r="BT411" s="7"/>
      <c r="BU411" s="2" t="s">
        <v>109</v>
      </c>
      <c r="BV411" s="2" t="s">
        <v>97</v>
      </c>
      <c r="BW411" s="2" t="s">
        <v>266</v>
      </c>
      <c r="BX411" s="2" t="s">
        <v>295</v>
      </c>
      <c r="BY411" s="2" t="s">
        <v>112</v>
      </c>
      <c r="BZ411" s="2" t="s">
        <v>100</v>
      </c>
    </row>
    <row r="412">
      <c r="A412" s="2" t="s">
        <v>1662</v>
      </c>
      <c r="B412" s="2" t="s">
        <v>87</v>
      </c>
      <c r="C412" s="2" t="s">
        <v>88</v>
      </c>
      <c r="D412" s="2" t="s">
        <v>89</v>
      </c>
      <c r="E412" s="2" t="s">
        <v>90</v>
      </c>
      <c r="F412" s="2" t="s">
        <v>1656</v>
      </c>
      <c r="G412" s="2" t="s">
        <v>1657</v>
      </c>
      <c r="H412" s="2" t="s">
        <v>1658</v>
      </c>
      <c r="I412" s="2" t="s">
        <v>867</v>
      </c>
      <c r="J412" s="2" t="s">
        <v>120</v>
      </c>
      <c r="K412" s="2" t="s">
        <v>1659</v>
      </c>
      <c r="L412" s="3">
        <v>85</v>
      </c>
      <c r="M412" s="3">
        <v>89.24</v>
      </c>
      <c r="N412" s="3">
        <v>169.99</v>
      </c>
      <c r="O412" s="2" t="s">
        <v>97</v>
      </c>
      <c r="P412" s="2" t="s">
        <v>587</v>
      </c>
      <c r="Q412" s="2" t="s">
        <v>99</v>
      </c>
      <c r="R412" s="2" t="s">
        <v>100</v>
      </c>
      <c r="S412" s="2" t="s">
        <v>1660</v>
      </c>
      <c r="T412" s="2" t="s">
        <v>100</v>
      </c>
      <c r="U412" s="2" t="s">
        <v>102</v>
      </c>
      <c r="V412" s="2" t="s">
        <v>677</v>
      </c>
      <c r="W412" s="2" t="s">
        <v>104</v>
      </c>
      <c r="X412" s="2" t="s">
        <v>499</v>
      </c>
      <c r="Y412" s="2" t="s">
        <v>1661</v>
      </c>
      <c r="Z412" s="4">
        <v>224</v>
      </c>
      <c r="AA412" s="4">
        <f>=ROUNDDOWN(56,0)</f>
      </c>
      <c r="AB412" s="5">
        <v>4</v>
      </c>
      <c r="AC412" s="2" t="s">
        <v>100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/>
      <c r="BJ412" s="4">
        <v>1</v>
      </c>
      <c r="BK412" s="8">
        <v>90.09</v>
      </c>
      <c r="BL412" s="2" t="s">
        <v>1310</v>
      </c>
      <c r="BM412" s="7"/>
      <c r="BN412" s="7"/>
      <c r="BO412" s="4"/>
      <c r="BP412" s="8"/>
      <c r="BQ412" s="4"/>
      <c r="BR412" s="8"/>
      <c r="BS412" s="7"/>
      <c r="BT412" s="7"/>
      <c r="BU412" s="2" t="s">
        <v>109</v>
      </c>
      <c r="BV412" s="2" t="s">
        <v>97</v>
      </c>
      <c r="BW412" s="2" t="s">
        <v>266</v>
      </c>
      <c r="BX412" s="2" t="s">
        <v>490</v>
      </c>
      <c r="BY412" s="2" t="s">
        <v>112</v>
      </c>
      <c r="BZ412" s="2" t="s">
        <v>100</v>
      </c>
    </row>
    <row r="413">
      <c r="A413" s="2" t="s">
        <v>1663</v>
      </c>
      <c r="B413" s="2" t="s">
        <v>87</v>
      </c>
      <c r="C413" s="2" t="s">
        <v>88</v>
      </c>
      <c r="D413" s="2" t="s">
        <v>89</v>
      </c>
      <c r="E413" s="2" t="s">
        <v>90</v>
      </c>
      <c r="F413" s="2" t="s">
        <v>1656</v>
      </c>
      <c r="G413" s="2" t="s">
        <v>1657</v>
      </c>
      <c r="H413" s="2" t="s">
        <v>1658</v>
      </c>
      <c r="I413" s="2" t="s">
        <v>867</v>
      </c>
      <c r="J413" s="2" t="s">
        <v>124</v>
      </c>
      <c r="K413" s="2" t="s">
        <v>1659</v>
      </c>
      <c r="L413" s="3">
        <v>85</v>
      </c>
      <c r="M413" s="3">
        <v>89.24</v>
      </c>
      <c r="N413" s="3">
        <v>169.99</v>
      </c>
      <c r="O413" s="2" t="s">
        <v>97</v>
      </c>
      <c r="P413" s="2" t="s">
        <v>587</v>
      </c>
      <c r="Q413" s="2" t="s">
        <v>99</v>
      </c>
      <c r="R413" s="2" t="s">
        <v>100</v>
      </c>
      <c r="S413" s="2" t="s">
        <v>1660</v>
      </c>
      <c r="T413" s="2" t="s">
        <v>100</v>
      </c>
      <c r="U413" s="2" t="s">
        <v>102</v>
      </c>
      <c r="V413" s="2" t="s">
        <v>677</v>
      </c>
      <c r="W413" s="2" t="s">
        <v>104</v>
      </c>
      <c r="X413" s="2" t="s">
        <v>499</v>
      </c>
      <c r="Y413" s="2" t="s">
        <v>1661</v>
      </c>
      <c r="Z413" s="4">
        <v>171</v>
      </c>
      <c r="AA413" s="4">
        <f>=ROUNDDOWN(42.75,0)</f>
      </c>
      <c r="AB413" s="5">
        <v>4</v>
      </c>
      <c r="AC413" s="2" t="s">
        <v>100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/>
      <c r="BJ413" s="4">
        <v>3</v>
      </c>
      <c r="BK413" s="8">
        <v>261.01</v>
      </c>
      <c r="BL413" s="2" t="s">
        <v>1664</v>
      </c>
      <c r="BM413" s="7"/>
      <c r="BN413" s="7"/>
      <c r="BO413" s="4"/>
      <c r="BP413" s="8"/>
      <c r="BQ413" s="4"/>
      <c r="BR413" s="8"/>
      <c r="BS413" s="7"/>
      <c r="BT413" s="7"/>
      <c r="BU413" s="2" t="s">
        <v>109</v>
      </c>
      <c r="BV413" s="2" t="s">
        <v>97</v>
      </c>
      <c r="BW413" s="2" t="s">
        <v>270</v>
      </c>
      <c r="BX413" s="2" t="s">
        <v>1665</v>
      </c>
      <c r="BY413" s="2" t="s">
        <v>112</v>
      </c>
      <c r="BZ413" s="2" t="s">
        <v>100</v>
      </c>
    </row>
    <row r="414">
      <c r="A414" s="2" t="s">
        <v>1666</v>
      </c>
      <c r="B414" s="2" t="s">
        <v>87</v>
      </c>
      <c r="C414" s="2" t="s">
        <v>88</v>
      </c>
      <c r="D414" s="2" t="s">
        <v>89</v>
      </c>
      <c r="E414" s="2" t="s">
        <v>90</v>
      </c>
      <c r="F414" s="2" t="s">
        <v>1667</v>
      </c>
      <c r="G414" s="2" t="s">
        <v>1668</v>
      </c>
      <c r="H414" s="2" t="s">
        <v>1669</v>
      </c>
      <c r="I414" s="2" t="s">
        <v>1083</v>
      </c>
      <c r="J414" s="2" t="s">
        <v>785</v>
      </c>
      <c r="K414" s="2" t="s">
        <v>340</v>
      </c>
      <c r="L414" s="3">
        <v>63.35</v>
      </c>
      <c r="M414" s="3">
        <v>66.52</v>
      </c>
      <c r="N414" s="3">
        <v>129.99</v>
      </c>
      <c r="O414" s="2" t="s">
        <v>97</v>
      </c>
      <c r="P414" s="2" t="s">
        <v>98</v>
      </c>
      <c r="Q414" s="2" t="s">
        <v>99</v>
      </c>
      <c r="R414" s="2" t="s">
        <v>100</v>
      </c>
      <c r="S414" s="2" t="s">
        <v>1670</v>
      </c>
      <c r="T414" s="2" t="s">
        <v>787</v>
      </c>
      <c r="U414" s="2" t="s">
        <v>283</v>
      </c>
      <c r="V414" s="2" t="s">
        <v>805</v>
      </c>
      <c r="W414" s="2" t="s">
        <v>551</v>
      </c>
      <c r="X414" s="2" t="s">
        <v>499</v>
      </c>
      <c r="Y414" s="2" t="s">
        <v>1671</v>
      </c>
      <c r="Z414" s="4">
        <v>539</v>
      </c>
      <c r="AA414" s="4">
        <f>=ROUNDDOWN(41.4615384615385,0)</f>
      </c>
      <c r="AB414" s="5">
        <v>13</v>
      </c>
      <c r="AC414" s="2" t="s">
        <v>400</v>
      </c>
      <c r="AD414" s="4">
        <v>136</v>
      </c>
      <c r="AE414" s="4">
        <v>136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/>
      <c r="BJ414" s="4">
        <v>11</v>
      </c>
      <c r="BK414" s="8">
        <v>745.25</v>
      </c>
      <c r="BL414" s="2" t="s">
        <v>532</v>
      </c>
      <c r="BM414" s="7"/>
      <c r="BN414" s="7"/>
      <c r="BO414" s="4"/>
      <c r="BP414" s="8"/>
      <c r="BQ414" s="4"/>
      <c r="BR414" s="8"/>
      <c r="BS414" s="7"/>
      <c r="BT414" s="7"/>
      <c r="BU414" s="2" t="s">
        <v>109</v>
      </c>
      <c r="BV414" s="2" t="s">
        <v>97</v>
      </c>
      <c r="BW414" s="2" t="s">
        <v>312</v>
      </c>
      <c r="BX414" s="2" t="s">
        <v>1166</v>
      </c>
      <c r="BY414" s="2" t="s">
        <v>112</v>
      </c>
      <c r="BZ414" s="2" t="s">
        <v>100</v>
      </c>
    </row>
    <row r="415">
      <c r="A415" s="2" t="s">
        <v>1672</v>
      </c>
      <c r="B415" s="2" t="s">
        <v>87</v>
      </c>
      <c r="C415" s="2" t="s">
        <v>88</v>
      </c>
      <c r="D415" s="2" t="s">
        <v>89</v>
      </c>
      <c r="E415" s="2" t="s">
        <v>90</v>
      </c>
      <c r="F415" s="2" t="s">
        <v>1667</v>
      </c>
      <c r="G415" s="2" t="s">
        <v>1668</v>
      </c>
      <c r="H415" s="2" t="s">
        <v>1669</v>
      </c>
      <c r="I415" s="2" t="s">
        <v>1083</v>
      </c>
      <c r="J415" s="2" t="s">
        <v>795</v>
      </c>
      <c r="K415" s="2" t="s">
        <v>340</v>
      </c>
      <c r="L415" s="3">
        <v>73.91</v>
      </c>
      <c r="M415" s="3">
        <v>77.61</v>
      </c>
      <c r="N415" s="3">
        <v>149.99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1670</v>
      </c>
      <c r="T415" s="2" t="s">
        <v>787</v>
      </c>
      <c r="U415" s="2" t="s">
        <v>283</v>
      </c>
      <c r="V415" s="2" t="s">
        <v>805</v>
      </c>
      <c r="W415" s="2" t="s">
        <v>551</v>
      </c>
      <c r="X415" s="2" t="s">
        <v>499</v>
      </c>
      <c r="Y415" s="2" t="s">
        <v>1673</v>
      </c>
      <c r="Z415" s="4">
        <v>503</v>
      </c>
      <c r="AA415" s="4">
        <f>=ROUNDDOWN(38.6923076923077,0)</f>
      </c>
      <c r="AB415" s="5">
        <v>13</v>
      </c>
      <c r="AC415" s="2" t="s">
        <v>400</v>
      </c>
      <c r="AD415" s="4">
        <v>132</v>
      </c>
      <c r="AE415" s="4">
        <v>132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/>
      <c r="BJ415" s="4">
        <v>8</v>
      </c>
      <c r="BK415" s="8">
        <v>643.1</v>
      </c>
      <c r="BL415" s="2" t="s">
        <v>1207</v>
      </c>
      <c r="BM415" s="7"/>
      <c r="BN415" s="7"/>
      <c r="BO415" s="4"/>
      <c r="BP415" s="8"/>
      <c r="BQ415" s="4"/>
      <c r="BR415" s="8"/>
      <c r="BS415" s="7"/>
      <c r="BT415" s="7"/>
      <c r="BU415" s="2" t="s">
        <v>109</v>
      </c>
      <c r="BV415" s="2" t="s">
        <v>97</v>
      </c>
      <c r="BW415" s="2" t="s">
        <v>312</v>
      </c>
      <c r="BX415" s="2" t="s">
        <v>1674</v>
      </c>
      <c r="BY415" s="2" t="s">
        <v>112</v>
      </c>
      <c r="BZ415" s="2" t="s">
        <v>100</v>
      </c>
    </row>
    <row r="416">
      <c r="A416" s="2" t="s">
        <v>1675</v>
      </c>
      <c r="B416" s="2" t="s">
        <v>87</v>
      </c>
      <c r="C416" s="2" t="s">
        <v>88</v>
      </c>
      <c r="D416" s="2" t="s">
        <v>89</v>
      </c>
      <c r="E416" s="2" t="s">
        <v>90</v>
      </c>
      <c r="F416" s="2" t="s">
        <v>1667</v>
      </c>
      <c r="G416" s="2" t="s">
        <v>1668</v>
      </c>
      <c r="H416" s="2" t="s">
        <v>1669</v>
      </c>
      <c r="I416" s="2" t="s">
        <v>1083</v>
      </c>
      <c r="J416" s="2" t="s">
        <v>785</v>
      </c>
      <c r="K416" s="2" t="s">
        <v>253</v>
      </c>
      <c r="L416" s="3">
        <v>63.35</v>
      </c>
      <c r="M416" s="3">
        <v>66.52</v>
      </c>
      <c r="N416" s="3">
        <v>129.99</v>
      </c>
      <c r="O416" s="2" t="s">
        <v>97</v>
      </c>
      <c r="P416" s="2" t="s">
        <v>281</v>
      </c>
      <c r="Q416" s="2" t="s">
        <v>99</v>
      </c>
      <c r="R416" s="2" t="s">
        <v>100</v>
      </c>
      <c r="S416" s="2" t="s">
        <v>1676</v>
      </c>
      <c r="T416" s="2" t="s">
        <v>787</v>
      </c>
      <c r="U416" s="2" t="s">
        <v>283</v>
      </c>
      <c r="V416" s="2" t="s">
        <v>805</v>
      </c>
      <c r="W416" s="2" t="s">
        <v>551</v>
      </c>
      <c r="X416" s="2" t="s">
        <v>552</v>
      </c>
      <c r="Y416" s="2" t="s">
        <v>1677</v>
      </c>
      <c r="Z416" s="4">
        <v>1443</v>
      </c>
      <c r="AA416" s="4">
        <f>=ROUNDDOWN(25.3157894736842,0)</f>
      </c>
      <c r="AB416" s="5">
        <v>57</v>
      </c>
      <c r="AC416" s="2" t="s">
        <v>1678</v>
      </c>
      <c r="AD416" s="4">
        <v>30</v>
      </c>
      <c r="AE416" s="4">
        <v>730</v>
      </c>
      <c r="AF416" s="6">
        <v>65</v>
      </c>
      <c r="AG416" s="6">
        <v>48</v>
      </c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/>
      <c r="BJ416" s="4">
        <v>87</v>
      </c>
      <c r="BK416" s="8">
        <v>5844.03</v>
      </c>
      <c r="BL416" s="2" t="s">
        <v>1679</v>
      </c>
      <c r="BM416" s="7"/>
      <c r="BN416" s="7"/>
      <c r="BO416" s="4"/>
      <c r="BP416" s="8"/>
      <c r="BQ416" s="4"/>
      <c r="BR416" s="8"/>
      <c r="BS416" s="7"/>
      <c r="BT416" s="7"/>
      <c r="BU416" s="2" t="s">
        <v>109</v>
      </c>
      <c r="BV416" s="2" t="s">
        <v>97</v>
      </c>
      <c r="BW416" s="2" t="s">
        <v>1159</v>
      </c>
      <c r="BX416" s="2" t="s">
        <v>233</v>
      </c>
      <c r="BY416" s="2" t="s">
        <v>112</v>
      </c>
      <c r="BZ416" s="2" t="s">
        <v>100</v>
      </c>
    </row>
    <row r="417">
      <c r="A417" s="2" t="s">
        <v>1680</v>
      </c>
      <c r="B417" s="2" t="s">
        <v>87</v>
      </c>
      <c r="C417" s="2" t="s">
        <v>88</v>
      </c>
      <c r="D417" s="2" t="s">
        <v>89</v>
      </c>
      <c r="E417" s="2" t="s">
        <v>90</v>
      </c>
      <c r="F417" s="2" t="s">
        <v>1667</v>
      </c>
      <c r="G417" s="2" t="s">
        <v>1668</v>
      </c>
      <c r="H417" s="2" t="s">
        <v>1669</v>
      </c>
      <c r="I417" s="2" t="s">
        <v>1083</v>
      </c>
      <c r="J417" s="2" t="s">
        <v>795</v>
      </c>
      <c r="K417" s="2" t="s">
        <v>253</v>
      </c>
      <c r="L417" s="3">
        <v>73.91</v>
      </c>
      <c r="M417" s="3">
        <v>77.61</v>
      </c>
      <c r="N417" s="3">
        <v>149.99</v>
      </c>
      <c r="O417" s="2" t="s">
        <v>97</v>
      </c>
      <c r="P417" s="2" t="s">
        <v>281</v>
      </c>
      <c r="Q417" s="2" t="s">
        <v>99</v>
      </c>
      <c r="R417" s="2" t="s">
        <v>100</v>
      </c>
      <c r="S417" s="2" t="s">
        <v>1676</v>
      </c>
      <c r="T417" s="2" t="s">
        <v>787</v>
      </c>
      <c r="U417" s="2" t="s">
        <v>283</v>
      </c>
      <c r="V417" s="2" t="s">
        <v>805</v>
      </c>
      <c r="W417" s="2" t="s">
        <v>551</v>
      </c>
      <c r="X417" s="2" t="s">
        <v>552</v>
      </c>
      <c r="Y417" s="2" t="s">
        <v>1677</v>
      </c>
      <c r="Z417" s="4">
        <v>1237</v>
      </c>
      <c r="AA417" s="4">
        <f>=ROUNDDOWN(19.328125,0)</f>
      </c>
      <c r="AB417" s="5">
        <v>64</v>
      </c>
      <c r="AC417" s="2" t="s">
        <v>1678</v>
      </c>
      <c r="AD417" s="4">
        <v>30</v>
      </c>
      <c r="AE417" s="4">
        <v>750</v>
      </c>
      <c r="AF417" s="6">
        <v>65</v>
      </c>
      <c r="AG417" s="6">
        <v>48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/>
      <c r="BJ417" s="4">
        <v>57</v>
      </c>
      <c r="BK417" s="8">
        <v>4704.14</v>
      </c>
      <c r="BL417" s="2" t="s">
        <v>1681</v>
      </c>
      <c r="BM417" s="7"/>
      <c r="BN417" s="7"/>
      <c r="BO417" s="4"/>
      <c r="BP417" s="8"/>
      <c r="BQ417" s="4"/>
      <c r="BR417" s="8"/>
      <c r="BS417" s="7"/>
      <c r="BT417" s="7"/>
      <c r="BU417" s="2" t="s">
        <v>109</v>
      </c>
      <c r="BV417" s="2" t="s">
        <v>97</v>
      </c>
      <c r="BW417" s="2" t="s">
        <v>1159</v>
      </c>
      <c r="BX417" s="2" t="s">
        <v>1144</v>
      </c>
      <c r="BY417" s="2" t="s">
        <v>112</v>
      </c>
      <c r="BZ417" s="2" t="s">
        <v>100</v>
      </c>
    </row>
    <row r="418">
      <c r="A418" s="2" t="s">
        <v>1682</v>
      </c>
      <c r="B418" s="2" t="s">
        <v>87</v>
      </c>
      <c r="C418" s="2" t="s">
        <v>88</v>
      </c>
      <c r="D418" s="2" t="s">
        <v>89</v>
      </c>
      <c r="E418" s="2" t="s">
        <v>90</v>
      </c>
      <c r="F418" s="2" t="s">
        <v>1667</v>
      </c>
      <c r="G418" s="2" t="s">
        <v>1668</v>
      </c>
      <c r="H418" s="2" t="s">
        <v>1669</v>
      </c>
      <c r="I418" s="2" t="s">
        <v>1083</v>
      </c>
      <c r="J418" s="2" t="s">
        <v>785</v>
      </c>
      <c r="K418" s="2" t="s">
        <v>357</v>
      </c>
      <c r="L418" s="3">
        <v>63.35</v>
      </c>
      <c r="M418" s="3">
        <v>66.52</v>
      </c>
      <c r="N418" s="3">
        <v>129.99</v>
      </c>
      <c r="O418" s="2" t="s">
        <v>97</v>
      </c>
      <c r="P418" s="2" t="s">
        <v>98</v>
      </c>
      <c r="Q418" s="2" t="s">
        <v>99</v>
      </c>
      <c r="R418" s="2" t="s">
        <v>100</v>
      </c>
      <c r="S418" s="2" t="s">
        <v>1683</v>
      </c>
      <c r="T418" s="2" t="s">
        <v>787</v>
      </c>
      <c r="U418" s="2" t="s">
        <v>283</v>
      </c>
      <c r="V418" s="2" t="s">
        <v>805</v>
      </c>
      <c r="W418" s="2" t="s">
        <v>551</v>
      </c>
      <c r="X418" s="2" t="s">
        <v>499</v>
      </c>
      <c r="Y418" s="2" t="s">
        <v>1671</v>
      </c>
      <c r="Z418" s="4">
        <v>449</v>
      </c>
      <c r="AA418" s="4">
        <f>=ROUNDDOWN(49.8888888888889,0)</f>
      </c>
      <c r="AB418" s="5">
        <v>9</v>
      </c>
      <c r="AC418" s="2" t="s">
        <v>100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/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/>
      <c r="BJ418" s="4">
        <v>2</v>
      </c>
      <c r="BK418" s="8">
        <v>125.72</v>
      </c>
      <c r="BL418" s="2" t="s">
        <v>715</v>
      </c>
      <c r="BM418" s="7"/>
      <c r="BN418" s="7"/>
      <c r="BO418" s="4"/>
      <c r="BP418" s="8"/>
      <c r="BQ418" s="4"/>
      <c r="BR418" s="8"/>
      <c r="BS418" s="7"/>
      <c r="BT418" s="7"/>
      <c r="BU418" s="2" t="s">
        <v>109</v>
      </c>
      <c r="BV418" s="2" t="s">
        <v>97</v>
      </c>
      <c r="BW418" s="2" t="s">
        <v>312</v>
      </c>
      <c r="BX418" s="2" t="s">
        <v>1684</v>
      </c>
      <c r="BY418" s="2" t="s">
        <v>112</v>
      </c>
      <c r="BZ418" s="2" t="s">
        <v>100</v>
      </c>
    </row>
    <row r="419">
      <c r="A419" s="2" t="s">
        <v>1685</v>
      </c>
      <c r="B419" s="2" t="s">
        <v>87</v>
      </c>
      <c r="C419" s="2" t="s">
        <v>88</v>
      </c>
      <c r="D419" s="2" t="s">
        <v>89</v>
      </c>
      <c r="E419" s="2" t="s">
        <v>90</v>
      </c>
      <c r="F419" s="2" t="s">
        <v>1667</v>
      </c>
      <c r="G419" s="2" t="s">
        <v>1668</v>
      </c>
      <c r="H419" s="2" t="s">
        <v>1669</v>
      </c>
      <c r="I419" s="2" t="s">
        <v>1083</v>
      </c>
      <c r="J419" s="2" t="s">
        <v>795</v>
      </c>
      <c r="K419" s="2" t="s">
        <v>357</v>
      </c>
      <c r="L419" s="3">
        <v>73.91</v>
      </c>
      <c r="M419" s="3">
        <v>77.61</v>
      </c>
      <c r="N419" s="3">
        <v>149.99</v>
      </c>
      <c r="O419" s="2" t="s">
        <v>97</v>
      </c>
      <c r="P419" s="2" t="s">
        <v>98</v>
      </c>
      <c r="Q419" s="2" t="s">
        <v>99</v>
      </c>
      <c r="R419" s="2" t="s">
        <v>100</v>
      </c>
      <c r="S419" s="2" t="s">
        <v>1683</v>
      </c>
      <c r="T419" s="2" t="s">
        <v>787</v>
      </c>
      <c r="U419" s="2" t="s">
        <v>283</v>
      </c>
      <c r="V419" s="2" t="s">
        <v>805</v>
      </c>
      <c r="W419" s="2" t="s">
        <v>551</v>
      </c>
      <c r="X419" s="2" t="s">
        <v>499</v>
      </c>
      <c r="Y419" s="2" t="s">
        <v>1671</v>
      </c>
      <c r="Z419" s="4">
        <v>434</v>
      </c>
      <c r="AA419" s="4">
        <f>=ROUNDDOWN(43.4,0)</f>
      </c>
      <c r="AB419" s="5">
        <v>10</v>
      </c>
      <c r="AC419" s="2" t="s">
        <v>100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/>
      <c r="BJ419" s="4">
        <v>2</v>
      </c>
      <c r="BK419" s="8">
        <v>170</v>
      </c>
      <c r="BL419" s="2" t="s">
        <v>1356</v>
      </c>
      <c r="BM419" s="7"/>
      <c r="BN419" s="7"/>
      <c r="BO419" s="4"/>
      <c r="BP419" s="8"/>
      <c r="BQ419" s="4"/>
      <c r="BR419" s="8"/>
      <c r="BS419" s="7"/>
      <c r="BT419" s="7"/>
      <c r="BU419" s="2" t="s">
        <v>109</v>
      </c>
      <c r="BV419" s="2" t="s">
        <v>97</v>
      </c>
      <c r="BW419" s="2" t="s">
        <v>312</v>
      </c>
      <c r="BX419" s="2" t="s">
        <v>100</v>
      </c>
      <c r="BY419" s="2" t="s">
        <v>112</v>
      </c>
      <c r="BZ419" s="2" t="s">
        <v>100</v>
      </c>
    </row>
    <row r="420">
      <c r="A420" s="2" t="s">
        <v>1686</v>
      </c>
      <c r="B420" s="2" t="s">
        <v>87</v>
      </c>
      <c r="C420" s="2" t="s">
        <v>88</v>
      </c>
      <c r="D420" s="2" t="s">
        <v>89</v>
      </c>
      <c r="E420" s="2" t="s">
        <v>90</v>
      </c>
      <c r="F420" s="2" t="s">
        <v>1687</v>
      </c>
      <c r="G420" s="2" t="s">
        <v>1688</v>
      </c>
      <c r="H420" s="2" t="s">
        <v>1689</v>
      </c>
      <c r="I420" s="2" t="s">
        <v>1690</v>
      </c>
      <c r="J420" s="2" t="s">
        <v>785</v>
      </c>
      <c r="K420" s="2" t="s">
        <v>763</v>
      </c>
      <c r="L420" s="3">
        <v>36.57</v>
      </c>
      <c r="M420" s="3">
        <v>38.4</v>
      </c>
      <c r="N420" s="3">
        <v>79.99</v>
      </c>
      <c r="O420" s="2" t="s">
        <v>97</v>
      </c>
      <c r="P420" s="2" t="s">
        <v>1216</v>
      </c>
      <c r="Q420" s="2" t="s">
        <v>99</v>
      </c>
      <c r="R420" s="2" t="s">
        <v>100</v>
      </c>
      <c r="S420" s="2" t="s">
        <v>1691</v>
      </c>
      <c r="T420" s="2" t="s">
        <v>1218</v>
      </c>
      <c r="U420" s="2" t="s">
        <v>644</v>
      </c>
      <c r="V420" s="2" t="s">
        <v>1641</v>
      </c>
      <c r="W420" s="2" t="s">
        <v>1440</v>
      </c>
      <c r="X420" s="2" t="s">
        <v>756</v>
      </c>
      <c r="Y420" s="2" t="s">
        <v>811</v>
      </c>
      <c r="Z420" s="4"/>
      <c r="AA420" s="4">
        <f>=ROUNDDOWN({0},0)</f>
      </c>
      <c r="AB420" s="5"/>
      <c r="AC420" s="2" t="s">
        <v>400</v>
      </c>
      <c r="AD420" s="4">
        <v>240</v>
      </c>
      <c r="AE420" s="4">
        <v>487</v>
      </c>
      <c r="AF420" s="6">
        <v>64</v>
      </c>
      <c r="AG420" s="6"/>
      <c r="AH420" s="7">
        <v>0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/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/>
      <c r="BJ420" s="4"/>
      <c r="BK420" s="8"/>
      <c r="BL420" s="2" t="s">
        <v>100</v>
      </c>
      <c r="BM420" s="7"/>
      <c r="BN420" s="7"/>
      <c r="BO420" s="4"/>
      <c r="BP420" s="8"/>
      <c r="BQ420" s="4"/>
      <c r="BR420" s="8"/>
      <c r="BS420" s="7"/>
      <c r="BT420" s="7"/>
      <c r="BU420" s="2" t="s">
        <v>1338</v>
      </c>
      <c r="BV420" s="2" t="s">
        <v>97</v>
      </c>
      <c r="BW420" s="2" t="s">
        <v>100</v>
      </c>
      <c r="BX420" s="2" t="s">
        <v>100</v>
      </c>
      <c r="BY420" s="2" t="s">
        <v>112</v>
      </c>
      <c r="BZ420" s="2" t="s">
        <v>100</v>
      </c>
    </row>
    <row r="421">
      <c r="A421" s="2" t="s">
        <v>1692</v>
      </c>
      <c r="B421" s="2" t="s">
        <v>87</v>
      </c>
      <c r="C421" s="2" t="s">
        <v>88</v>
      </c>
      <c r="D421" s="2" t="s">
        <v>89</v>
      </c>
      <c r="E421" s="2" t="s">
        <v>90</v>
      </c>
      <c r="F421" s="2" t="s">
        <v>1687</v>
      </c>
      <c r="G421" s="2" t="s">
        <v>1688</v>
      </c>
      <c r="H421" s="2" t="s">
        <v>1689</v>
      </c>
      <c r="I421" s="2" t="s">
        <v>1690</v>
      </c>
      <c r="J421" s="2" t="s">
        <v>795</v>
      </c>
      <c r="K421" s="2" t="s">
        <v>763</v>
      </c>
      <c r="L421" s="3">
        <v>41.14</v>
      </c>
      <c r="M421" s="3">
        <v>43.2</v>
      </c>
      <c r="N421" s="3">
        <v>89.99</v>
      </c>
      <c r="O421" s="2" t="s">
        <v>97</v>
      </c>
      <c r="P421" s="2" t="s">
        <v>1216</v>
      </c>
      <c r="Q421" s="2" t="s">
        <v>99</v>
      </c>
      <c r="R421" s="2" t="s">
        <v>100</v>
      </c>
      <c r="S421" s="2" t="s">
        <v>1691</v>
      </c>
      <c r="T421" s="2" t="s">
        <v>1218</v>
      </c>
      <c r="U421" s="2" t="s">
        <v>644</v>
      </c>
      <c r="V421" s="2" t="s">
        <v>1641</v>
      </c>
      <c r="W421" s="2" t="s">
        <v>1440</v>
      </c>
      <c r="X421" s="2" t="s">
        <v>756</v>
      </c>
      <c r="Y421" s="2" t="s">
        <v>811</v>
      </c>
      <c r="Z421" s="4"/>
      <c r="AA421" s="4">
        <f>=ROUNDDOWN({0},0)</f>
      </c>
      <c r="AB421" s="5"/>
      <c r="AC421" s="2" t="s">
        <v>400</v>
      </c>
      <c r="AD421" s="4">
        <v>160</v>
      </c>
      <c r="AE421" s="4">
        <v>327</v>
      </c>
      <c r="AF421" s="6">
        <v>64</v>
      </c>
      <c r="AG421" s="6"/>
      <c r="AH421" s="7">
        <v>0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/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/>
      <c r="BJ421" s="4"/>
      <c r="BK421" s="8"/>
      <c r="BL421" s="2" t="s">
        <v>100</v>
      </c>
      <c r="BM421" s="7"/>
      <c r="BN421" s="7"/>
      <c r="BO421" s="4"/>
      <c r="BP421" s="8"/>
      <c r="BQ421" s="4"/>
      <c r="BR421" s="8"/>
      <c r="BS421" s="7"/>
      <c r="BT421" s="7"/>
      <c r="BU421" s="2" t="s">
        <v>1338</v>
      </c>
      <c r="BV421" s="2" t="s">
        <v>97</v>
      </c>
      <c r="BW421" s="2" t="s">
        <v>100</v>
      </c>
      <c r="BX421" s="2" t="s">
        <v>100</v>
      </c>
      <c r="BY421" s="2" t="s">
        <v>112</v>
      </c>
      <c r="BZ421" s="2" t="s">
        <v>100</v>
      </c>
    </row>
    <row r="422">
      <c r="A422" s="2" t="s">
        <v>1693</v>
      </c>
      <c r="B422" s="2" t="s">
        <v>87</v>
      </c>
      <c r="C422" s="2" t="s">
        <v>88</v>
      </c>
      <c r="D422" s="2" t="s">
        <v>89</v>
      </c>
      <c r="E422" s="2" t="s">
        <v>90</v>
      </c>
      <c r="F422" s="2" t="s">
        <v>1694</v>
      </c>
      <c r="G422" s="2" t="s">
        <v>1695</v>
      </c>
      <c r="H422" s="2" t="s">
        <v>1696</v>
      </c>
      <c r="I422" s="2" t="s">
        <v>241</v>
      </c>
      <c r="J422" s="2" t="s">
        <v>114</v>
      </c>
      <c r="K422" s="2" t="s">
        <v>253</v>
      </c>
      <c r="L422" s="3">
        <v>67.2</v>
      </c>
      <c r="M422" s="3">
        <v>70.55</v>
      </c>
      <c r="N422" s="3">
        <v>139.99</v>
      </c>
      <c r="O422" s="2" t="s">
        <v>97</v>
      </c>
      <c r="P422" s="2" t="s">
        <v>447</v>
      </c>
      <c r="Q422" s="2" t="s">
        <v>99</v>
      </c>
      <c r="R422" s="2" t="s">
        <v>100</v>
      </c>
      <c r="S422" s="2" t="s">
        <v>1697</v>
      </c>
      <c r="T422" s="2" t="s">
        <v>100</v>
      </c>
      <c r="U422" s="2" t="s">
        <v>102</v>
      </c>
      <c r="V422" s="2" t="s">
        <v>663</v>
      </c>
      <c r="W422" s="2" t="s">
        <v>104</v>
      </c>
      <c r="X422" s="2" t="s">
        <v>450</v>
      </c>
      <c r="Y422" s="2" t="s">
        <v>131</v>
      </c>
      <c r="Z422" s="4">
        <v>291</v>
      </c>
      <c r="AA422" s="4">
        <f>=ROUNDDOWN(22.3846153846154,0)</f>
      </c>
      <c r="AB422" s="5">
        <v>13</v>
      </c>
      <c r="AC422" s="2" t="s">
        <v>107</v>
      </c>
      <c r="AD422" s="4">
        <v>170</v>
      </c>
      <c r="AE422" s="4">
        <v>170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/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/>
      <c r="BJ422" s="4">
        <v>13</v>
      </c>
      <c r="BK422" s="8">
        <v>976.73</v>
      </c>
      <c r="BL422" s="2" t="s">
        <v>1698</v>
      </c>
      <c r="BM422" s="7"/>
      <c r="BN422" s="7"/>
      <c r="BO422" s="4"/>
      <c r="BP422" s="8"/>
      <c r="BQ422" s="4"/>
      <c r="BR422" s="8"/>
      <c r="BS422" s="7"/>
      <c r="BT422" s="7"/>
      <c r="BU422" s="2" t="s">
        <v>109</v>
      </c>
      <c r="BV422" s="2" t="s">
        <v>97</v>
      </c>
      <c r="BW422" s="2" t="s">
        <v>137</v>
      </c>
      <c r="BX422" s="2" t="s">
        <v>219</v>
      </c>
      <c r="BY422" s="2" t="s">
        <v>112</v>
      </c>
      <c r="BZ422" s="2" t="s">
        <v>100</v>
      </c>
    </row>
    <row r="423">
      <c r="A423" s="2" t="s">
        <v>1699</v>
      </c>
      <c r="B423" s="2" t="s">
        <v>87</v>
      </c>
      <c r="C423" s="2" t="s">
        <v>88</v>
      </c>
      <c r="D423" s="2" t="s">
        <v>89</v>
      </c>
      <c r="E423" s="2" t="s">
        <v>90</v>
      </c>
      <c r="F423" s="2" t="s">
        <v>1694</v>
      </c>
      <c r="G423" s="2" t="s">
        <v>1695</v>
      </c>
      <c r="H423" s="2" t="s">
        <v>1696</v>
      </c>
      <c r="I423" s="2" t="s">
        <v>241</v>
      </c>
      <c r="J423" s="2" t="s">
        <v>120</v>
      </c>
      <c r="K423" s="2" t="s">
        <v>253</v>
      </c>
      <c r="L423" s="3">
        <v>76.8</v>
      </c>
      <c r="M423" s="3">
        <v>80.63</v>
      </c>
      <c r="N423" s="3">
        <v>159.99</v>
      </c>
      <c r="O423" s="2" t="s">
        <v>97</v>
      </c>
      <c r="P423" s="2" t="s">
        <v>447</v>
      </c>
      <c r="Q423" s="2" t="s">
        <v>99</v>
      </c>
      <c r="R423" s="2" t="s">
        <v>100</v>
      </c>
      <c r="S423" s="2" t="s">
        <v>1697</v>
      </c>
      <c r="T423" s="2" t="s">
        <v>100</v>
      </c>
      <c r="U423" s="2" t="s">
        <v>102</v>
      </c>
      <c r="V423" s="2" t="s">
        <v>663</v>
      </c>
      <c r="W423" s="2" t="s">
        <v>104</v>
      </c>
      <c r="X423" s="2" t="s">
        <v>450</v>
      </c>
      <c r="Y423" s="2" t="s">
        <v>131</v>
      </c>
      <c r="Z423" s="4">
        <v>241</v>
      </c>
      <c r="AA423" s="4">
        <f>=ROUNDDOWN(30.125,0)</f>
      </c>
      <c r="AB423" s="5">
        <v>8</v>
      </c>
      <c r="AC423" s="2" t="s">
        <v>100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/>
      <c r="BJ423" s="4">
        <v>4</v>
      </c>
      <c r="BK423" s="8">
        <v>308.32</v>
      </c>
      <c r="BL423" s="2" t="s">
        <v>1077</v>
      </c>
      <c r="BM423" s="7"/>
      <c r="BN423" s="7"/>
      <c r="BO423" s="4"/>
      <c r="BP423" s="8"/>
      <c r="BQ423" s="4"/>
      <c r="BR423" s="8"/>
      <c r="BS423" s="7"/>
      <c r="BT423" s="7"/>
      <c r="BU423" s="2" t="s">
        <v>109</v>
      </c>
      <c r="BV423" s="2" t="s">
        <v>97</v>
      </c>
      <c r="BW423" s="2" t="s">
        <v>137</v>
      </c>
      <c r="BX423" s="2" t="s">
        <v>326</v>
      </c>
      <c r="BY423" s="2" t="s">
        <v>112</v>
      </c>
      <c r="BZ423" s="2" t="s">
        <v>100</v>
      </c>
    </row>
    <row r="424">
      <c r="A424" s="2" t="s">
        <v>1700</v>
      </c>
      <c r="B424" s="2" t="s">
        <v>87</v>
      </c>
      <c r="C424" s="2" t="s">
        <v>88</v>
      </c>
      <c r="D424" s="2" t="s">
        <v>89</v>
      </c>
      <c r="E424" s="2" t="s">
        <v>90</v>
      </c>
      <c r="F424" s="2" t="s">
        <v>1694</v>
      </c>
      <c r="G424" s="2" t="s">
        <v>1695</v>
      </c>
      <c r="H424" s="2" t="s">
        <v>1696</v>
      </c>
      <c r="I424" s="2" t="s">
        <v>241</v>
      </c>
      <c r="J424" s="2" t="s">
        <v>124</v>
      </c>
      <c r="K424" s="2" t="s">
        <v>253</v>
      </c>
      <c r="L424" s="3">
        <v>76.8</v>
      </c>
      <c r="M424" s="3">
        <v>80.63</v>
      </c>
      <c r="N424" s="3">
        <v>159.99</v>
      </c>
      <c r="O424" s="2" t="s">
        <v>473</v>
      </c>
      <c r="P424" s="2" t="s">
        <v>447</v>
      </c>
      <c r="Q424" s="2" t="s">
        <v>99</v>
      </c>
      <c r="R424" s="2" t="s">
        <v>100</v>
      </c>
      <c r="S424" s="2" t="s">
        <v>1697</v>
      </c>
      <c r="T424" s="2" t="s">
        <v>100</v>
      </c>
      <c r="U424" s="2" t="s">
        <v>102</v>
      </c>
      <c r="V424" s="2" t="s">
        <v>663</v>
      </c>
      <c r="W424" s="2" t="s">
        <v>104</v>
      </c>
      <c r="X424" s="2" t="s">
        <v>450</v>
      </c>
      <c r="Y424" s="2" t="s">
        <v>131</v>
      </c>
      <c r="Z424" s="4">
        <v>175</v>
      </c>
      <c r="AA424" s="4">
        <f>=ROUNDDOWN(43.75,0)</f>
      </c>
      <c r="AB424" s="5">
        <v>4</v>
      </c>
      <c r="AC424" s="2" t="s">
        <v>100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/>
      <c r="BJ424" s="4">
        <v>3</v>
      </c>
      <c r="BK424" s="8">
        <v>229.91</v>
      </c>
      <c r="BL424" s="2" t="s">
        <v>1701</v>
      </c>
      <c r="BM424" s="7"/>
      <c r="BN424" s="7"/>
      <c r="BO424" s="4"/>
      <c r="BP424" s="8"/>
      <c r="BQ424" s="4"/>
      <c r="BR424" s="8"/>
      <c r="BS424" s="7"/>
      <c r="BT424" s="7"/>
      <c r="BU424" s="2" t="s">
        <v>109</v>
      </c>
      <c r="BV424" s="2" t="s">
        <v>97</v>
      </c>
      <c r="BW424" s="2" t="s">
        <v>137</v>
      </c>
      <c r="BX424" s="2" t="s">
        <v>454</v>
      </c>
      <c r="BY424" s="2" t="s">
        <v>112</v>
      </c>
      <c r="BZ424" s="2" t="s">
        <v>100</v>
      </c>
    </row>
    <row r="425">
      <c r="A425" s="2" t="s">
        <v>1702</v>
      </c>
      <c r="B425" s="2" t="s">
        <v>87</v>
      </c>
      <c r="C425" s="2" t="s">
        <v>88</v>
      </c>
      <c r="D425" s="2" t="s">
        <v>89</v>
      </c>
      <c r="E425" s="2" t="s">
        <v>90</v>
      </c>
      <c r="F425" s="2" t="s">
        <v>1703</v>
      </c>
      <c r="G425" s="2" t="s">
        <v>1704</v>
      </c>
      <c r="H425" s="2" t="s">
        <v>1705</v>
      </c>
      <c r="I425" s="2" t="s">
        <v>279</v>
      </c>
      <c r="J425" s="2" t="s">
        <v>114</v>
      </c>
      <c r="K425" s="2" t="s">
        <v>163</v>
      </c>
      <c r="L425" s="3">
        <v>68.6</v>
      </c>
      <c r="M425" s="3">
        <v>72.02</v>
      </c>
      <c r="N425" s="3">
        <v>139.99</v>
      </c>
      <c r="O425" s="2" t="s">
        <v>97</v>
      </c>
      <c r="P425" s="2" t="s">
        <v>98</v>
      </c>
      <c r="Q425" s="2" t="s">
        <v>99</v>
      </c>
      <c r="R425" s="2" t="s">
        <v>100</v>
      </c>
      <c r="S425" s="2" t="s">
        <v>1706</v>
      </c>
      <c r="T425" s="2" t="s">
        <v>100</v>
      </c>
      <c r="U425" s="2" t="s">
        <v>283</v>
      </c>
      <c r="V425" s="2" t="s">
        <v>608</v>
      </c>
      <c r="W425" s="2" t="s">
        <v>244</v>
      </c>
      <c r="X425" s="2" t="s">
        <v>609</v>
      </c>
      <c r="Y425" s="2" t="s">
        <v>131</v>
      </c>
      <c r="Z425" s="4">
        <v>332</v>
      </c>
      <c r="AA425" s="4">
        <f>=ROUNDDOWN(47.4285714285714,0)</f>
      </c>
      <c r="AB425" s="5">
        <v>7</v>
      </c>
      <c r="AC425" s="2" t="s">
        <v>107</v>
      </c>
      <c r="AD425" s="4">
        <v>150</v>
      </c>
      <c r="AE425" s="4">
        <v>150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/>
      <c r="BJ425" s="4">
        <v>4</v>
      </c>
      <c r="BK425" s="8">
        <v>292.71</v>
      </c>
      <c r="BL425" s="2" t="s">
        <v>1707</v>
      </c>
      <c r="BM425" s="7"/>
      <c r="BN425" s="7"/>
      <c r="BO425" s="4"/>
      <c r="BP425" s="8"/>
      <c r="BQ425" s="4"/>
      <c r="BR425" s="8"/>
      <c r="BS425" s="7"/>
      <c r="BT425" s="7"/>
      <c r="BU425" s="2" t="s">
        <v>109</v>
      </c>
      <c r="BV425" s="2" t="s">
        <v>97</v>
      </c>
      <c r="BW425" s="2" t="s">
        <v>122</v>
      </c>
      <c r="BX425" s="2" t="s">
        <v>246</v>
      </c>
      <c r="BY425" s="2" t="s">
        <v>112</v>
      </c>
      <c r="BZ425" s="2" t="s">
        <v>100</v>
      </c>
    </row>
    <row r="426">
      <c r="A426" s="2" t="s">
        <v>1708</v>
      </c>
      <c r="B426" s="2" t="s">
        <v>87</v>
      </c>
      <c r="C426" s="2" t="s">
        <v>88</v>
      </c>
      <c r="D426" s="2" t="s">
        <v>89</v>
      </c>
      <c r="E426" s="2" t="s">
        <v>90</v>
      </c>
      <c r="F426" s="2" t="s">
        <v>1703</v>
      </c>
      <c r="G426" s="2" t="s">
        <v>1704</v>
      </c>
      <c r="H426" s="2" t="s">
        <v>1705</v>
      </c>
      <c r="I426" s="2" t="s">
        <v>279</v>
      </c>
      <c r="J426" s="2" t="s">
        <v>120</v>
      </c>
      <c r="K426" s="2" t="s">
        <v>163</v>
      </c>
      <c r="L426" s="3">
        <v>78.4</v>
      </c>
      <c r="M426" s="3">
        <v>82.31</v>
      </c>
      <c r="N426" s="3">
        <v>159.99</v>
      </c>
      <c r="O426" s="2" t="s">
        <v>97</v>
      </c>
      <c r="P426" s="2" t="s">
        <v>98</v>
      </c>
      <c r="Q426" s="2" t="s">
        <v>99</v>
      </c>
      <c r="R426" s="2" t="s">
        <v>100</v>
      </c>
      <c r="S426" s="2" t="s">
        <v>1706</v>
      </c>
      <c r="T426" s="2" t="s">
        <v>100</v>
      </c>
      <c r="U426" s="2" t="s">
        <v>283</v>
      </c>
      <c r="V426" s="2" t="s">
        <v>608</v>
      </c>
      <c r="W426" s="2" t="s">
        <v>244</v>
      </c>
      <c r="X426" s="2" t="s">
        <v>609</v>
      </c>
      <c r="Y426" s="2" t="s">
        <v>131</v>
      </c>
      <c r="Z426" s="4">
        <v>497</v>
      </c>
      <c r="AA426" s="4">
        <f>=ROUNDDOWN(55.2222222222222,0)</f>
      </c>
      <c r="AB426" s="5">
        <v>9</v>
      </c>
      <c r="AC426" s="2" t="s">
        <v>107</v>
      </c>
      <c r="AD426" s="4">
        <v>190</v>
      </c>
      <c r="AE426" s="4">
        <v>190</v>
      </c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/>
      <c r="BJ426" s="4">
        <v>10</v>
      </c>
      <c r="BK426" s="8">
        <v>774.3</v>
      </c>
      <c r="BL426" s="2" t="s">
        <v>1709</v>
      </c>
      <c r="BM426" s="7"/>
      <c r="BN426" s="7"/>
      <c r="BO426" s="4"/>
      <c r="BP426" s="8"/>
      <c r="BQ426" s="4"/>
      <c r="BR426" s="8"/>
      <c r="BS426" s="7"/>
      <c r="BT426" s="7"/>
      <c r="BU426" s="2" t="s">
        <v>109</v>
      </c>
      <c r="BV426" s="2" t="s">
        <v>97</v>
      </c>
      <c r="BW426" s="2" t="s">
        <v>122</v>
      </c>
      <c r="BX426" s="2" t="s">
        <v>117</v>
      </c>
      <c r="BY426" s="2" t="s">
        <v>112</v>
      </c>
      <c r="BZ426" s="2" t="s">
        <v>100</v>
      </c>
    </row>
    <row r="427">
      <c r="A427" s="2" t="s">
        <v>1710</v>
      </c>
      <c r="B427" s="2" t="s">
        <v>87</v>
      </c>
      <c r="C427" s="2" t="s">
        <v>88</v>
      </c>
      <c r="D427" s="2" t="s">
        <v>89</v>
      </c>
      <c r="E427" s="2" t="s">
        <v>90</v>
      </c>
      <c r="F427" s="2" t="s">
        <v>1703</v>
      </c>
      <c r="G427" s="2" t="s">
        <v>1704</v>
      </c>
      <c r="H427" s="2" t="s">
        <v>1705</v>
      </c>
      <c r="I427" s="2" t="s">
        <v>279</v>
      </c>
      <c r="J427" s="2" t="s">
        <v>124</v>
      </c>
      <c r="K427" s="2" t="s">
        <v>163</v>
      </c>
      <c r="L427" s="3">
        <v>78.4</v>
      </c>
      <c r="M427" s="3">
        <v>82.31</v>
      </c>
      <c r="N427" s="3">
        <v>159.99</v>
      </c>
      <c r="O427" s="2" t="s">
        <v>97</v>
      </c>
      <c r="P427" s="2" t="s">
        <v>98</v>
      </c>
      <c r="Q427" s="2" t="s">
        <v>99</v>
      </c>
      <c r="R427" s="2" t="s">
        <v>100</v>
      </c>
      <c r="S427" s="2" t="s">
        <v>1706</v>
      </c>
      <c r="T427" s="2" t="s">
        <v>100</v>
      </c>
      <c r="U427" s="2" t="s">
        <v>283</v>
      </c>
      <c r="V427" s="2" t="s">
        <v>608</v>
      </c>
      <c r="W427" s="2" t="s">
        <v>244</v>
      </c>
      <c r="X427" s="2" t="s">
        <v>609</v>
      </c>
      <c r="Y427" s="2" t="s">
        <v>131</v>
      </c>
      <c r="Z427" s="4">
        <v>280</v>
      </c>
      <c r="AA427" s="4">
        <f>=ROUNDDOWN(56,0)</f>
      </c>
      <c r="AB427" s="5">
        <v>5</v>
      </c>
      <c r="AC427" s="2" t="s">
        <v>107</v>
      </c>
      <c r="AD427" s="4">
        <v>100</v>
      </c>
      <c r="AE427" s="4">
        <v>100</v>
      </c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>
        <v>1</v>
      </c>
      <c r="BK427" s="8">
        <v>80</v>
      </c>
      <c r="BL427" s="2" t="s">
        <v>1310</v>
      </c>
      <c r="BM427" s="7"/>
      <c r="BN427" s="7"/>
      <c r="BO427" s="4"/>
      <c r="BP427" s="8"/>
      <c r="BQ427" s="4"/>
      <c r="BR427" s="8"/>
      <c r="BS427" s="7"/>
      <c r="BT427" s="7"/>
      <c r="BU427" s="2" t="s">
        <v>109</v>
      </c>
      <c r="BV427" s="2" t="s">
        <v>97</v>
      </c>
      <c r="BW427" s="2" t="s">
        <v>122</v>
      </c>
      <c r="BX427" s="2" t="s">
        <v>595</v>
      </c>
      <c r="BY427" s="2" t="s">
        <v>112</v>
      </c>
      <c r="BZ427" s="2" t="s">
        <v>100</v>
      </c>
    </row>
    <row r="428">
      <c r="A428" s="2" t="s">
        <v>1711</v>
      </c>
      <c r="B428" s="2" t="s">
        <v>87</v>
      </c>
      <c r="C428" s="2" t="s">
        <v>88</v>
      </c>
      <c r="D428" s="2" t="s">
        <v>89</v>
      </c>
      <c r="E428" s="2" t="s">
        <v>90</v>
      </c>
      <c r="F428" s="2" t="s">
        <v>1712</v>
      </c>
      <c r="G428" s="2" t="s">
        <v>1713</v>
      </c>
      <c r="H428" s="2" t="s">
        <v>1714</v>
      </c>
      <c r="I428" s="2" t="s">
        <v>1605</v>
      </c>
      <c r="J428" s="2" t="s">
        <v>114</v>
      </c>
      <c r="K428" s="2" t="s">
        <v>1515</v>
      </c>
      <c r="L428" s="3">
        <v>70.5</v>
      </c>
      <c r="M428" s="3">
        <v>74.02</v>
      </c>
      <c r="N428" s="3">
        <v>149.99</v>
      </c>
      <c r="O428" s="2" t="s">
        <v>1715</v>
      </c>
      <c r="P428" s="2" t="s">
        <v>447</v>
      </c>
      <c r="Q428" s="2" t="s">
        <v>99</v>
      </c>
      <c r="R428" s="2" t="s">
        <v>100</v>
      </c>
      <c r="S428" s="2" t="s">
        <v>1716</v>
      </c>
      <c r="T428" s="2" t="s">
        <v>100</v>
      </c>
      <c r="U428" s="2" t="s">
        <v>102</v>
      </c>
      <c r="V428" s="2" t="s">
        <v>608</v>
      </c>
      <c r="W428" s="2" t="s">
        <v>104</v>
      </c>
      <c r="X428" s="2" t="s">
        <v>450</v>
      </c>
      <c r="Y428" s="2" t="s">
        <v>1717</v>
      </c>
      <c r="Z428" s="4"/>
      <c r="AA428" s="4">
        <f>=ROUNDDOWN({0},0)</f>
      </c>
      <c r="AB428" s="5">
        <v>8</v>
      </c>
      <c r="AC428" s="2" t="s">
        <v>100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100</v>
      </c>
      <c r="BM428" s="7"/>
      <c r="BN428" s="7"/>
      <c r="BO428" s="4"/>
      <c r="BP428" s="8"/>
      <c r="BQ428" s="4"/>
      <c r="BR428" s="8"/>
      <c r="BS428" s="7"/>
      <c r="BT428" s="7"/>
      <c r="BU428" s="2" t="s">
        <v>109</v>
      </c>
      <c r="BV428" s="2" t="s">
        <v>97</v>
      </c>
      <c r="BW428" s="2" t="s">
        <v>122</v>
      </c>
      <c r="BX428" s="2" t="s">
        <v>1718</v>
      </c>
      <c r="BY428" s="2" t="s">
        <v>112</v>
      </c>
      <c r="BZ428" s="2" t="s">
        <v>100</v>
      </c>
    </row>
    <row r="429">
      <c r="A429" s="2" t="s">
        <v>1719</v>
      </c>
      <c r="B429" s="2" t="s">
        <v>87</v>
      </c>
      <c r="C429" s="2" t="s">
        <v>88</v>
      </c>
      <c r="D429" s="2" t="s">
        <v>89</v>
      </c>
      <c r="E429" s="2" t="s">
        <v>90</v>
      </c>
      <c r="F429" s="2" t="s">
        <v>1720</v>
      </c>
      <c r="G429" s="2" t="s">
        <v>1721</v>
      </c>
      <c r="H429" s="2" t="s">
        <v>1722</v>
      </c>
      <c r="I429" s="2" t="s">
        <v>1723</v>
      </c>
      <c r="J429" s="2" t="s">
        <v>114</v>
      </c>
      <c r="K429" s="2" t="s">
        <v>163</v>
      </c>
      <c r="L429" s="3">
        <v>63.7</v>
      </c>
      <c r="M429" s="3">
        <v>66.89</v>
      </c>
      <c r="N429" s="3">
        <v>129.99</v>
      </c>
      <c r="O429" s="2" t="s">
        <v>473</v>
      </c>
      <c r="P429" s="2" t="s">
        <v>447</v>
      </c>
      <c r="Q429" s="2" t="s">
        <v>99</v>
      </c>
      <c r="R429" s="2" t="s">
        <v>100</v>
      </c>
      <c r="S429" s="2" t="s">
        <v>1724</v>
      </c>
      <c r="T429" s="2" t="s">
        <v>100</v>
      </c>
      <c r="U429" s="2" t="s">
        <v>102</v>
      </c>
      <c r="V429" s="2" t="s">
        <v>1265</v>
      </c>
      <c r="W429" s="2" t="s">
        <v>1240</v>
      </c>
      <c r="X429" s="2" t="s">
        <v>105</v>
      </c>
      <c r="Y429" s="2" t="s">
        <v>1725</v>
      </c>
      <c r="Z429" s="4">
        <v>47</v>
      </c>
      <c r="AA429" s="4">
        <f>=ROUNDDOWN(12.0512820512821,0)</f>
      </c>
      <c r="AB429" s="5">
        <v>3.9</v>
      </c>
      <c r="AC429" s="2" t="s">
        <v>100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>
        <v>3</v>
      </c>
      <c r="BK429" s="8">
        <v>178.21</v>
      </c>
      <c r="BL429" s="2" t="s">
        <v>200</v>
      </c>
      <c r="BM429" s="7"/>
      <c r="BN429" s="7"/>
      <c r="BO429" s="4"/>
      <c r="BP429" s="8"/>
      <c r="BQ429" s="4"/>
      <c r="BR429" s="8"/>
      <c r="BS429" s="7"/>
      <c r="BT429" s="7"/>
      <c r="BU429" s="2" t="s">
        <v>109</v>
      </c>
      <c r="BV429" s="2" t="s">
        <v>97</v>
      </c>
      <c r="BW429" s="2" t="s">
        <v>566</v>
      </c>
      <c r="BX429" s="2" t="s">
        <v>1726</v>
      </c>
      <c r="BY429" s="2" t="s">
        <v>112</v>
      </c>
      <c r="BZ429" s="2" t="s">
        <v>100</v>
      </c>
    </row>
    <row r="430">
      <c r="A430" s="2" t="s">
        <v>1727</v>
      </c>
      <c r="B430" s="2" t="s">
        <v>87</v>
      </c>
      <c r="C430" s="2" t="s">
        <v>88</v>
      </c>
      <c r="D430" s="2" t="s">
        <v>89</v>
      </c>
      <c r="E430" s="2" t="s">
        <v>90</v>
      </c>
      <c r="F430" s="2" t="s">
        <v>1728</v>
      </c>
      <c r="G430" s="2" t="s">
        <v>1729</v>
      </c>
      <c r="H430" s="2" t="s">
        <v>1730</v>
      </c>
      <c r="I430" s="2" t="s">
        <v>1731</v>
      </c>
      <c r="J430" s="2" t="s">
        <v>114</v>
      </c>
      <c r="K430" s="2" t="s">
        <v>253</v>
      </c>
      <c r="L430" s="3">
        <v>52.38</v>
      </c>
      <c r="M430" s="3">
        <v>55</v>
      </c>
      <c r="N430" s="3">
        <v>109.99</v>
      </c>
      <c r="O430" s="2" t="s">
        <v>97</v>
      </c>
      <c r="P430" s="2" t="s">
        <v>447</v>
      </c>
      <c r="Q430" s="2" t="s">
        <v>99</v>
      </c>
      <c r="R430" s="2" t="s">
        <v>100</v>
      </c>
      <c r="S430" s="2" t="s">
        <v>1732</v>
      </c>
      <c r="T430" s="2" t="s">
        <v>100</v>
      </c>
      <c r="U430" s="2" t="s">
        <v>283</v>
      </c>
      <c r="V430" s="2" t="s">
        <v>449</v>
      </c>
      <c r="W430" s="2" t="s">
        <v>104</v>
      </c>
      <c r="X430" s="2" t="s">
        <v>1240</v>
      </c>
      <c r="Y430" s="2" t="s">
        <v>1733</v>
      </c>
      <c r="Z430" s="4">
        <v>29</v>
      </c>
      <c r="AA430" s="4">
        <f>=ROUNDDOWN(3.91891891891892,0)</f>
      </c>
      <c r="AB430" s="5">
        <v>7.4</v>
      </c>
      <c r="AC430" s="2" t="s">
        <v>100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>
        <v>5</v>
      </c>
      <c r="BK430" s="8">
        <v>169.4</v>
      </c>
      <c r="BL430" s="2" t="s">
        <v>1734</v>
      </c>
      <c r="BM430" s="7"/>
      <c r="BN430" s="7"/>
      <c r="BO430" s="4"/>
      <c r="BP430" s="8"/>
      <c r="BQ430" s="4"/>
      <c r="BR430" s="8"/>
      <c r="BS430" s="7"/>
      <c r="BT430" s="7"/>
      <c r="BU430" s="2" t="s">
        <v>109</v>
      </c>
      <c r="BV430" s="2" t="s">
        <v>97</v>
      </c>
      <c r="BW430" s="2" t="s">
        <v>566</v>
      </c>
      <c r="BX430" s="2" t="s">
        <v>1735</v>
      </c>
      <c r="BY430" s="2" t="s">
        <v>112</v>
      </c>
      <c r="BZ430" s="2" t="s">
        <v>100</v>
      </c>
    </row>
    <row r="431">
      <c r="A431" s="2" t="s">
        <v>1736</v>
      </c>
      <c r="B431" s="2" t="s">
        <v>87</v>
      </c>
      <c r="C431" s="2" t="s">
        <v>88</v>
      </c>
      <c r="D431" s="2" t="s">
        <v>89</v>
      </c>
      <c r="E431" s="2" t="s">
        <v>90</v>
      </c>
      <c r="F431" s="2" t="s">
        <v>1728</v>
      </c>
      <c r="G431" s="2" t="s">
        <v>1729</v>
      </c>
      <c r="H431" s="2" t="s">
        <v>1730</v>
      </c>
      <c r="I431" s="2" t="s">
        <v>1731</v>
      </c>
      <c r="J431" s="2" t="s">
        <v>120</v>
      </c>
      <c r="K431" s="2" t="s">
        <v>253</v>
      </c>
      <c r="L431" s="3">
        <v>61.9</v>
      </c>
      <c r="M431" s="3">
        <v>65</v>
      </c>
      <c r="N431" s="3">
        <v>129.99</v>
      </c>
      <c r="O431" s="2" t="s">
        <v>97</v>
      </c>
      <c r="P431" s="2" t="s">
        <v>447</v>
      </c>
      <c r="Q431" s="2" t="s">
        <v>99</v>
      </c>
      <c r="R431" s="2" t="s">
        <v>100</v>
      </c>
      <c r="S431" s="2" t="s">
        <v>1732</v>
      </c>
      <c r="T431" s="2" t="s">
        <v>100</v>
      </c>
      <c r="U431" s="2" t="s">
        <v>283</v>
      </c>
      <c r="V431" s="2" t="s">
        <v>449</v>
      </c>
      <c r="W431" s="2" t="s">
        <v>104</v>
      </c>
      <c r="X431" s="2" t="s">
        <v>1240</v>
      </c>
      <c r="Y431" s="2" t="s">
        <v>1733</v>
      </c>
      <c r="Z431" s="4">
        <v>113</v>
      </c>
      <c r="AA431" s="4">
        <f>=ROUNDDOWN(24.0425531914894,0)</f>
      </c>
      <c r="AB431" s="5">
        <v>4.7</v>
      </c>
      <c r="AC431" s="2" t="s">
        <v>100</v>
      </c>
      <c r="AD431" s="4"/>
      <c r="AE431" s="4"/>
      <c r="AF431" s="6">
        <v>64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>
        <v>4</v>
      </c>
      <c r="BK431" s="8">
        <v>201.48</v>
      </c>
      <c r="BL431" s="2" t="s">
        <v>741</v>
      </c>
      <c r="BM431" s="7"/>
      <c r="BN431" s="7"/>
      <c r="BO431" s="4"/>
      <c r="BP431" s="8"/>
      <c r="BQ431" s="4"/>
      <c r="BR431" s="8"/>
      <c r="BS431" s="7"/>
      <c r="BT431" s="7"/>
      <c r="BU431" s="2" t="s">
        <v>109</v>
      </c>
      <c r="BV431" s="2" t="s">
        <v>97</v>
      </c>
      <c r="BW431" s="2" t="s">
        <v>566</v>
      </c>
      <c r="BX431" s="2" t="s">
        <v>1737</v>
      </c>
      <c r="BY431" s="2" t="s">
        <v>112</v>
      </c>
      <c r="BZ431" s="2" t="s">
        <v>100</v>
      </c>
    </row>
    <row r="432">
      <c r="A432" s="2" t="s">
        <v>1738</v>
      </c>
      <c r="B432" s="2" t="s">
        <v>87</v>
      </c>
      <c r="C432" s="2" t="s">
        <v>88</v>
      </c>
      <c r="D432" s="2" t="s">
        <v>89</v>
      </c>
      <c r="E432" s="2" t="s">
        <v>90</v>
      </c>
      <c r="F432" s="2" t="s">
        <v>1728</v>
      </c>
      <c r="G432" s="2" t="s">
        <v>1729</v>
      </c>
      <c r="H432" s="2" t="s">
        <v>1730</v>
      </c>
      <c r="I432" s="2" t="s">
        <v>1731</v>
      </c>
      <c r="J432" s="2" t="s">
        <v>124</v>
      </c>
      <c r="K432" s="2" t="s">
        <v>253</v>
      </c>
      <c r="L432" s="3">
        <v>61.9</v>
      </c>
      <c r="M432" s="3">
        <v>65</v>
      </c>
      <c r="N432" s="3">
        <v>129.99</v>
      </c>
      <c r="O432" s="2" t="s">
        <v>97</v>
      </c>
      <c r="P432" s="2" t="s">
        <v>447</v>
      </c>
      <c r="Q432" s="2" t="s">
        <v>99</v>
      </c>
      <c r="R432" s="2" t="s">
        <v>100</v>
      </c>
      <c r="S432" s="2" t="s">
        <v>1732</v>
      </c>
      <c r="T432" s="2" t="s">
        <v>100</v>
      </c>
      <c r="U432" s="2" t="s">
        <v>283</v>
      </c>
      <c r="V432" s="2" t="s">
        <v>449</v>
      </c>
      <c r="W432" s="2" t="s">
        <v>104</v>
      </c>
      <c r="X432" s="2" t="s">
        <v>1240</v>
      </c>
      <c r="Y432" s="2" t="s">
        <v>1739</v>
      </c>
      <c r="Z432" s="4">
        <v>55</v>
      </c>
      <c r="AA432" s="4">
        <f>=ROUNDDOWN(39.2857142857143,0)</f>
      </c>
      <c r="AB432" s="5">
        <v>1.4</v>
      </c>
      <c r="AC432" s="2" t="s">
        <v>100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/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/>
      <c r="BJ432" s="4"/>
      <c r="BK432" s="8"/>
      <c r="BL432" s="2" t="s">
        <v>100</v>
      </c>
      <c r="BM432" s="7"/>
      <c r="BN432" s="7"/>
      <c r="BO432" s="4"/>
      <c r="BP432" s="8"/>
      <c r="BQ432" s="4"/>
      <c r="BR432" s="8"/>
      <c r="BS432" s="7"/>
      <c r="BT432" s="7"/>
      <c r="BU432" s="2" t="s">
        <v>109</v>
      </c>
      <c r="BV432" s="2" t="s">
        <v>97</v>
      </c>
      <c r="BW432" s="2" t="s">
        <v>566</v>
      </c>
      <c r="BX432" s="2" t="s">
        <v>1740</v>
      </c>
      <c r="BY432" s="2" t="s">
        <v>112</v>
      </c>
      <c r="BZ432" s="2" t="s">
        <v>100</v>
      </c>
    </row>
    <row r="433">
      <c r="A433" s="2" t="s">
        <v>1741</v>
      </c>
      <c r="B433" s="2" t="s">
        <v>87</v>
      </c>
      <c r="C433" s="2" t="s">
        <v>88</v>
      </c>
      <c r="D433" s="2" t="s">
        <v>89</v>
      </c>
      <c r="E433" s="2" t="s">
        <v>90</v>
      </c>
      <c r="F433" s="2" t="s">
        <v>1742</v>
      </c>
      <c r="G433" s="2" t="s">
        <v>1743</v>
      </c>
      <c r="H433" s="2" t="s">
        <v>1744</v>
      </c>
      <c r="I433" s="2" t="s">
        <v>1745</v>
      </c>
      <c r="J433" s="2" t="s">
        <v>114</v>
      </c>
      <c r="K433" s="2" t="s">
        <v>1746</v>
      </c>
      <c r="L433" s="3">
        <v>78.53</v>
      </c>
      <c r="M433" s="3">
        <v>82.46</v>
      </c>
      <c r="N433" s="3">
        <v>154.99</v>
      </c>
      <c r="O433" s="2" t="s">
        <v>97</v>
      </c>
      <c r="P433" s="2" t="s">
        <v>383</v>
      </c>
      <c r="Q433" s="2" t="s">
        <v>99</v>
      </c>
      <c r="R433" s="2" t="s">
        <v>100</v>
      </c>
      <c r="S433" s="2" t="s">
        <v>1747</v>
      </c>
      <c r="T433" s="2" t="s">
        <v>100</v>
      </c>
      <c r="U433" s="2" t="s">
        <v>102</v>
      </c>
      <c r="V433" s="2" t="s">
        <v>1748</v>
      </c>
      <c r="W433" s="2" t="s">
        <v>345</v>
      </c>
      <c r="X433" s="2" t="s">
        <v>346</v>
      </c>
      <c r="Y433" s="2" t="s">
        <v>131</v>
      </c>
      <c r="Z433" s="4">
        <v>367</v>
      </c>
      <c r="AA433" s="4">
        <f>=ROUNDDOWN(14.1153846153846,0)</f>
      </c>
      <c r="AB433" s="5">
        <v>26</v>
      </c>
      <c r="AC433" s="2" t="s">
        <v>900</v>
      </c>
      <c r="AD433" s="4">
        <v>133</v>
      </c>
      <c r="AE433" s="4">
        <v>533</v>
      </c>
      <c r="AF433" s="6">
        <v>65</v>
      </c>
      <c r="AG433" s="6">
        <v>73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14</v>
      </c>
      <c r="BK433" s="8">
        <v>1173.74</v>
      </c>
      <c r="BL433" s="2" t="s">
        <v>1749</v>
      </c>
      <c r="BM433" s="7"/>
      <c r="BN433" s="7"/>
      <c r="BO433" s="4"/>
      <c r="BP433" s="8"/>
      <c r="BQ433" s="4"/>
      <c r="BR433" s="8"/>
      <c r="BS433" s="7"/>
      <c r="BT433" s="7"/>
      <c r="BU433" s="2" t="s">
        <v>109</v>
      </c>
      <c r="BV433" s="2" t="s">
        <v>97</v>
      </c>
      <c r="BW433" s="2" t="s">
        <v>122</v>
      </c>
      <c r="BX433" s="2" t="s">
        <v>260</v>
      </c>
      <c r="BY433" s="2" t="s">
        <v>112</v>
      </c>
      <c r="BZ433" s="2" t="s">
        <v>100</v>
      </c>
    </row>
    <row r="434">
      <c r="A434" s="2" t="s">
        <v>1750</v>
      </c>
      <c r="B434" s="2" t="s">
        <v>87</v>
      </c>
      <c r="C434" s="2" t="s">
        <v>88</v>
      </c>
      <c r="D434" s="2" t="s">
        <v>89</v>
      </c>
      <c r="E434" s="2" t="s">
        <v>90</v>
      </c>
      <c r="F434" s="2" t="s">
        <v>1742</v>
      </c>
      <c r="G434" s="2" t="s">
        <v>1743</v>
      </c>
      <c r="H434" s="2" t="s">
        <v>1744</v>
      </c>
      <c r="I434" s="2" t="s">
        <v>1745</v>
      </c>
      <c r="J434" s="2" t="s">
        <v>120</v>
      </c>
      <c r="K434" s="2" t="s">
        <v>1746</v>
      </c>
      <c r="L434" s="3">
        <v>89.75</v>
      </c>
      <c r="M434" s="3">
        <v>94.24</v>
      </c>
      <c r="N434" s="3">
        <v>174.99</v>
      </c>
      <c r="O434" s="2" t="s">
        <v>97</v>
      </c>
      <c r="P434" s="2" t="s">
        <v>383</v>
      </c>
      <c r="Q434" s="2" t="s">
        <v>99</v>
      </c>
      <c r="R434" s="2" t="s">
        <v>100</v>
      </c>
      <c r="S434" s="2" t="s">
        <v>1747</v>
      </c>
      <c r="T434" s="2" t="s">
        <v>100</v>
      </c>
      <c r="U434" s="2" t="s">
        <v>102</v>
      </c>
      <c r="V434" s="2" t="s">
        <v>1748</v>
      </c>
      <c r="W434" s="2" t="s">
        <v>345</v>
      </c>
      <c r="X434" s="2" t="s">
        <v>346</v>
      </c>
      <c r="Y434" s="2" t="s">
        <v>131</v>
      </c>
      <c r="Z434" s="4">
        <v>277</v>
      </c>
      <c r="AA434" s="4">
        <f>=ROUNDDOWN(17.3125,0)</f>
      </c>
      <c r="AB434" s="5">
        <v>16</v>
      </c>
      <c r="AC434" s="2" t="s">
        <v>900</v>
      </c>
      <c r="AD434" s="4">
        <v>89</v>
      </c>
      <c r="AE434" s="4">
        <v>379</v>
      </c>
      <c r="AF434" s="6">
        <v>65</v>
      </c>
      <c r="AG434" s="6">
        <v>73</v>
      </c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/>
      <c r="BJ434" s="4">
        <v>14</v>
      </c>
      <c r="BK434" s="8">
        <v>1333.01</v>
      </c>
      <c r="BL434" s="2" t="s">
        <v>1751</v>
      </c>
      <c r="BM434" s="7"/>
      <c r="BN434" s="7"/>
      <c r="BO434" s="4"/>
      <c r="BP434" s="8"/>
      <c r="BQ434" s="4"/>
      <c r="BR434" s="8"/>
      <c r="BS434" s="7"/>
      <c r="BT434" s="7"/>
      <c r="BU434" s="2" t="s">
        <v>109</v>
      </c>
      <c r="BV434" s="2" t="s">
        <v>97</v>
      </c>
      <c r="BW434" s="2" t="s">
        <v>122</v>
      </c>
      <c r="BX434" s="2" t="s">
        <v>189</v>
      </c>
      <c r="BY434" s="2" t="s">
        <v>112</v>
      </c>
      <c r="BZ434" s="2" t="s">
        <v>100</v>
      </c>
    </row>
    <row r="435">
      <c r="A435" s="2" t="s">
        <v>1752</v>
      </c>
      <c r="B435" s="2" t="s">
        <v>87</v>
      </c>
      <c r="C435" s="2" t="s">
        <v>88</v>
      </c>
      <c r="D435" s="2" t="s">
        <v>89</v>
      </c>
      <c r="E435" s="2" t="s">
        <v>90</v>
      </c>
      <c r="F435" s="2" t="s">
        <v>1742</v>
      </c>
      <c r="G435" s="2" t="s">
        <v>1743</v>
      </c>
      <c r="H435" s="2" t="s">
        <v>1744</v>
      </c>
      <c r="I435" s="2" t="s">
        <v>1745</v>
      </c>
      <c r="J435" s="2" t="s">
        <v>124</v>
      </c>
      <c r="K435" s="2" t="s">
        <v>1746</v>
      </c>
      <c r="L435" s="3">
        <v>89.75</v>
      </c>
      <c r="M435" s="3">
        <v>94.24</v>
      </c>
      <c r="N435" s="3">
        <v>174.99</v>
      </c>
      <c r="O435" s="2" t="s">
        <v>97</v>
      </c>
      <c r="P435" s="2" t="s">
        <v>383</v>
      </c>
      <c r="Q435" s="2" t="s">
        <v>99</v>
      </c>
      <c r="R435" s="2" t="s">
        <v>100</v>
      </c>
      <c r="S435" s="2" t="s">
        <v>1753</v>
      </c>
      <c r="T435" s="2" t="s">
        <v>100</v>
      </c>
      <c r="U435" s="2" t="s">
        <v>102</v>
      </c>
      <c r="V435" s="2" t="s">
        <v>1748</v>
      </c>
      <c r="W435" s="2" t="s">
        <v>345</v>
      </c>
      <c r="X435" s="2" t="s">
        <v>346</v>
      </c>
      <c r="Y435" s="2" t="s">
        <v>131</v>
      </c>
      <c r="Z435" s="4">
        <v>109</v>
      </c>
      <c r="AA435" s="4">
        <f>=ROUNDDOWN(13.625,0)</f>
      </c>
      <c r="AB435" s="5">
        <v>8</v>
      </c>
      <c r="AC435" s="2" t="s">
        <v>900</v>
      </c>
      <c r="AD435" s="4">
        <v>74</v>
      </c>
      <c r="AE435" s="4">
        <v>234</v>
      </c>
      <c r="AF435" s="6">
        <v>65</v>
      </c>
      <c r="AG435" s="6">
        <v>73</v>
      </c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/>
      <c r="BJ435" s="4">
        <v>10</v>
      </c>
      <c r="BK435" s="8">
        <v>870.41</v>
      </c>
      <c r="BL435" s="2" t="s">
        <v>523</v>
      </c>
      <c r="BM435" s="7"/>
      <c r="BN435" s="7"/>
      <c r="BO435" s="4"/>
      <c r="BP435" s="8"/>
      <c r="BQ435" s="4"/>
      <c r="BR435" s="8"/>
      <c r="BS435" s="7"/>
      <c r="BT435" s="7"/>
      <c r="BU435" s="2" t="s">
        <v>109</v>
      </c>
      <c r="BV435" s="2" t="s">
        <v>97</v>
      </c>
      <c r="BW435" s="2" t="s">
        <v>122</v>
      </c>
      <c r="BX435" s="2" t="s">
        <v>1754</v>
      </c>
      <c r="BY435" s="2" t="s">
        <v>112</v>
      </c>
      <c r="BZ435" s="2" t="s">
        <v>100</v>
      </c>
    </row>
    <row r="436">
      <c r="A436" s="2" t="s">
        <v>1755</v>
      </c>
      <c r="B436" s="2" t="s">
        <v>87</v>
      </c>
      <c r="C436" s="2" t="s">
        <v>88</v>
      </c>
      <c r="D436" s="2" t="s">
        <v>89</v>
      </c>
      <c r="E436" s="2" t="s">
        <v>90</v>
      </c>
      <c r="F436" s="2" t="s">
        <v>1756</v>
      </c>
      <c r="G436" s="2" t="s">
        <v>1757</v>
      </c>
      <c r="H436" s="2" t="s">
        <v>1758</v>
      </c>
      <c r="I436" s="2" t="s">
        <v>1759</v>
      </c>
      <c r="J436" s="2" t="s">
        <v>785</v>
      </c>
      <c r="K436" s="2" t="s">
        <v>163</v>
      </c>
      <c r="L436" s="3">
        <v>47.61</v>
      </c>
      <c r="M436" s="3">
        <v>49.99</v>
      </c>
      <c r="N436" s="3">
        <v>99.99</v>
      </c>
      <c r="O436" s="2" t="s">
        <v>473</v>
      </c>
      <c r="P436" s="2" t="s">
        <v>447</v>
      </c>
      <c r="Q436" s="2" t="s">
        <v>99</v>
      </c>
      <c r="R436" s="2" t="s">
        <v>100</v>
      </c>
      <c r="S436" s="2" t="s">
        <v>1760</v>
      </c>
      <c r="T436" s="2" t="s">
        <v>787</v>
      </c>
      <c r="U436" s="2" t="s">
        <v>102</v>
      </c>
      <c r="V436" s="2" t="s">
        <v>608</v>
      </c>
      <c r="W436" s="2" t="s">
        <v>104</v>
      </c>
      <c r="X436" s="2" t="s">
        <v>244</v>
      </c>
      <c r="Y436" s="2" t="s">
        <v>1761</v>
      </c>
      <c r="Z436" s="4">
        <v>246</v>
      </c>
      <c r="AA436" s="4">
        <f>=ROUNDDOWN(205,0)</f>
      </c>
      <c r="AB436" s="5">
        <v>1.2</v>
      </c>
      <c r="AC436" s="2" t="s">
        <v>100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>
        <v>3</v>
      </c>
      <c r="BK436" s="8">
        <v>82.39</v>
      </c>
      <c r="BL436" s="2" t="s">
        <v>534</v>
      </c>
      <c r="BM436" s="7"/>
      <c r="BN436" s="7"/>
      <c r="BO436" s="4"/>
      <c r="BP436" s="8"/>
      <c r="BQ436" s="4"/>
      <c r="BR436" s="8"/>
      <c r="BS436" s="7"/>
      <c r="BT436" s="7"/>
      <c r="BU436" s="2" t="s">
        <v>109</v>
      </c>
      <c r="BV436" s="2" t="s">
        <v>97</v>
      </c>
      <c r="BW436" s="2" t="s">
        <v>1518</v>
      </c>
      <c r="BX436" s="2" t="s">
        <v>1762</v>
      </c>
      <c r="BY436" s="2" t="s">
        <v>112</v>
      </c>
      <c r="BZ436" s="2" t="s">
        <v>100</v>
      </c>
    </row>
    <row r="437">
      <c r="A437" s="2" t="s">
        <v>1763</v>
      </c>
      <c r="B437" s="2" t="s">
        <v>87</v>
      </c>
      <c r="C437" s="2" t="s">
        <v>88</v>
      </c>
      <c r="D437" s="2" t="s">
        <v>89</v>
      </c>
      <c r="E437" s="2" t="s">
        <v>90</v>
      </c>
      <c r="F437" s="2" t="s">
        <v>1756</v>
      </c>
      <c r="G437" s="2" t="s">
        <v>1757</v>
      </c>
      <c r="H437" s="2" t="s">
        <v>1758</v>
      </c>
      <c r="I437" s="2" t="s">
        <v>1759</v>
      </c>
      <c r="J437" s="2" t="s">
        <v>795</v>
      </c>
      <c r="K437" s="2" t="s">
        <v>163</v>
      </c>
      <c r="L437" s="3">
        <v>52.38</v>
      </c>
      <c r="M437" s="3">
        <v>55</v>
      </c>
      <c r="N437" s="3">
        <v>109.99</v>
      </c>
      <c r="O437" s="2" t="s">
        <v>473</v>
      </c>
      <c r="P437" s="2" t="s">
        <v>447</v>
      </c>
      <c r="Q437" s="2" t="s">
        <v>99</v>
      </c>
      <c r="R437" s="2" t="s">
        <v>100</v>
      </c>
      <c r="S437" s="2" t="s">
        <v>1760</v>
      </c>
      <c r="T437" s="2" t="s">
        <v>787</v>
      </c>
      <c r="U437" s="2" t="s">
        <v>102</v>
      </c>
      <c r="V437" s="2" t="s">
        <v>608</v>
      </c>
      <c r="W437" s="2" t="s">
        <v>104</v>
      </c>
      <c r="X437" s="2" t="s">
        <v>244</v>
      </c>
      <c r="Y437" s="2" t="s">
        <v>1764</v>
      </c>
      <c r="Z437" s="4">
        <v>236</v>
      </c>
      <c r="AA437" s="4">
        <f>=ROUNDDOWN(54.8837209302326,0)</f>
      </c>
      <c r="AB437" s="5">
        <v>4.3</v>
      </c>
      <c r="AC437" s="2" t="s">
        <v>100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>
        <v>4</v>
      </c>
      <c r="BK437" s="8">
        <v>186.78</v>
      </c>
      <c r="BL437" s="2" t="s">
        <v>1490</v>
      </c>
      <c r="BM437" s="7"/>
      <c r="BN437" s="7"/>
      <c r="BO437" s="4"/>
      <c r="BP437" s="8"/>
      <c r="BQ437" s="4"/>
      <c r="BR437" s="8"/>
      <c r="BS437" s="7"/>
      <c r="BT437" s="7"/>
      <c r="BU437" s="2" t="s">
        <v>109</v>
      </c>
      <c r="BV437" s="2" t="s">
        <v>97</v>
      </c>
      <c r="BW437" s="2" t="s">
        <v>1518</v>
      </c>
      <c r="BX437" s="2" t="s">
        <v>1765</v>
      </c>
      <c r="BY437" s="2" t="s">
        <v>112</v>
      </c>
      <c r="BZ437" s="2" t="s">
        <v>100</v>
      </c>
    </row>
    <row r="438">
      <c r="A438" s="2" t="s">
        <v>1766</v>
      </c>
      <c r="B438" s="2" t="s">
        <v>87</v>
      </c>
      <c r="C438" s="2" t="s">
        <v>88</v>
      </c>
      <c r="D438" s="2" t="s">
        <v>89</v>
      </c>
      <c r="E438" s="2" t="s">
        <v>90</v>
      </c>
      <c r="F438" s="2" t="s">
        <v>1767</v>
      </c>
      <c r="G438" s="2" t="s">
        <v>1768</v>
      </c>
      <c r="H438" s="2" t="s">
        <v>1769</v>
      </c>
      <c r="I438" s="2" t="s">
        <v>605</v>
      </c>
      <c r="J438" s="2" t="s">
        <v>114</v>
      </c>
      <c r="K438" s="2" t="s">
        <v>1770</v>
      </c>
      <c r="L438" s="3">
        <v>62.1</v>
      </c>
      <c r="M438" s="3">
        <v>65.2</v>
      </c>
      <c r="N438" s="3">
        <v>139.99</v>
      </c>
      <c r="O438" s="2" t="s">
        <v>97</v>
      </c>
      <c r="P438" s="2" t="s">
        <v>242</v>
      </c>
      <c r="Q438" s="2" t="s">
        <v>99</v>
      </c>
      <c r="R438" s="2" t="s">
        <v>100</v>
      </c>
      <c r="S438" s="2" t="s">
        <v>1771</v>
      </c>
      <c r="T438" s="2" t="s">
        <v>100</v>
      </c>
      <c r="U438" s="2" t="s">
        <v>102</v>
      </c>
      <c r="V438" s="2" t="s">
        <v>805</v>
      </c>
      <c r="W438" s="2" t="s">
        <v>104</v>
      </c>
      <c r="X438" s="2" t="s">
        <v>1772</v>
      </c>
      <c r="Y438" s="2" t="s">
        <v>131</v>
      </c>
      <c r="Z438" s="4">
        <v>525</v>
      </c>
      <c r="AA438" s="4">
        <f>=ROUNDDOWN(25,0)</f>
      </c>
      <c r="AB438" s="5">
        <v>21</v>
      </c>
      <c r="AC438" s="2" t="s">
        <v>1449</v>
      </c>
      <c r="AD438" s="4">
        <v>300</v>
      </c>
      <c r="AE438" s="4">
        <v>640</v>
      </c>
      <c r="AF438" s="6">
        <v>66</v>
      </c>
      <c r="AG438" s="6">
        <v>49</v>
      </c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/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/>
      <c r="BJ438" s="4">
        <v>10</v>
      </c>
      <c r="BK438" s="8">
        <v>772.87</v>
      </c>
      <c r="BL438" s="2" t="s">
        <v>1535</v>
      </c>
      <c r="BM438" s="7"/>
      <c r="BN438" s="7"/>
      <c r="BO438" s="4"/>
      <c r="BP438" s="8"/>
      <c r="BQ438" s="4"/>
      <c r="BR438" s="8"/>
      <c r="BS438" s="7"/>
      <c r="BT438" s="7"/>
      <c r="BU438" s="2" t="s">
        <v>109</v>
      </c>
      <c r="BV438" s="2" t="s">
        <v>97</v>
      </c>
      <c r="BW438" s="2" t="s">
        <v>122</v>
      </c>
      <c r="BX438" s="2" t="s">
        <v>166</v>
      </c>
      <c r="BY438" s="2" t="s">
        <v>112</v>
      </c>
      <c r="BZ438" s="2" t="s">
        <v>100</v>
      </c>
    </row>
    <row r="439">
      <c r="A439" s="2" t="s">
        <v>1773</v>
      </c>
      <c r="B439" s="2" t="s">
        <v>87</v>
      </c>
      <c r="C439" s="2" t="s">
        <v>88</v>
      </c>
      <c r="D439" s="2" t="s">
        <v>89</v>
      </c>
      <c r="E439" s="2" t="s">
        <v>90</v>
      </c>
      <c r="F439" s="2" t="s">
        <v>1767</v>
      </c>
      <c r="G439" s="2" t="s">
        <v>1768</v>
      </c>
      <c r="H439" s="2" t="s">
        <v>1769</v>
      </c>
      <c r="I439" s="2" t="s">
        <v>605</v>
      </c>
      <c r="J439" s="2" t="s">
        <v>120</v>
      </c>
      <c r="K439" s="2" t="s">
        <v>1770</v>
      </c>
      <c r="L439" s="3">
        <v>70.38</v>
      </c>
      <c r="M439" s="3">
        <v>73.9</v>
      </c>
      <c r="N439" s="3">
        <v>159.99</v>
      </c>
      <c r="O439" s="2" t="s">
        <v>97</v>
      </c>
      <c r="P439" s="2" t="s">
        <v>242</v>
      </c>
      <c r="Q439" s="2" t="s">
        <v>99</v>
      </c>
      <c r="R439" s="2" t="s">
        <v>100</v>
      </c>
      <c r="S439" s="2" t="s">
        <v>1771</v>
      </c>
      <c r="T439" s="2" t="s">
        <v>100</v>
      </c>
      <c r="U439" s="2" t="s">
        <v>102</v>
      </c>
      <c r="V439" s="2" t="s">
        <v>805</v>
      </c>
      <c r="W439" s="2" t="s">
        <v>104</v>
      </c>
      <c r="X439" s="2" t="s">
        <v>1772</v>
      </c>
      <c r="Y439" s="2" t="s">
        <v>131</v>
      </c>
      <c r="Z439" s="4">
        <v>547</v>
      </c>
      <c r="AA439" s="4">
        <f>=ROUNDDOWN(28.7894736842105,0)</f>
      </c>
      <c r="AB439" s="5">
        <v>19</v>
      </c>
      <c r="AC439" s="2" t="s">
        <v>1449</v>
      </c>
      <c r="AD439" s="4">
        <v>370</v>
      </c>
      <c r="AE439" s="4">
        <v>570</v>
      </c>
      <c r="AF439" s="6">
        <v>66</v>
      </c>
      <c r="AG439" s="6">
        <v>49</v>
      </c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/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/>
      <c r="BJ439" s="4">
        <v>13</v>
      </c>
      <c r="BK439" s="8">
        <v>1141.97</v>
      </c>
      <c r="BL439" s="2" t="s">
        <v>1774</v>
      </c>
      <c r="BM439" s="7"/>
      <c r="BN439" s="7"/>
      <c r="BO439" s="4"/>
      <c r="BP439" s="8"/>
      <c r="BQ439" s="4"/>
      <c r="BR439" s="8"/>
      <c r="BS439" s="7"/>
      <c r="BT439" s="7"/>
      <c r="BU439" s="2" t="s">
        <v>109</v>
      </c>
      <c r="BV439" s="2" t="s">
        <v>97</v>
      </c>
      <c r="BW439" s="2" t="s">
        <v>122</v>
      </c>
      <c r="BX439" s="2" t="s">
        <v>634</v>
      </c>
      <c r="BY439" s="2" t="s">
        <v>112</v>
      </c>
      <c r="BZ439" s="2" t="s">
        <v>100</v>
      </c>
    </row>
    <row r="440">
      <c r="A440" s="2" t="s">
        <v>1775</v>
      </c>
      <c r="B440" s="2" t="s">
        <v>87</v>
      </c>
      <c r="C440" s="2" t="s">
        <v>88</v>
      </c>
      <c r="D440" s="2" t="s">
        <v>89</v>
      </c>
      <c r="E440" s="2" t="s">
        <v>90</v>
      </c>
      <c r="F440" s="2" t="s">
        <v>1767</v>
      </c>
      <c r="G440" s="2" t="s">
        <v>1768</v>
      </c>
      <c r="H440" s="2" t="s">
        <v>1769</v>
      </c>
      <c r="I440" s="2" t="s">
        <v>605</v>
      </c>
      <c r="J440" s="2" t="s">
        <v>124</v>
      </c>
      <c r="K440" s="2" t="s">
        <v>1770</v>
      </c>
      <c r="L440" s="3">
        <v>70.38</v>
      </c>
      <c r="M440" s="3">
        <v>73.9</v>
      </c>
      <c r="N440" s="3">
        <v>159.99</v>
      </c>
      <c r="O440" s="2" t="s">
        <v>97</v>
      </c>
      <c r="P440" s="2" t="s">
        <v>242</v>
      </c>
      <c r="Q440" s="2" t="s">
        <v>99</v>
      </c>
      <c r="R440" s="2" t="s">
        <v>100</v>
      </c>
      <c r="S440" s="2" t="s">
        <v>1771</v>
      </c>
      <c r="T440" s="2" t="s">
        <v>100</v>
      </c>
      <c r="U440" s="2" t="s">
        <v>102</v>
      </c>
      <c r="V440" s="2" t="s">
        <v>805</v>
      </c>
      <c r="W440" s="2" t="s">
        <v>104</v>
      </c>
      <c r="X440" s="2" t="s">
        <v>1772</v>
      </c>
      <c r="Y440" s="2" t="s">
        <v>131</v>
      </c>
      <c r="Z440" s="4">
        <v>242</v>
      </c>
      <c r="AA440" s="4">
        <f>=ROUNDDOWN(30.25,0)</f>
      </c>
      <c r="AB440" s="5">
        <v>8</v>
      </c>
      <c r="AC440" s="2" t="s">
        <v>132</v>
      </c>
      <c r="AD440" s="4">
        <v>50</v>
      </c>
      <c r="AE440" s="4">
        <v>260</v>
      </c>
      <c r="AF440" s="6">
        <v>66</v>
      </c>
      <c r="AG440" s="6">
        <v>49</v>
      </c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/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/>
      <c r="BJ440" s="4">
        <v>4</v>
      </c>
      <c r="BK440" s="8">
        <v>330.05</v>
      </c>
      <c r="BL440" s="2" t="s">
        <v>485</v>
      </c>
      <c r="BM440" s="7"/>
      <c r="BN440" s="7"/>
      <c r="BO440" s="4"/>
      <c r="BP440" s="8"/>
      <c r="BQ440" s="4"/>
      <c r="BR440" s="8"/>
      <c r="BS440" s="7"/>
      <c r="BT440" s="7"/>
      <c r="BU440" s="2" t="s">
        <v>109</v>
      </c>
      <c r="BV440" s="2" t="s">
        <v>97</v>
      </c>
      <c r="BW440" s="2" t="s">
        <v>122</v>
      </c>
      <c r="BX440" s="2" t="s">
        <v>1078</v>
      </c>
      <c r="BY440" s="2" t="s">
        <v>112</v>
      </c>
      <c r="BZ440" s="2" t="s">
        <v>100</v>
      </c>
    </row>
    <row r="441">
      <c r="A441" s="2" t="s">
        <v>1776</v>
      </c>
      <c r="B441" s="2" t="s">
        <v>87</v>
      </c>
      <c r="C441" s="2" t="s">
        <v>88</v>
      </c>
      <c r="D441" s="2" t="s">
        <v>89</v>
      </c>
      <c r="E441" s="2" t="s">
        <v>90</v>
      </c>
      <c r="F441" s="2" t="s">
        <v>1767</v>
      </c>
      <c r="G441" s="2" t="s">
        <v>1768</v>
      </c>
      <c r="H441" s="2" t="s">
        <v>1769</v>
      </c>
      <c r="I441" s="2" t="s">
        <v>605</v>
      </c>
      <c r="J441" s="2" t="s">
        <v>114</v>
      </c>
      <c r="K441" s="2" t="s">
        <v>163</v>
      </c>
      <c r="L441" s="3">
        <v>62.1</v>
      </c>
      <c r="M441" s="3">
        <v>65.2</v>
      </c>
      <c r="N441" s="3">
        <v>139.99</v>
      </c>
      <c r="O441" s="2" t="s">
        <v>97</v>
      </c>
      <c r="P441" s="2" t="s">
        <v>281</v>
      </c>
      <c r="Q441" s="2" t="s">
        <v>99</v>
      </c>
      <c r="R441" s="2" t="s">
        <v>100</v>
      </c>
      <c r="S441" s="2" t="s">
        <v>1777</v>
      </c>
      <c r="T441" s="2" t="s">
        <v>100</v>
      </c>
      <c r="U441" s="2" t="s">
        <v>102</v>
      </c>
      <c r="V441" s="2" t="s">
        <v>805</v>
      </c>
      <c r="W441" s="2" t="s">
        <v>104</v>
      </c>
      <c r="X441" s="2" t="s">
        <v>1778</v>
      </c>
      <c r="Y441" s="2" t="s">
        <v>1779</v>
      </c>
      <c r="Z441" s="4">
        <v>542</v>
      </c>
      <c r="AA441" s="4">
        <f>=ROUNDDOWN(16.9375,0)</f>
      </c>
      <c r="AB441" s="5">
        <v>32</v>
      </c>
      <c r="AC441" s="2" t="s">
        <v>287</v>
      </c>
      <c r="AD441" s="4">
        <v>410</v>
      </c>
      <c r="AE441" s="4">
        <v>1640</v>
      </c>
      <c r="AF441" s="6">
        <v>66</v>
      </c>
      <c r="AG441" s="6">
        <v>49</v>
      </c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19</v>
      </c>
      <c r="BK441" s="8">
        <v>1518.19</v>
      </c>
      <c r="BL441" s="2" t="s">
        <v>1256</v>
      </c>
      <c r="BM441" s="7"/>
      <c r="BN441" s="7"/>
      <c r="BO441" s="4"/>
      <c r="BP441" s="8"/>
      <c r="BQ441" s="4"/>
      <c r="BR441" s="8"/>
      <c r="BS441" s="7"/>
      <c r="BT441" s="7"/>
      <c r="BU441" s="2" t="s">
        <v>109</v>
      </c>
      <c r="BV441" s="2" t="s">
        <v>97</v>
      </c>
      <c r="BW441" s="2" t="s">
        <v>270</v>
      </c>
      <c r="BX441" s="2" t="s">
        <v>1780</v>
      </c>
      <c r="BY441" s="2" t="s">
        <v>112</v>
      </c>
      <c r="BZ441" s="2" t="s">
        <v>100</v>
      </c>
    </row>
    <row r="442">
      <c r="A442" s="2" t="s">
        <v>1781</v>
      </c>
      <c r="B442" s="2" t="s">
        <v>87</v>
      </c>
      <c r="C442" s="2" t="s">
        <v>88</v>
      </c>
      <c r="D442" s="2" t="s">
        <v>89</v>
      </c>
      <c r="E442" s="2" t="s">
        <v>90</v>
      </c>
      <c r="F442" s="2" t="s">
        <v>1767</v>
      </c>
      <c r="G442" s="2" t="s">
        <v>1768</v>
      </c>
      <c r="H442" s="2" t="s">
        <v>1769</v>
      </c>
      <c r="I442" s="2" t="s">
        <v>605</v>
      </c>
      <c r="J442" s="2" t="s">
        <v>120</v>
      </c>
      <c r="K442" s="2" t="s">
        <v>163</v>
      </c>
      <c r="L442" s="3">
        <v>70.38</v>
      </c>
      <c r="M442" s="3">
        <v>73.9</v>
      </c>
      <c r="N442" s="3">
        <v>159.99</v>
      </c>
      <c r="O442" s="2" t="s">
        <v>97</v>
      </c>
      <c r="P442" s="2" t="s">
        <v>281</v>
      </c>
      <c r="Q442" s="2" t="s">
        <v>99</v>
      </c>
      <c r="R442" s="2" t="s">
        <v>100</v>
      </c>
      <c r="S442" s="2" t="s">
        <v>1777</v>
      </c>
      <c r="T442" s="2" t="s">
        <v>100</v>
      </c>
      <c r="U442" s="2" t="s">
        <v>102</v>
      </c>
      <c r="V442" s="2" t="s">
        <v>805</v>
      </c>
      <c r="W442" s="2" t="s">
        <v>104</v>
      </c>
      <c r="X442" s="2" t="s">
        <v>1778</v>
      </c>
      <c r="Y442" s="2" t="s">
        <v>1782</v>
      </c>
      <c r="Z442" s="4">
        <v>407</v>
      </c>
      <c r="AA442" s="4">
        <f>=ROUNDDOWN(14.5357142857143,0)</f>
      </c>
      <c r="AB442" s="5">
        <v>28</v>
      </c>
      <c r="AC442" s="2" t="s">
        <v>287</v>
      </c>
      <c r="AD442" s="4">
        <v>140</v>
      </c>
      <c r="AE442" s="4">
        <v>1220</v>
      </c>
      <c r="AF442" s="6">
        <v>66</v>
      </c>
      <c r="AG442" s="6">
        <v>49</v>
      </c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/>
      <c r="BJ442" s="4">
        <v>12</v>
      </c>
      <c r="BK442" s="8">
        <v>1119.99</v>
      </c>
      <c r="BL442" s="2" t="s">
        <v>1783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97</v>
      </c>
      <c r="BW442" s="2" t="s">
        <v>270</v>
      </c>
      <c r="BX442" s="2" t="s">
        <v>1275</v>
      </c>
      <c r="BY442" s="2" t="s">
        <v>112</v>
      </c>
      <c r="BZ442" s="2" t="s">
        <v>100</v>
      </c>
    </row>
    <row r="443">
      <c r="A443" s="2" t="s">
        <v>1784</v>
      </c>
      <c r="B443" s="2" t="s">
        <v>87</v>
      </c>
      <c r="C443" s="2" t="s">
        <v>88</v>
      </c>
      <c r="D443" s="2" t="s">
        <v>89</v>
      </c>
      <c r="E443" s="2" t="s">
        <v>90</v>
      </c>
      <c r="F443" s="2" t="s">
        <v>1767</v>
      </c>
      <c r="G443" s="2" t="s">
        <v>1768</v>
      </c>
      <c r="H443" s="2" t="s">
        <v>1769</v>
      </c>
      <c r="I443" s="2" t="s">
        <v>605</v>
      </c>
      <c r="J443" s="2" t="s">
        <v>124</v>
      </c>
      <c r="K443" s="2" t="s">
        <v>163</v>
      </c>
      <c r="L443" s="3">
        <v>70.38</v>
      </c>
      <c r="M443" s="3">
        <v>73.9</v>
      </c>
      <c r="N443" s="3">
        <v>159.99</v>
      </c>
      <c r="O443" s="2" t="s">
        <v>97</v>
      </c>
      <c r="P443" s="2" t="s">
        <v>281</v>
      </c>
      <c r="Q443" s="2" t="s">
        <v>99</v>
      </c>
      <c r="R443" s="2" t="s">
        <v>100</v>
      </c>
      <c r="S443" s="2" t="s">
        <v>1777</v>
      </c>
      <c r="T443" s="2" t="s">
        <v>100</v>
      </c>
      <c r="U443" s="2" t="s">
        <v>102</v>
      </c>
      <c r="V443" s="2" t="s">
        <v>805</v>
      </c>
      <c r="W443" s="2" t="s">
        <v>104</v>
      </c>
      <c r="X443" s="2" t="s">
        <v>1778</v>
      </c>
      <c r="Y443" s="2" t="s">
        <v>1782</v>
      </c>
      <c r="Z443" s="4">
        <v>164</v>
      </c>
      <c r="AA443" s="4">
        <f>=ROUNDDOWN(13.6666666666667,0)</f>
      </c>
      <c r="AB443" s="5">
        <v>12</v>
      </c>
      <c r="AC443" s="2" t="s">
        <v>287</v>
      </c>
      <c r="AD443" s="4">
        <v>40</v>
      </c>
      <c r="AE443" s="4">
        <v>540</v>
      </c>
      <c r="AF443" s="6">
        <v>66</v>
      </c>
      <c r="AG443" s="6">
        <v>49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/>
      <c r="BJ443" s="4">
        <v>4</v>
      </c>
      <c r="BK443" s="8">
        <v>340.55</v>
      </c>
      <c r="BL443" s="2" t="s">
        <v>388</v>
      </c>
      <c r="BM443" s="7"/>
      <c r="BN443" s="7"/>
      <c r="BO443" s="4"/>
      <c r="BP443" s="8"/>
      <c r="BQ443" s="4"/>
      <c r="BR443" s="8"/>
      <c r="BS443" s="7"/>
      <c r="BT443" s="7"/>
      <c r="BU443" s="2" t="s">
        <v>109</v>
      </c>
      <c r="BV443" s="2" t="s">
        <v>97</v>
      </c>
      <c r="BW443" s="2" t="s">
        <v>270</v>
      </c>
      <c r="BX443" s="2" t="s">
        <v>1785</v>
      </c>
      <c r="BY443" s="2" t="s">
        <v>112</v>
      </c>
      <c r="BZ443" s="2" t="s">
        <v>100</v>
      </c>
    </row>
    <row r="444">
      <c r="A444" s="2" t="s">
        <v>1786</v>
      </c>
      <c r="B444" s="2" t="s">
        <v>87</v>
      </c>
      <c r="C444" s="2" t="s">
        <v>88</v>
      </c>
      <c r="D444" s="2" t="s">
        <v>89</v>
      </c>
      <c r="E444" s="2" t="s">
        <v>90</v>
      </c>
      <c r="F444" s="2" t="s">
        <v>1767</v>
      </c>
      <c r="G444" s="2" t="s">
        <v>1768</v>
      </c>
      <c r="H444" s="2" t="s">
        <v>1769</v>
      </c>
      <c r="I444" s="2" t="s">
        <v>605</v>
      </c>
      <c r="J444" s="2" t="s">
        <v>114</v>
      </c>
      <c r="K444" s="2" t="s">
        <v>416</v>
      </c>
      <c r="L444" s="3">
        <v>62.1</v>
      </c>
      <c r="M444" s="3">
        <v>65.2</v>
      </c>
      <c r="N444" s="3">
        <v>139.99</v>
      </c>
      <c r="O444" s="2" t="s">
        <v>97</v>
      </c>
      <c r="P444" s="2" t="s">
        <v>98</v>
      </c>
      <c r="Q444" s="2" t="s">
        <v>99</v>
      </c>
      <c r="R444" s="2" t="s">
        <v>100</v>
      </c>
      <c r="S444" s="2" t="s">
        <v>1787</v>
      </c>
      <c r="T444" s="2" t="s">
        <v>100</v>
      </c>
      <c r="U444" s="2" t="s">
        <v>102</v>
      </c>
      <c r="V444" s="2" t="s">
        <v>805</v>
      </c>
      <c r="W444" s="2" t="s">
        <v>104</v>
      </c>
      <c r="X444" s="2" t="s">
        <v>1778</v>
      </c>
      <c r="Y444" s="2" t="s">
        <v>1788</v>
      </c>
      <c r="Z444" s="4">
        <v>248</v>
      </c>
      <c r="AA444" s="4">
        <f>=ROUNDDOWN(22.5454545454545,0)</f>
      </c>
      <c r="AB444" s="5">
        <v>11</v>
      </c>
      <c r="AC444" s="2" t="s">
        <v>107</v>
      </c>
      <c r="AD444" s="4">
        <v>170</v>
      </c>
      <c r="AE444" s="4">
        <v>410</v>
      </c>
      <c r="AF444" s="6">
        <v>66</v>
      </c>
      <c r="AG444" s="6"/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/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/>
      <c r="BJ444" s="4">
        <v>4</v>
      </c>
      <c r="BK444" s="8">
        <v>289.18</v>
      </c>
      <c r="BL444" s="2" t="s">
        <v>919</v>
      </c>
      <c r="BM444" s="7"/>
      <c r="BN444" s="7"/>
      <c r="BO444" s="4"/>
      <c r="BP444" s="8"/>
      <c r="BQ444" s="4"/>
      <c r="BR444" s="8"/>
      <c r="BS444" s="7"/>
      <c r="BT444" s="7"/>
      <c r="BU444" s="2" t="s">
        <v>109</v>
      </c>
      <c r="BV444" s="2" t="s">
        <v>97</v>
      </c>
      <c r="BW444" s="2" t="s">
        <v>266</v>
      </c>
      <c r="BX444" s="2" t="s">
        <v>1789</v>
      </c>
      <c r="BY444" s="2" t="s">
        <v>112</v>
      </c>
      <c r="BZ444" s="2" t="s">
        <v>100</v>
      </c>
    </row>
    <row r="445">
      <c r="A445" s="2" t="s">
        <v>1790</v>
      </c>
      <c r="B445" s="2" t="s">
        <v>87</v>
      </c>
      <c r="C445" s="2" t="s">
        <v>88</v>
      </c>
      <c r="D445" s="2" t="s">
        <v>89</v>
      </c>
      <c r="E445" s="2" t="s">
        <v>90</v>
      </c>
      <c r="F445" s="2" t="s">
        <v>1767</v>
      </c>
      <c r="G445" s="2" t="s">
        <v>1768</v>
      </c>
      <c r="H445" s="2" t="s">
        <v>1769</v>
      </c>
      <c r="I445" s="2" t="s">
        <v>605</v>
      </c>
      <c r="J445" s="2" t="s">
        <v>120</v>
      </c>
      <c r="K445" s="2" t="s">
        <v>416</v>
      </c>
      <c r="L445" s="3">
        <v>70.38</v>
      </c>
      <c r="M445" s="3">
        <v>73.9</v>
      </c>
      <c r="N445" s="3">
        <v>159.99</v>
      </c>
      <c r="O445" s="2" t="s">
        <v>97</v>
      </c>
      <c r="P445" s="2" t="s">
        <v>98</v>
      </c>
      <c r="Q445" s="2" t="s">
        <v>99</v>
      </c>
      <c r="R445" s="2" t="s">
        <v>100</v>
      </c>
      <c r="S445" s="2" t="s">
        <v>1787</v>
      </c>
      <c r="T445" s="2" t="s">
        <v>100</v>
      </c>
      <c r="U445" s="2" t="s">
        <v>102</v>
      </c>
      <c r="V445" s="2" t="s">
        <v>805</v>
      </c>
      <c r="W445" s="2" t="s">
        <v>104</v>
      </c>
      <c r="X445" s="2" t="s">
        <v>1778</v>
      </c>
      <c r="Y445" s="2" t="s">
        <v>1788</v>
      </c>
      <c r="Z445" s="4">
        <v>277</v>
      </c>
      <c r="AA445" s="4">
        <f>=ROUNDDOWN(25.1818181818182,0)</f>
      </c>
      <c r="AB445" s="5">
        <v>11</v>
      </c>
      <c r="AC445" s="2" t="s">
        <v>107</v>
      </c>
      <c r="AD445" s="4">
        <v>30</v>
      </c>
      <c r="AE445" s="4">
        <v>190</v>
      </c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/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/>
      <c r="BJ445" s="4">
        <v>7</v>
      </c>
      <c r="BK445" s="8">
        <v>636.09</v>
      </c>
      <c r="BL445" s="2" t="s">
        <v>1791</v>
      </c>
      <c r="BM445" s="7"/>
      <c r="BN445" s="7"/>
      <c r="BO445" s="4"/>
      <c r="BP445" s="8"/>
      <c r="BQ445" s="4"/>
      <c r="BR445" s="8"/>
      <c r="BS445" s="7"/>
      <c r="BT445" s="7"/>
      <c r="BU445" s="2" t="s">
        <v>109</v>
      </c>
      <c r="BV445" s="2" t="s">
        <v>97</v>
      </c>
      <c r="BW445" s="2" t="s">
        <v>266</v>
      </c>
      <c r="BX445" s="2" t="s">
        <v>1792</v>
      </c>
      <c r="BY445" s="2" t="s">
        <v>112</v>
      </c>
      <c r="BZ445" s="2" t="s">
        <v>100</v>
      </c>
    </row>
    <row r="446">
      <c r="A446" s="2" t="s">
        <v>1793</v>
      </c>
      <c r="B446" s="2" t="s">
        <v>87</v>
      </c>
      <c r="C446" s="2" t="s">
        <v>88</v>
      </c>
      <c r="D446" s="2" t="s">
        <v>89</v>
      </c>
      <c r="E446" s="2" t="s">
        <v>90</v>
      </c>
      <c r="F446" s="2" t="s">
        <v>1767</v>
      </c>
      <c r="G446" s="2" t="s">
        <v>1768</v>
      </c>
      <c r="H446" s="2" t="s">
        <v>1769</v>
      </c>
      <c r="I446" s="2" t="s">
        <v>605</v>
      </c>
      <c r="J446" s="2" t="s">
        <v>124</v>
      </c>
      <c r="K446" s="2" t="s">
        <v>416</v>
      </c>
      <c r="L446" s="3">
        <v>70.38</v>
      </c>
      <c r="M446" s="3">
        <v>73.9</v>
      </c>
      <c r="N446" s="3">
        <v>159.99</v>
      </c>
      <c r="O446" s="2" t="s">
        <v>97</v>
      </c>
      <c r="P446" s="2" t="s">
        <v>98</v>
      </c>
      <c r="Q446" s="2" t="s">
        <v>99</v>
      </c>
      <c r="R446" s="2" t="s">
        <v>100</v>
      </c>
      <c r="S446" s="2" t="s">
        <v>1787</v>
      </c>
      <c r="T446" s="2" t="s">
        <v>100</v>
      </c>
      <c r="U446" s="2" t="s">
        <v>102</v>
      </c>
      <c r="V446" s="2" t="s">
        <v>805</v>
      </c>
      <c r="W446" s="2" t="s">
        <v>104</v>
      </c>
      <c r="X446" s="2" t="s">
        <v>1778</v>
      </c>
      <c r="Y446" s="2" t="s">
        <v>1788</v>
      </c>
      <c r="Z446" s="4">
        <v>198</v>
      </c>
      <c r="AA446" s="4">
        <f>=ROUNDDOWN(49.5,0)</f>
      </c>
      <c r="AB446" s="5">
        <v>4</v>
      </c>
      <c r="AC446" s="2" t="s">
        <v>100</v>
      </c>
      <c r="AD446" s="4"/>
      <c r="AE446" s="4"/>
      <c r="AF446" s="6">
        <v>66</v>
      </c>
      <c r="AG446" s="6"/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/>
      <c r="BJ446" s="4">
        <v>3</v>
      </c>
      <c r="BK446" s="8">
        <v>259.77</v>
      </c>
      <c r="BL446" s="2" t="s">
        <v>841</v>
      </c>
      <c r="BM446" s="7"/>
      <c r="BN446" s="7"/>
      <c r="BO446" s="4"/>
      <c r="BP446" s="8"/>
      <c r="BQ446" s="4"/>
      <c r="BR446" s="8"/>
      <c r="BS446" s="7"/>
      <c r="BT446" s="7"/>
      <c r="BU446" s="2" t="s">
        <v>109</v>
      </c>
      <c r="BV446" s="2" t="s">
        <v>97</v>
      </c>
      <c r="BW446" s="2" t="s">
        <v>270</v>
      </c>
      <c r="BX446" s="2" t="s">
        <v>1794</v>
      </c>
      <c r="BY446" s="2" t="s">
        <v>112</v>
      </c>
      <c r="BZ446" s="2" t="s">
        <v>100</v>
      </c>
    </row>
    <row r="447">
      <c r="A447" s="2" t="s">
        <v>1795</v>
      </c>
      <c r="B447" s="2" t="s">
        <v>87</v>
      </c>
      <c r="C447" s="2" t="s">
        <v>88</v>
      </c>
      <c r="D447" s="2" t="s">
        <v>89</v>
      </c>
      <c r="E447" s="2" t="s">
        <v>90</v>
      </c>
      <c r="F447" s="2" t="s">
        <v>1796</v>
      </c>
      <c r="G447" s="2" t="s">
        <v>1797</v>
      </c>
      <c r="H447" s="2" t="s">
        <v>1798</v>
      </c>
      <c r="I447" s="2" t="s">
        <v>1799</v>
      </c>
      <c r="J447" s="2" t="s">
        <v>785</v>
      </c>
      <c r="K447" s="2" t="s">
        <v>1800</v>
      </c>
      <c r="L447" s="3">
        <v>36.57</v>
      </c>
      <c r="M447" s="3">
        <v>38.4</v>
      </c>
      <c r="N447" s="3">
        <v>79.99</v>
      </c>
      <c r="O447" s="2" t="s">
        <v>97</v>
      </c>
      <c r="P447" s="2" t="s">
        <v>1216</v>
      </c>
      <c r="Q447" s="2" t="s">
        <v>99</v>
      </c>
      <c r="R447" s="2" t="s">
        <v>100</v>
      </c>
      <c r="S447" s="2" t="s">
        <v>1801</v>
      </c>
      <c r="T447" s="2" t="s">
        <v>359</v>
      </c>
      <c r="U447" s="2" t="s">
        <v>1459</v>
      </c>
      <c r="V447" s="2" t="s">
        <v>805</v>
      </c>
      <c r="W447" s="2" t="s">
        <v>788</v>
      </c>
      <c r="X447" s="2" t="s">
        <v>105</v>
      </c>
      <c r="Y447" s="2" t="s">
        <v>1802</v>
      </c>
      <c r="Z447" s="4">
        <v>274</v>
      </c>
      <c r="AA447" s="4">
        <f>=ROUNDDOWN(22.8333333333333,0)</f>
      </c>
      <c r="AB447" s="5">
        <v>12</v>
      </c>
      <c r="AC447" s="2" t="s">
        <v>100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/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/>
      <c r="BJ447" s="4">
        <v>8</v>
      </c>
      <c r="BK447" s="8">
        <v>330.61</v>
      </c>
      <c r="BL447" s="2" t="s">
        <v>1803</v>
      </c>
      <c r="BM447" s="7"/>
      <c r="BN447" s="7"/>
      <c r="BO447" s="4"/>
      <c r="BP447" s="8"/>
      <c r="BQ447" s="4"/>
      <c r="BR447" s="8"/>
      <c r="BS447" s="7"/>
      <c r="BT447" s="7"/>
      <c r="BU447" s="2" t="s">
        <v>109</v>
      </c>
      <c r="BV447" s="2" t="s">
        <v>97</v>
      </c>
      <c r="BW447" s="2" t="s">
        <v>1802</v>
      </c>
      <c r="BX447" s="2" t="s">
        <v>680</v>
      </c>
      <c r="BY447" s="2" t="s">
        <v>112</v>
      </c>
      <c r="BZ447" s="2" t="s">
        <v>100</v>
      </c>
    </row>
    <row r="448">
      <c r="A448" s="2" t="s">
        <v>1804</v>
      </c>
      <c r="B448" s="2" t="s">
        <v>87</v>
      </c>
      <c r="C448" s="2" t="s">
        <v>88</v>
      </c>
      <c r="D448" s="2" t="s">
        <v>89</v>
      </c>
      <c r="E448" s="2" t="s">
        <v>90</v>
      </c>
      <c r="F448" s="2" t="s">
        <v>1796</v>
      </c>
      <c r="G448" s="2" t="s">
        <v>1797</v>
      </c>
      <c r="H448" s="2" t="s">
        <v>1798</v>
      </c>
      <c r="I448" s="2" t="s">
        <v>1799</v>
      </c>
      <c r="J448" s="2" t="s">
        <v>795</v>
      </c>
      <c r="K448" s="2" t="s">
        <v>1800</v>
      </c>
      <c r="L448" s="3">
        <v>41.14</v>
      </c>
      <c r="M448" s="3">
        <v>43.2</v>
      </c>
      <c r="N448" s="3">
        <v>89.99</v>
      </c>
      <c r="O448" s="2" t="s">
        <v>97</v>
      </c>
      <c r="P448" s="2" t="s">
        <v>1216</v>
      </c>
      <c r="Q448" s="2" t="s">
        <v>99</v>
      </c>
      <c r="R448" s="2" t="s">
        <v>100</v>
      </c>
      <c r="S448" s="2" t="s">
        <v>1801</v>
      </c>
      <c r="T448" s="2" t="s">
        <v>359</v>
      </c>
      <c r="U448" s="2" t="s">
        <v>1459</v>
      </c>
      <c r="V448" s="2" t="s">
        <v>805</v>
      </c>
      <c r="W448" s="2" t="s">
        <v>788</v>
      </c>
      <c r="X448" s="2" t="s">
        <v>105</v>
      </c>
      <c r="Y448" s="2" t="s">
        <v>1805</v>
      </c>
      <c r="Z448" s="4">
        <v>217</v>
      </c>
      <c r="AA448" s="4">
        <f>=ROUNDDOWN(31,0)</f>
      </c>
      <c r="AB448" s="5">
        <v>7</v>
      </c>
      <c r="AC448" s="2" t="s">
        <v>100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/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/>
      <c r="BJ448" s="4"/>
      <c r="BK448" s="8"/>
      <c r="BL448" s="2" t="s">
        <v>100</v>
      </c>
      <c r="BM448" s="7"/>
      <c r="BN448" s="7"/>
      <c r="BO448" s="4"/>
      <c r="BP448" s="8"/>
      <c r="BQ448" s="4"/>
      <c r="BR448" s="8"/>
      <c r="BS448" s="7"/>
      <c r="BT448" s="7"/>
      <c r="BU448" s="2" t="s">
        <v>109</v>
      </c>
      <c r="BV448" s="2" t="s">
        <v>97</v>
      </c>
      <c r="BW448" s="2" t="s">
        <v>1802</v>
      </c>
      <c r="BX448" s="2" t="s">
        <v>1408</v>
      </c>
      <c r="BY448" s="2" t="s">
        <v>112</v>
      </c>
      <c r="BZ448" s="2" t="s">
        <v>100</v>
      </c>
    </row>
    <row r="449">
      <c r="A449" s="2" t="s">
        <v>1806</v>
      </c>
      <c r="B449" s="2" t="s">
        <v>87</v>
      </c>
      <c r="C449" s="2" t="s">
        <v>88</v>
      </c>
      <c r="D449" s="2" t="s">
        <v>89</v>
      </c>
      <c r="E449" s="2" t="s">
        <v>90</v>
      </c>
      <c r="F449" s="2" t="s">
        <v>1807</v>
      </c>
      <c r="G449" s="2" t="s">
        <v>1808</v>
      </c>
      <c r="H449" s="2" t="s">
        <v>984</v>
      </c>
      <c r="I449" s="2" t="s">
        <v>1809</v>
      </c>
      <c r="J449" s="2" t="s">
        <v>114</v>
      </c>
      <c r="K449" s="2" t="s">
        <v>146</v>
      </c>
      <c r="L449" s="3">
        <v>57.96</v>
      </c>
      <c r="M449" s="3">
        <v>60.86</v>
      </c>
      <c r="N449" s="3">
        <v>129.99</v>
      </c>
      <c r="O449" s="2" t="s">
        <v>97</v>
      </c>
      <c r="P449" s="2" t="s">
        <v>383</v>
      </c>
      <c r="Q449" s="2" t="s">
        <v>99</v>
      </c>
      <c r="R449" s="2" t="s">
        <v>100</v>
      </c>
      <c r="S449" s="2" t="s">
        <v>100</v>
      </c>
      <c r="T449" s="2" t="s">
        <v>100</v>
      </c>
      <c r="U449" s="2" t="s">
        <v>102</v>
      </c>
      <c r="V449" s="2" t="s">
        <v>1112</v>
      </c>
      <c r="W449" s="2" t="s">
        <v>756</v>
      </c>
      <c r="X449" s="2" t="s">
        <v>563</v>
      </c>
      <c r="Y449" s="2" t="s">
        <v>1810</v>
      </c>
      <c r="Z449" s="4">
        <v>711</v>
      </c>
      <c r="AA449" s="4">
        <f>=ROUNDDOWN(39.5,0)</f>
      </c>
      <c r="AB449" s="5">
        <v>18</v>
      </c>
      <c r="AC449" s="2" t="s">
        <v>482</v>
      </c>
      <c r="AD449" s="4">
        <v>17</v>
      </c>
      <c r="AE449" s="4">
        <v>1340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100</v>
      </c>
      <c r="AW449" s="8" t="s">
        <v>100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/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/>
      <c r="BJ449" s="4">
        <v>10</v>
      </c>
      <c r="BK449" s="8">
        <v>622.54</v>
      </c>
      <c r="BL449" s="2" t="s">
        <v>1811</v>
      </c>
      <c r="BM449" s="7"/>
      <c r="BN449" s="7"/>
      <c r="BO449" s="4"/>
      <c r="BP449" s="8"/>
      <c r="BQ449" s="4"/>
      <c r="BR449" s="8"/>
      <c r="BS449" s="7"/>
      <c r="BT449" s="7"/>
      <c r="BU449" s="2" t="s">
        <v>109</v>
      </c>
      <c r="BV449" s="2" t="s">
        <v>97</v>
      </c>
      <c r="BW449" s="2" t="s">
        <v>122</v>
      </c>
      <c r="BX449" s="2" t="s">
        <v>118</v>
      </c>
      <c r="BY449" s="2" t="s">
        <v>112</v>
      </c>
      <c r="BZ449" s="2" t="s">
        <v>100</v>
      </c>
    </row>
    <row r="450">
      <c r="A450" s="2" t="s">
        <v>1812</v>
      </c>
      <c r="B450" s="2" t="s">
        <v>87</v>
      </c>
      <c r="C450" s="2" t="s">
        <v>88</v>
      </c>
      <c r="D450" s="2" t="s">
        <v>89</v>
      </c>
      <c r="E450" s="2" t="s">
        <v>90</v>
      </c>
      <c r="F450" s="2" t="s">
        <v>1807</v>
      </c>
      <c r="G450" s="2" t="s">
        <v>1808</v>
      </c>
      <c r="H450" s="2" t="s">
        <v>984</v>
      </c>
      <c r="I450" s="2" t="s">
        <v>1809</v>
      </c>
      <c r="J450" s="2" t="s">
        <v>120</v>
      </c>
      <c r="K450" s="2" t="s">
        <v>146</v>
      </c>
      <c r="L450" s="3">
        <v>66.24</v>
      </c>
      <c r="M450" s="3">
        <v>69.55</v>
      </c>
      <c r="N450" s="3">
        <v>149.99</v>
      </c>
      <c r="O450" s="2" t="s">
        <v>97</v>
      </c>
      <c r="P450" s="2" t="s">
        <v>383</v>
      </c>
      <c r="Q450" s="2" t="s">
        <v>99</v>
      </c>
      <c r="R450" s="2" t="s">
        <v>100</v>
      </c>
      <c r="S450" s="2" t="s">
        <v>100</v>
      </c>
      <c r="T450" s="2" t="s">
        <v>100</v>
      </c>
      <c r="U450" s="2" t="s">
        <v>102</v>
      </c>
      <c r="V450" s="2" t="s">
        <v>1112</v>
      </c>
      <c r="W450" s="2" t="s">
        <v>756</v>
      </c>
      <c r="X450" s="2" t="s">
        <v>563</v>
      </c>
      <c r="Y450" s="2" t="s">
        <v>1810</v>
      </c>
      <c r="Z450" s="4">
        <v>486</v>
      </c>
      <c r="AA450" s="4">
        <f>=ROUNDDOWN(40.5,0)</f>
      </c>
      <c r="AB450" s="5">
        <v>12</v>
      </c>
      <c r="AC450" s="2" t="s">
        <v>482</v>
      </c>
      <c r="AD450" s="4">
        <v>9</v>
      </c>
      <c r="AE450" s="4">
        <v>820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/>
      <c r="BJ450" s="4">
        <v>11</v>
      </c>
      <c r="BK450" s="8">
        <v>794.87</v>
      </c>
      <c r="BL450" s="2" t="s">
        <v>1032</v>
      </c>
      <c r="BM450" s="7"/>
      <c r="BN450" s="7"/>
      <c r="BO450" s="4"/>
      <c r="BP450" s="8"/>
      <c r="BQ450" s="4"/>
      <c r="BR450" s="8"/>
      <c r="BS450" s="7"/>
      <c r="BT450" s="7"/>
      <c r="BU450" s="2" t="s">
        <v>109</v>
      </c>
      <c r="BV450" s="2" t="s">
        <v>97</v>
      </c>
      <c r="BW450" s="2" t="s">
        <v>122</v>
      </c>
      <c r="BX450" s="2" t="s">
        <v>419</v>
      </c>
      <c r="BY450" s="2" t="s">
        <v>112</v>
      </c>
      <c r="BZ450" s="2" t="s">
        <v>100</v>
      </c>
    </row>
    <row r="451">
      <c r="A451" s="2" t="s">
        <v>1813</v>
      </c>
      <c r="B451" s="2" t="s">
        <v>87</v>
      </c>
      <c r="C451" s="2" t="s">
        <v>88</v>
      </c>
      <c r="D451" s="2" t="s">
        <v>89</v>
      </c>
      <c r="E451" s="2" t="s">
        <v>90</v>
      </c>
      <c r="F451" s="2" t="s">
        <v>1807</v>
      </c>
      <c r="G451" s="2" t="s">
        <v>1808</v>
      </c>
      <c r="H451" s="2" t="s">
        <v>984</v>
      </c>
      <c r="I451" s="2" t="s">
        <v>1809</v>
      </c>
      <c r="J451" s="2" t="s">
        <v>124</v>
      </c>
      <c r="K451" s="2" t="s">
        <v>146</v>
      </c>
      <c r="L451" s="3">
        <v>66.24</v>
      </c>
      <c r="M451" s="3">
        <v>69.55</v>
      </c>
      <c r="N451" s="3">
        <v>149.99</v>
      </c>
      <c r="O451" s="2" t="s">
        <v>97</v>
      </c>
      <c r="P451" s="2" t="s">
        <v>383</v>
      </c>
      <c r="Q451" s="2" t="s">
        <v>99</v>
      </c>
      <c r="R451" s="2" t="s">
        <v>100</v>
      </c>
      <c r="S451" s="2" t="s">
        <v>100</v>
      </c>
      <c r="T451" s="2" t="s">
        <v>100</v>
      </c>
      <c r="U451" s="2" t="s">
        <v>102</v>
      </c>
      <c r="V451" s="2" t="s">
        <v>1112</v>
      </c>
      <c r="W451" s="2" t="s">
        <v>756</v>
      </c>
      <c r="X451" s="2" t="s">
        <v>563</v>
      </c>
      <c r="Y451" s="2" t="s">
        <v>1810</v>
      </c>
      <c r="Z451" s="4">
        <v>323</v>
      </c>
      <c r="AA451" s="4">
        <f>=ROUNDDOWN(80.75,0)</f>
      </c>
      <c r="AB451" s="5">
        <v>4</v>
      </c>
      <c r="AC451" s="2" t="s">
        <v>482</v>
      </c>
      <c r="AD451" s="4">
        <v>12</v>
      </c>
      <c r="AE451" s="4">
        <v>220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/>
      <c r="BJ451" s="4">
        <v>5</v>
      </c>
      <c r="BK451" s="8">
        <v>382.75</v>
      </c>
      <c r="BL451" s="2" t="s">
        <v>391</v>
      </c>
      <c r="BM451" s="7"/>
      <c r="BN451" s="7"/>
      <c r="BO451" s="4"/>
      <c r="BP451" s="8"/>
      <c r="BQ451" s="4"/>
      <c r="BR451" s="8"/>
      <c r="BS451" s="7"/>
      <c r="BT451" s="7"/>
      <c r="BU451" s="2" t="s">
        <v>109</v>
      </c>
      <c r="BV451" s="2" t="s">
        <v>97</v>
      </c>
      <c r="BW451" s="2" t="s">
        <v>122</v>
      </c>
      <c r="BX451" s="2" t="s">
        <v>1078</v>
      </c>
      <c r="BY451" s="2" t="s">
        <v>112</v>
      </c>
      <c r="BZ451" s="2" t="s">
        <v>100</v>
      </c>
    </row>
    <row r="452">
      <c r="A452" s="2" t="s">
        <v>1814</v>
      </c>
      <c r="B452" s="2" t="s">
        <v>87</v>
      </c>
      <c r="C452" s="2" t="s">
        <v>88</v>
      </c>
      <c r="D452" s="2" t="s">
        <v>89</v>
      </c>
      <c r="E452" s="2" t="s">
        <v>90</v>
      </c>
      <c r="F452" s="2" t="s">
        <v>1807</v>
      </c>
      <c r="G452" s="2" t="s">
        <v>1808</v>
      </c>
      <c r="H452" s="2" t="s">
        <v>984</v>
      </c>
      <c r="I452" s="2" t="s">
        <v>1809</v>
      </c>
      <c r="J452" s="2" t="s">
        <v>114</v>
      </c>
      <c r="K452" s="2" t="s">
        <v>1555</v>
      </c>
      <c r="L452" s="3">
        <v>57.96</v>
      </c>
      <c r="M452" s="3">
        <v>60.86</v>
      </c>
      <c r="N452" s="3">
        <v>129.99</v>
      </c>
      <c r="O452" s="2" t="s">
        <v>97</v>
      </c>
      <c r="P452" s="2" t="s">
        <v>242</v>
      </c>
      <c r="Q452" s="2" t="s">
        <v>99</v>
      </c>
      <c r="R452" s="2" t="s">
        <v>100</v>
      </c>
      <c r="S452" s="2" t="s">
        <v>1815</v>
      </c>
      <c r="T452" s="2" t="s">
        <v>100</v>
      </c>
      <c r="U452" s="2" t="s">
        <v>102</v>
      </c>
      <c r="V452" s="2" t="s">
        <v>1112</v>
      </c>
      <c r="W452" s="2" t="s">
        <v>756</v>
      </c>
      <c r="X452" s="2" t="s">
        <v>563</v>
      </c>
      <c r="Y452" s="2" t="s">
        <v>1816</v>
      </c>
      <c r="Z452" s="4">
        <v>740</v>
      </c>
      <c r="AA452" s="4">
        <f>=ROUNDDOWN(41.1111111111111,0)</f>
      </c>
      <c r="AB452" s="5">
        <v>18</v>
      </c>
      <c r="AC452" s="2" t="s">
        <v>287</v>
      </c>
      <c r="AD452" s="4">
        <v>200</v>
      </c>
      <c r="AE452" s="4">
        <v>1700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/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/>
      <c r="BJ452" s="4">
        <v>8</v>
      </c>
      <c r="BK452" s="8">
        <v>531.84</v>
      </c>
      <c r="BL452" s="2" t="s">
        <v>1817</v>
      </c>
      <c r="BM452" s="7"/>
      <c r="BN452" s="7"/>
      <c r="BO452" s="4"/>
      <c r="BP452" s="8"/>
      <c r="BQ452" s="4"/>
      <c r="BR452" s="8"/>
      <c r="BS452" s="7"/>
      <c r="BT452" s="7"/>
      <c r="BU452" s="2" t="s">
        <v>109</v>
      </c>
      <c r="BV452" s="2" t="s">
        <v>97</v>
      </c>
      <c r="BW452" s="2" t="s">
        <v>266</v>
      </c>
      <c r="BX452" s="2" t="s">
        <v>1818</v>
      </c>
      <c r="BY452" s="2" t="s">
        <v>112</v>
      </c>
      <c r="BZ452" s="2" t="s">
        <v>100</v>
      </c>
    </row>
    <row r="453">
      <c r="A453" s="2" t="s">
        <v>1819</v>
      </c>
      <c r="B453" s="2" t="s">
        <v>87</v>
      </c>
      <c r="C453" s="2" t="s">
        <v>88</v>
      </c>
      <c r="D453" s="2" t="s">
        <v>89</v>
      </c>
      <c r="E453" s="2" t="s">
        <v>90</v>
      </c>
      <c r="F453" s="2" t="s">
        <v>1807</v>
      </c>
      <c r="G453" s="2" t="s">
        <v>1808</v>
      </c>
      <c r="H453" s="2" t="s">
        <v>984</v>
      </c>
      <c r="I453" s="2" t="s">
        <v>1809</v>
      </c>
      <c r="J453" s="2" t="s">
        <v>120</v>
      </c>
      <c r="K453" s="2" t="s">
        <v>1555</v>
      </c>
      <c r="L453" s="3">
        <v>66.24</v>
      </c>
      <c r="M453" s="3">
        <v>69.55</v>
      </c>
      <c r="N453" s="3">
        <v>149.99</v>
      </c>
      <c r="O453" s="2" t="s">
        <v>97</v>
      </c>
      <c r="P453" s="2" t="s">
        <v>242</v>
      </c>
      <c r="Q453" s="2" t="s">
        <v>99</v>
      </c>
      <c r="R453" s="2" t="s">
        <v>100</v>
      </c>
      <c r="S453" s="2" t="s">
        <v>1815</v>
      </c>
      <c r="T453" s="2" t="s">
        <v>100</v>
      </c>
      <c r="U453" s="2" t="s">
        <v>102</v>
      </c>
      <c r="V453" s="2" t="s">
        <v>1112</v>
      </c>
      <c r="W453" s="2" t="s">
        <v>756</v>
      </c>
      <c r="X453" s="2" t="s">
        <v>563</v>
      </c>
      <c r="Y453" s="2" t="s">
        <v>1816</v>
      </c>
      <c r="Z453" s="4">
        <v>521</v>
      </c>
      <c r="AA453" s="4">
        <f>=ROUNDDOWN(34.7333333333333,0)</f>
      </c>
      <c r="AB453" s="5">
        <v>15</v>
      </c>
      <c r="AC453" s="2" t="s">
        <v>287</v>
      </c>
      <c r="AD453" s="4">
        <v>250</v>
      </c>
      <c r="AE453" s="4">
        <v>790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/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/>
      <c r="BJ453" s="4">
        <v>13</v>
      </c>
      <c r="BK453" s="8">
        <v>997.37</v>
      </c>
      <c r="BL453" s="2" t="s">
        <v>1820</v>
      </c>
      <c r="BM453" s="7"/>
      <c r="BN453" s="7"/>
      <c r="BO453" s="4"/>
      <c r="BP453" s="8"/>
      <c r="BQ453" s="4"/>
      <c r="BR453" s="8"/>
      <c r="BS453" s="7"/>
      <c r="BT453" s="7"/>
      <c r="BU453" s="2" t="s">
        <v>109</v>
      </c>
      <c r="BV453" s="2" t="s">
        <v>97</v>
      </c>
      <c r="BW453" s="2" t="s">
        <v>266</v>
      </c>
      <c r="BX453" s="2" t="s">
        <v>1821</v>
      </c>
      <c r="BY453" s="2" t="s">
        <v>112</v>
      </c>
      <c r="BZ453" s="2" t="s">
        <v>100</v>
      </c>
    </row>
    <row r="454">
      <c r="A454" s="2" t="s">
        <v>1822</v>
      </c>
      <c r="B454" s="2" t="s">
        <v>87</v>
      </c>
      <c r="C454" s="2" t="s">
        <v>88</v>
      </c>
      <c r="D454" s="2" t="s">
        <v>89</v>
      </c>
      <c r="E454" s="2" t="s">
        <v>90</v>
      </c>
      <c r="F454" s="2" t="s">
        <v>1807</v>
      </c>
      <c r="G454" s="2" t="s">
        <v>1808</v>
      </c>
      <c r="H454" s="2" t="s">
        <v>984</v>
      </c>
      <c r="I454" s="2" t="s">
        <v>1809</v>
      </c>
      <c r="J454" s="2" t="s">
        <v>124</v>
      </c>
      <c r="K454" s="2" t="s">
        <v>1555</v>
      </c>
      <c r="L454" s="3">
        <v>66.24</v>
      </c>
      <c r="M454" s="3">
        <v>69.55</v>
      </c>
      <c r="N454" s="3">
        <v>149.99</v>
      </c>
      <c r="O454" s="2" t="s">
        <v>97</v>
      </c>
      <c r="P454" s="2" t="s">
        <v>242</v>
      </c>
      <c r="Q454" s="2" t="s">
        <v>99</v>
      </c>
      <c r="R454" s="2" t="s">
        <v>100</v>
      </c>
      <c r="S454" s="2" t="s">
        <v>1815</v>
      </c>
      <c r="T454" s="2" t="s">
        <v>100</v>
      </c>
      <c r="U454" s="2" t="s">
        <v>102</v>
      </c>
      <c r="V454" s="2" t="s">
        <v>1112</v>
      </c>
      <c r="W454" s="2" t="s">
        <v>756</v>
      </c>
      <c r="X454" s="2" t="s">
        <v>563</v>
      </c>
      <c r="Y454" s="2" t="s">
        <v>1816</v>
      </c>
      <c r="Z454" s="4">
        <v>234</v>
      </c>
      <c r="AA454" s="4">
        <f>=ROUNDDOWN(58.5,0)</f>
      </c>
      <c r="AB454" s="5">
        <v>4</v>
      </c>
      <c r="AC454" s="2" t="s">
        <v>429</v>
      </c>
      <c r="AD454" s="4">
        <v>100</v>
      </c>
      <c r="AE454" s="4">
        <v>300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/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/>
      <c r="BJ454" s="4">
        <v>3</v>
      </c>
      <c r="BK454" s="8">
        <v>221.16</v>
      </c>
      <c r="BL454" s="2" t="s">
        <v>108</v>
      </c>
      <c r="BM454" s="7"/>
      <c r="BN454" s="7"/>
      <c r="BO454" s="4"/>
      <c r="BP454" s="8"/>
      <c r="BQ454" s="4"/>
      <c r="BR454" s="8"/>
      <c r="BS454" s="7"/>
      <c r="BT454" s="7"/>
      <c r="BU454" s="2" t="s">
        <v>109</v>
      </c>
      <c r="BV454" s="2" t="s">
        <v>97</v>
      </c>
      <c r="BW454" s="2" t="s">
        <v>312</v>
      </c>
      <c r="BX454" s="2" t="s">
        <v>100</v>
      </c>
      <c r="BY454" s="2" t="s">
        <v>112</v>
      </c>
      <c r="BZ454" s="2" t="s">
        <v>100</v>
      </c>
    </row>
    <row r="455">
      <c r="A455" s="2" t="s">
        <v>1823</v>
      </c>
      <c r="B455" s="2" t="s">
        <v>87</v>
      </c>
      <c r="C455" s="2" t="s">
        <v>88</v>
      </c>
      <c r="D455" s="2" t="s">
        <v>89</v>
      </c>
      <c r="E455" s="2" t="s">
        <v>90</v>
      </c>
      <c r="F455" s="2" t="s">
        <v>1807</v>
      </c>
      <c r="G455" s="2" t="s">
        <v>1808</v>
      </c>
      <c r="H455" s="2" t="s">
        <v>984</v>
      </c>
      <c r="I455" s="2" t="s">
        <v>1809</v>
      </c>
      <c r="J455" s="2" t="s">
        <v>114</v>
      </c>
      <c r="K455" s="2" t="s">
        <v>434</v>
      </c>
      <c r="L455" s="3">
        <v>57.96</v>
      </c>
      <c r="M455" s="3">
        <v>60.86</v>
      </c>
      <c r="N455" s="3">
        <v>129.99</v>
      </c>
      <c r="O455" s="2" t="s">
        <v>97</v>
      </c>
      <c r="P455" s="2" t="s">
        <v>98</v>
      </c>
      <c r="Q455" s="2" t="s">
        <v>99</v>
      </c>
      <c r="R455" s="2" t="s">
        <v>100</v>
      </c>
      <c r="S455" s="2" t="s">
        <v>100</v>
      </c>
      <c r="T455" s="2" t="s">
        <v>100</v>
      </c>
      <c r="U455" s="2" t="s">
        <v>102</v>
      </c>
      <c r="V455" s="2" t="s">
        <v>1112</v>
      </c>
      <c r="W455" s="2" t="s">
        <v>756</v>
      </c>
      <c r="X455" s="2" t="s">
        <v>563</v>
      </c>
      <c r="Y455" s="2" t="s">
        <v>1824</v>
      </c>
      <c r="Z455" s="4">
        <v>426</v>
      </c>
      <c r="AA455" s="4">
        <f>=ROUNDDOWN(38.7272727272727,0)</f>
      </c>
      <c r="AB455" s="5">
        <v>11</v>
      </c>
      <c r="AC455" s="2" t="s">
        <v>1825</v>
      </c>
      <c r="AD455" s="4">
        <v>100</v>
      </c>
      <c r="AE455" s="4">
        <v>690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/>
      <c r="BJ455" s="4">
        <v>11</v>
      </c>
      <c r="BK455" s="8">
        <v>738.65</v>
      </c>
      <c r="BL455" s="2" t="s">
        <v>466</v>
      </c>
      <c r="BM455" s="7"/>
      <c r="BN455" s="7"/>
      <c r="BO455" s="4"/>
      <c r="BP455" s="8"/>
      <c r="BQ455" s="4"/>
      <c r="BR455" s="8"/>
      <c r="BS455" s="7"/>
      <c r="BT455" s="7"/>
      <c r="BU455" s="2" t="s">
        <v>109</v>
      </c>
      <c r="BV455" s="2" t="s">
        <v>97</v>
      </c>
      <c r="BW455" s="2" t="s">
        <v>739</v>
      </c>
      <c r="BX455" s="2" t="s">
        <v>181</v>
      </c>
      <c r="BY455" s="2" t="s">
        <v>112</v>
      </c>
      <c r="BZ455" s="2" t="s">
        <v>100</v>
      </c>
    </row>
    <row r="456">
      <c r="A456" s="2" t="s">
        <v>1826</v>
      </c>
      <c r="B456" s="2" t="s">
        <v>87</v>
      </c>
      <c r="C456" s="2" t="s">
        <v>88</v>
      </c>
      <c r="D456" s="2" t="s">
        <v>89</v>
      </c>
      <c r="E456" s="2" t="s">
        <v>90</v>
      </c>
      <c r="F456" s="2" t="s">
        <v>1807</v>
      </c>
      <c r="G456" s="2" t="s">
        <v>1808</v>
      </c>
      <c r="H456" s="2" t="s">
        <v>984</v>
      </c>
      <c r="I456" s="2" t="s">
        <v>1809</v>
      </c>
      <c r="J456" s="2" t="s">
        <v>120</v>
      </c>
      <c r="K456" s="2" t="s">
        <v>434</v>
      </c>
      <c r="L456" s="3">
        <v>66.24</v>
      </c>
      <c r="M456" s="3">
        <v>69.55</v>
      </c>
      <c r="N456" s="3">
        <v>149.99</v>
      </c>
      <c r="O456" s="2" t="s">
        <v>97</v>
      </c>
      <c r="P456" s="2" t="s">
        <v>98</v>
      </c>
      <c r="Q456" s="2" t="s">
        <v>99</v>
      </c>
      <c r="R456" s="2" t="s">
        <v>100</v>
      </c>
      <c r="S456" s="2" t="s">
        <v>100</v>
      </c>
      <c r="T456" s="2" t="s">
        <v>100</v>
      </c>
      <c r="U456" s="2" t="s">
        <v>102</v>
      </c>
      <c r="V456" s="2" t="s">
        <v>1112</v>
      </c>
      <c r="W456" s="2" t="s">
        <v>756</v>
      </c>
      <c r="X456" s="2" t="s">
        <v>563</v>
      </c>
      <c r="Y456" s="2" t="s">
        <v>1810</v>
      </c>
      <c r="Z456" s="4">
        <v>392</v>
      </c>
      <c r="AA456" s="4">
        <f>=ROUNDDOWN(65.3333333333333,0)</f>
      </c>
      <c r="AB456" s="5">
        <v>6</v>
      </c>
      <c r="AC456" s="2" t="s">
        <v>1825</v>
      </c>
      <c r="AD456" s="4">
        <v>90</v>
      </c>
      <c r="AE456" s="4">
        <v>250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 t="s">
        <v>100</v>
      </c>
      <c r="AW456" s="8" t="s">
        <v>100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/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/>
      <c r="BJ456" s="4">
        <v>17</v>
      </c>
      <c r="BK456" s="8">
        <v>1292.51</v>
      </c>
      <c r="BL456" s="2" t="s">
        <v>1827</v>
      </c>
      <c r="BM456" s="7"/>
      <c r="BN456" s="7"/>
      <c r="BO456" s="4"/>
      <c r="BP456" s="8"/>
      <c r="BQ456" s="4"/>
      <c r="BR456" s="8"/>
      <c r="BS456" s="7"/>
      <c r="BT456" s="7"/>
      <c r="BU456" s="2" t="s">
        <v>109</v>
      </c>
      <c r="BV456" s="2" t="s">
        <v>97</v>
      </c>
      <c r="BW456" s="2" t="s">
        <v>122</v>
      </c>
      <c r="BX456" s="2" t="s">
        <v>621</v>
      </c>
      <c r="BY456" s="2" t="s">
        <v>112</v>
      </c>
      <c r="BZ456" s="2" t="s">
        <v>100</v>
      </c>
    </row>
    <row r="457">
      <c r="A457" s="2" t="s">
        <v>1828</v>
      </c>
      <c r="B457" s="2" t="s">
        <v>87</v>
      </c>
      <c r="C457" s="2" t="s">
        <v>88</v>
      </c>
      <c r="D457" s="2" t="s">
        <v>89</v>
      </c>
      <c r="E457" s="2" t="s">
        <v>90</v>
      </c>
      <c r="F457" s="2" t="s">
        <v>1807</v>
      </c>
      <c r="G457" s="2" t="s">
        <v>1808</v>
      </c>
      <c r="H457" s="2" t="s">
        <v>984</v>
      </c>
      <c r="I457" s="2" t="s">
        <v>1809</v>
      </c>
      <c r="J457" s="2" t="s">
        <v>124</v>
      </c>
      <c r="K457" s="2" t="s">
        <v>434</v>
      </c>
      <c r="L457" s="3">
        <v>66.24</v>
      </c>
      <c r="M457" s="3">
        <v>69.55</v>
      </c>
      <c r="N457" s="3">
        <v>149.99</v>
      </c>
      <c r="O457" s="2" t="s">
        <v>97</v>
      </c>
      <c r="P457" s="2" t="s">
        <v>98</v>
      </c>
      <c r="Q457" s="2" t="s">
        <v>99</v>
      </c>
      <c r="R457" s="2" t="s">
        <v>100</v>
      </c>
      <c r="S457" s="2" t="s">
        <v>100</v>
      </c>
      <c r="T457" s="2" t="s">
        <v>100</v>
      </c>
      <c r="U457" s="2" t="s">
        <v>102</v>
      </c>
      <c r="V457" s="2" t="s">
        <v>1112</v>
      </c>
      <c r="W457" s="2" t="s">
        <v>756</v>
      </c>
      <c r="X457" s="2" t="s">
        <v>563</v>
      </c>
      <c r="Y457" s="2" t="s">
        <v>1810</v>
      </c>
      <c r="Z457" s="4">
        <v>474</v>
      </c>
      <c r="AA457" s="4">
        <f>=ROUNDDOWN(237,0)</f>
      </c>
      <c r="AB457" s="5">
        <v>2</v>
      </c>
      <c r="AC457" s="2" t="s">
        <v>1825</v>
      </c>
      <c r="AD457" s="4">
        <v>30</v>
      </c>
      <c r="AE457" s="4">
        <v>90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/>
      <c r="BJ457" s="4">
        <v>1</v>
      </c>
      <c r="BK457" s="8">
        <v>80.57</v>
      </c>
      <c r="BL457" s="2" t="s">
        <v>1356</v>
      </c>
      <c r="BM457" s="7"/>
      <c r="BN457" s="7"/>
      <c r="BO457" s="4"/>
      <c r="BP457" s="8"/>
      <c r="BQ457" s="4"/>
      <c r="BR457" s="8"/>
      <c r="BS457" s="7"/>
      <c r="BT457" s="7"/>
      <c r="BU457" s="2" t="s">
        <v>109</v>
      </c>
      <c r="BV457" s="2" t="s">
        <v>97</v>
      </c>
      <c r="BW457" s="2" t="s">
        <v>122</v>
      </c>
      <c r="BX457" s="2" t="s">
        <v>621</v>
      </c>
      <c r="BY457" s="2" t="s">
        <v>112</v>
      </c>
      <c r="BZ457" s="2" t="s">
        <v>100</v>
      </c>
    </row>
    <row r="458">
      <c r="A458" s="2" t="s">
        <v>1829</v>
      </c>
      <c r="B458" s="2" t="s">
        <v>87</v>
      </c>
      <c r="C458" s="2" t="s">
        <v>88</v>
      </c>
      <c r="D458" s="2" t="s">
        <v>89</v>
      </c>
      <c r="E458" s="2" t="s">
        <v>90</v>
      </c>
      <c r="F458" s="2" t="s">
        <v>1830</v>
      </c>
      <c r="G458" s="2" t="s">
        <v>1831</v>
      </c>
      <c r="H458" s="2" t="s">
        <v>1832</v>
      </c>
      <c r="I458" s="2" t="s">
        <v>1833</v>
      </c>
      <c r="J458" s="2" t="s">
        <v>795</v>
      </c>
      <c r="K458" s="2" t="s">
        <v>1834</v>
      </c>
      <c r="L458" s="3">
        <v>93.1</v>
      </c>
      <c r="M458" s="3">
        <v>97.75</v>
      </c>
      <c r="N458" s="3">
        <v>189.99</v>
      </c>
      <c r="O458" s="2" t="s">
        <v>473</v>
      </c>
      <c r="P458" s="2" t="s">
        <v>447</v>
      </c>
      <c r="Q458" s="2" t="s">
        <v>99</v>
      </c>
      <c r="R458" s="2" t="s">
        <v>100</v>
      </c>
      <c r="S458" s="2" t="s">
        <v>1835</v>
      </c>
      <c r="T458" s="2" t="s">
        <v>100</v>
      </c>
      <c r="U458" s="2" t="s">
        <v>1459</v>
      </c>
      <c r="V458" s="2" t="s">
        <v>608</v>
      </c>
      <c r="W458" s="2" t="s">
        <v>646</v>
      </c>
      <c r="X458" s="2" t="s">
        <v>1085</v>
      </c>
      <c r="Y458" s="2" t="s">
        <v>709</v>
      </c>
      <c r="Z458" s="4">
        <v>12</v>
      </c>
      <c r="AA458" s="4">
        <f>=ROUNDDOWN(2,0)</f>
      </c>
      <c r="AB458" s="5">
        <v>6</v>
      </c>
      <c r="AC458" s="2" t="s">
        <v>100</v>
      </c>
      <c r="AD458" s="4"/>
      <c r="AE458" s="4"/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/>
      <c r="BD458" s="8"/>
      <c r="BE458" s="4"/>
      <c r="BF458" s="8"/>
      <c r="BG458" s="7"/>
      <c r="BH458" s="7"/>
      <c r="BI458" s="7"/>
      <c r="BJ458" s="4">
        <v>2</v>
      </c>
      <c r="BK458" s="8">
        <v>160.13</v>
      </c>
      <c r="BL458" s="2" t="s">
        <v>1734</v>
      </c>
      <c r="BM458" s="7"/>
      <c r="BN458" s="7"/>
      <c r="BO458" s="4"/>
      <c r="BP458" s="8"/>
      <c r="BQ458" s="4"/>
      <c r="BR458" s="8"/>
      <c r="BS458" s="7"/>
      <c r="BT458" s="7"/>
      <c r="BU458" s="2" t="s">
        <v>109</v>
      </c>
      <c r="BV458" s="2" t="s">
        <v>97</v>
      </c>
      <c r="BW458" s="2" t="s">
        <v>122</v>
      </c>
      <c r="BX458" s="2" t="s">
        <v>117</v>
      </c>
      <c r="BY458" s="2" t="s">
        <v>112</v>
      </c>
      <c r="BZ458" s="2" t="s">
        <v>100</v>
      </c>
    </row>
    <row r="459">
      <c r="A459" s="2" t="s">
        <v>1836</v>
      </c>
      <c r="B459" s="2" t="s">
        <v>87</v>
      </c>
      <c r="C459" s="2" t="s">
        <v>88</v>
      </c>
      <c r="D459" s="2" t="s">
        <v>89</v>
      </c>
      <c r="E459" s="2" t="s">
        <v>90</v>
      </c>
      <c r="F459" s="2" t="s">
        <v>1837</v>
      </c>
      <c r="G459" s="2" t="s">
        <v>1624</v>
      </c>
      <c r="H459" s="2" t="s">
        <v>1838</v>
      </c>
      <c r="I459" s="2" t="s">
        <v>241</v>
      </c>
      <c r="J459" s="2" t="s">
        <v>114</v>
      </c>
      <c r="K459" s="2" t="s">
        <v>146</v>
      </c>
      <c r="L459" s="3">
        <v>71.39</v>
      </c>
      <c r="M459" s="3">
        <v>74.96</v>
      </c>
      <c r="N459" s="3">
        <v>139.99</v>
      </c>
      <c r="O459" s="2" t="s">
        <v>473</v>
      </c>
      <c r="P459" s="2" t="s">
        <v>447</v>
      </c>
      <c r="Q459" s="2" t="s">
        <v>99</v>
      </c>
      <c r="R459" s="2" t="s">
        <v>100</v>
      </c>
      <c r="S459" s="2" t="s">
        <v>1839</v>
      </c>
      <c r="T459" s="2" t="s">
        <v>100</v>
      </c>
      <c r="U459" s="2" t="s">
        <v>102</v>
      </c>
      <c r="V459" s="2" t="s">
        <v>677</v>
      </c>
      <c r="W459" s="2" t="s">
        <v>104</v>
      </c>
      <c r="X459" s="2" t="s">
        <v>450</v>
      </c>
      <c r="Y459" s="2" t="s">
        <v>131</v>
      </c>
      <c r="Z459" s="4">
        <v>307</v>
      </c>
      <c r="AA459" s="4">
        <f>=ROUNDDOWN(45.1470588235294,0)</f>
      </c>
      <c r="AB459" s="5">
        <v>6.8</v>
      </c>
      <c r="AC459" s="2" t="s">
        <v>100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/>
      <c r="BJ459" s="4">
        <v>6</v>
      </c>
      <c r="BK459" s="8">
        <v>402.58</v>
      </c>
      <c r="BL459" s="2" t="s">
        <v>701</v>
      </c>
      <c r="BM459" s="7"/>
      <c r="BN459" s="7"/>
      <c r="BO459" s="4"/>
      <c r="BP459" s="8"/>
      <c r="BQ459" s="4"/>
      <c r="BR459" s="8"/>
      <c r="BS459" s="7"/>
      <c r="BT459" s="7"/>
      <c r="BU459" s="2" t="s">
        <v>109</v>
      </c>
      <c r="BV459" s="2" t="s">
        <v>97</v>
      </c>
      <c r="BW459" s="2" t="s">
        <v>122</v>
      </c>
      <c r="BX459" s="2" t="s">
        <v>600</v>
      </c>
      <c r="BY459" s="2" t="s">
        <v>112</v>
      </c>
      <c r="BZ459" s="2" t="s">
        <v>100</v>
      </c>
    </row>
    <row r="460">
      <c r="A460" s="2" t="s">
        <v>1840</v>
      </c>
      <c r="B460" s="2" t="s">
        <v>87</v>
      </c>
      <c r="C460" s="2" t="s">
        <v>88</v>
      </c>
      <c r="D460" s="2" t="s">
        <v>89</v>
      </c>
      <c r="E460" s="2" t="s">
        <v>90</v>
      </c>
      <c r="F460" s="2" t="s">
        <v>1837</v>
      </c>
      <c r="G460" s="2" t="s">
        <v>1624</v>
      </c>
      <c r="H460" s="2" t="s">
        <v>1838</v>
      </c>
      <c r="I460" s="2" t="s">
        <v>241</v>
      </c>
      <c r="J460" s="2" t="s">
        <v>120</v>
      </c>
      <c r="K460" s="2" t="s">
        <v>146</v>
      </c>
      <c r="L460" s="3">
        <v>81.59</v>
      </c>
      <c r="M460" s="3">
        <v>85.67</v>
      </c>
      <c r="N460" s="3">
        <v>159.99</v>
      </c>
      <c r="O460" s="2" t="s">
        <v>473</v>
      </c>
      <c r="P460" s="2" t="s">
        <v>447</v>
      </c>
      <c r="Q460" s="2" t="s">
        <v>99</v>
      </c>
      <c r="R460" s="2" t="s">
        <v>100</v>
      </c>
      <c r="S460" s="2" t="s">
        <v>1839</v>
      </c>
      <c r="T460" s="2" t="s">
        <v>100</v>
      </c>
      <c r="U460" s="2" t="s">
        <v>102</v>
      </c>
      <c r="V460" s="2" t="s">
        <v>677</v>
      </c>
      <c r="W460" s="2" t="s">
        <v>104</v>
      </c>
      <c r="X460" s="2" t="s">
        <v>450</v>
      </c>
      <c r="Y460" s="2" t="s">
        <v>131</v>
      </c>
      <c r="Z460" s="4">
        <v>216</v>
      </c>
      <c r="AA460" s="4">
        <f>=ROUNDDOWN(67.5,0)</f>
      </c>
      <c r="AB460" s="5">
        <v>3.2</v>
      </c>
      <c r="AC460" s="2" t="s">
        <v>100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/>
      <c r="BJ460" s="4">
        <v>4</v>
      </c>
      <c r="BK460" s="8">
        <v>342.72</v>
      </c>
      <c r="BL460" s="2" t="s">
        <v>1841</v>
      </c>
      <c r="BM460" s="7"/>
      <c r="BN460" s="7"/>
      <c r="BO460" s="4"/>
      <c r="BP460" s="8"/>
      <c r="BQ460" s="4"/>
      <c r="BR460" s="8"/>
      <c r="BS460" s="7"/>
      <c r="BT460" s="7"/>
      <c r="BU460" s="2" t="s">
        <v>109</v>
      </c>
      <c r="BV460" s="2" t="s">
        <v>97</v>
      </c>
      <c r="BW460" s="2" t="s">
        <v>122</v>
      </c>
      <c r="BX460" s="2" t="s">
        <v>1842</v>
      </c>
      <c r="BY460" s="2" t="s">
        <v>112</v>
      </c>
      <c r="BZ460" s="2" t="s">
        <v>100</v>
      </c>
    </row>
    <row r="461">
      <c r="A461" s="2" t="s">
        <v>1843</v>
      </c>
      <c r="B461" s="2" t="s">
        <v>87</v>
      </c>
      <c r="C461" s="2" t="s">
        <v>88</v>
      </c>
      <c r="D461" s="2" t="s">
        <v>89</v>
      </c>
      <c r="E461" s="2" t="s">
        <v>90</v>
      </c>
      <c r="F461" s="2" t="s">
        <v>1837</v>
      </c>
      <c r="G461" s="2" t="s">
        <v>1624</v>
      </c>
      <c r="H461" s="2" t="s">
        <v>1838</v>
      </c>
      <c r="I461" s="2" t="s">
        <v>241</v>
      </c>
      <c r="J461" s="2" t="s">
        <v>124</v>
      </c>
      <c r="K461" s="2" t="s">
        <v>146</v>
      </c>
      <c r="L461" s="3">
        <v>81.59</v>
      </c>
      <c r="M461" s="3">
        <v>85.67</v>
      </c>
      <c r="N461" s="3">
        <v>159.99</v>
      </c>
      <c r="O461" s="2" t="s">
        <v>473</v>
      </c>
      <c r="P461" s="2" t="s">
        <v>447</v>
      </c>
      <c r="Q461" s="2" t="s">
        <v>99</v>
      </c>
      <c r="R461" s="2" t="s">
        <v>100</v>
      </c>
      <c r="S461" s="2" t="s">
        <v>1839</v>
      </c>
      <c r="T461" s="2" t="s">
        <v>100</v>
      </c>
      <c r="U461" s="2" t="s">
        <v>102</v>
      </c>
      <c r="V461" s="2" t="s">
        <v>677</v>
      </c>
      <c r="W461" s="2" t="s">
        <v>104</v>
      </c>
      <c r="X461" s="2" t="s">
        <v>450</v>
      </c>
      <c r="Y461" s="2" t="s">
        <v>131</v>
      </c>
      <c r="Z461" s="4">
        <v>191</v>
      </c>
      <c r="AA461" s="4">
        <f>=ROUNDDOWN(83.0434782608696,0)</f>
      </c>
      <c r="AB461" s="5">
        <v>2.3</v>
      </c>
      <c r="AC461" s="2" t="s">
        <v>100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/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/>
      <c r="BJ461" s="4">
        <v>4</v>
      </c>
      <c r="BK461" s="8">
        <v>294.59</v>
      </c>
      <c r="BL461" s="2" t="s">
        <v>1844</v>
      </c>
      <c r="BM461" s="7"/>
      <c r="BN461" s="7"/>
      <c r="BO461" s="4"/>
      <c r="BP461" s="8"/>
      <c r="BQ461" s="4"/>
      <c r="BR461" s="8"/>
      <c r="BS461" s="7"/>
      <c r="BT461" s="7"/>
      <c r="BU461" s="2" t="s">
        <v>109</v>
      </c>
      <c r="BV461" s="2" t="s">
        <v>97</v>
      </c>
      <c r="BW461" s="2" t="s">
        <v>122</v>
      </c>
      <c r="BX461" s="2" t="s">
        <v>495</v>
      </c>
      <c r="BY461" s="2" t="s">
        <v>112</v>
      </c>
      <c r="BZ461" s="2" t="s">
        <v>100</v>
      </c>
    </row>
    <row r="462">
      <c r="A462" s="2" t="s">
        <v>1845</v>
      </c>
      <c r="B462" s="2" t="s">
        <v>87</v>
      </c>
      <c r="C462" s="2" t="s">
        <v>88</v>
      </c>
      <c r="D462" s="2" t="s">
        <v>89</v>
      </c>
      <c r="E462" s="2" t="s">
        <v>90</v>
      </c>
      <c r="F462" s="2" t="s">
        <v>1846</v>
      </c>
      <c r="G462" s="2" t="s">
        <v>1769</v>
      </c>
      <c r="H462" s="2" t="s">
        <v>1847</v>
      </c>
      <c r="I462" s="2" t="s">
        <v>1848</v>
      </c>
      <c r="J462" s="2" t="s">
        <v>673</v>
      </c>
      <c r="K462" s="2" t="s">
        <v>1849</v>
      </c>
      <c r="L462" s="3">
        <v>72</v>
      </c>
      <c r="M462" s="3">
        <v>75.59</v>
      </c>
      <c r="N462" s="3">
        <v>149.99</v>
      </c>
      <c r="O462" s="2" t="s">
        <v>97</v>
      </c>
      <c r="P462" s="2" t="s">
        <v>447</v>
      </c>
      <c r="Q462" s="2" t="s">
        <v>99</v>
      </c>
      <c r="R462" s="2" t="s">
        <v>100</v>
      </c>
      <c r="S462" s="2" t="s">
        <v>1850</v>
      </c>
      <c r="T462" s="2" t="s">
        <v>100</v>
      </c>
      <c r="U462" s="2" t="s">
        <v>102</v>
      </c>
      <c r="V462" s="2" t="s">
        <v>677</v>
      </c>
      <c r="W462" s="2" t="s">
        <v>345</v>
      </c>
      <c r="X462" s="2" t="s">
        <v>346</v>
      </c>
      <c r="Y462" s="2" t="s">
        <v>131</v>
      </c>
      <c r="Z462" s="4">
        <v>54</v>
      </c>
      <c r="AA462" s="4">
        <f>=ROUNDDOWN(18,0)</f>
      </c>
      <c r="AB462" s="5">
        <v>3</v>
      </c>
      <c r="AC462" s="2" t="s">
        <v>100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6</v>
      </c>
      <c r="BK462" s="8">
        <v>453.59</v>
      </c>
      <c r="BL462" s="2" t="s">
        <v>1851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97</v>
      </c>
      <c r="BW462" s="2" t="s">
        <v>122</v>
      </c>
      <c r="BX462" s="2" t="s">
        <v>100</v>
      </c>
      <c r="BY462" s="2" t="s">
        <v>112</v>
      </c>
      <c r="BZ462" s="2" t="s">
        <v>100</v>
      </c>
    </row>
    <row r="463">
      <c r="A463" s="2" t="s">
        <v>1852</v>
      </c>
      <c r="B463" s="2" t="s">
        <v>87</v>
      </c>
      <c r="C463" s="2" t="s">
        <v>88</v>
      </c>
      <c r="D463" s="2" t="s">
        <v>89</v>
      </c>
      <c r="E463" s="2" t="s">
        <v>90</v>
      </c>
      <c r="F463" s="2" t="s">
        <v>1846</v>
      </c>
      <c r="G463" s="2" t="s">
        <v>1769</v>
      </c>
      <c r="H463" s="2" t="s">
        <v>1847</v>
      </c>
      <c r="I463" s="2" t="s">
        <v>1848</v>
      </c>
      <c r="J463" s="2" t="s">
        <v>95</v>
      </c>
      <c r="K463" s="2" t="s">
        <v>1849</v>
      </c>
      <c r="L463" s="3">
        <v>76.8</v>
      </c>
      <c r="M463" s="3">
        <v>80.63</v>
      </c>
      <c r="N463" s="3">
        <v>159.99</v>
      </c>
      <c r="O463" s="2" t="s">
        <v>97</v>
      </c>
      <c r="P463" s="2" t="s">
        <v>447</v>
      </c>
      <c r="Q463" s="2" t="s">
        <v>99</v>
      </c>
      <c r="R463" s="2" t="s">
        <v>100</v>
      </c>
      <c r="S463" s="2" t="s">
        <v>1850</v>
      </c>
      <c r="T463" s="2" t="s">
        <v>100</v>
      </c>
      <c r="U463" s="2" t="s">
        <v>343</v>
      </c>
      <c r="V463" s="2" t="s">
        <v>677</v>
      </c>
      <c r="W463" s="2" t="s">
        <v>345</v>
      </c>
      <c r="X463" s="2" t="s">
        <v>346</v>
      </c>
      <c r="Y463" s="2" t="s">
        <v>131</v>
      </c>
      <c r="Z463" s="4">
        <v>78</v>
      </c>
      <c r="AA463" s="4">
        <f>=ROUNDDOWN(19.5,0)</f>
      </c>
      <c r="AB463" s="5">
        <v>4</v>
      </c>
      <c r="AC463" s="2" t="s">
        <v>100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/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/>
      <c r="BJ463" s="4">
        <v>2</v>
      </c>
      <c r="BK463" s="8">
        <v>118.57</v>
      </c>
      <c r="BL463" s="2" t="s">
        <v>391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97</v>
      </c>
      <c r="BW463" s="2" t="s">
        <v>122</v>
      </c>
      <c r="BX463" s="2" t="s">
        <v>463</v>
      </c>
      <c r="BY463" s="2" t="s">
        <v>112</v>
      </c>
      <c r="BZ463" s="2" t="s">
        <v>100</v>
      </c>
    </row>
    <row r="464">
      <c r="A464" s="2" t="s">
        <v>1853</v>
      </c>
      <c r="B464" s="2" t="s">
        <v>87</v>
      </c>
      <c r="C464" s="2" t="s">
        <v>88</v>
      </c>
      <c r="D464" s="2" t="s">
        <v>89</v>
      </c>
      <c r="E464" s="2" t="s">
        <v>90</v>
      </c>
      <c r="F464" s="2" t="s">
        <v>1846</v>
      </c>
      <c r="G464" s="2" t="s">
        <v>1769</v>
      </c>
      <c r="H464" s="2" t="s">
        <v>1847</v>
      </c>
      <c r="I464" s="2" t="s">
        <v>1848</v>
      </c>
      <c r="J464" s="2" t="s">
        <v>114</v>
      </c>
      <c r="K464" s="2" t="s">
        <v>1849</v>
      </c>
      <c r="L464" s="3">
        <v>81.6</v>
      </c>
      <c r="M464" s="3">
        <v>85.67</v>
      </c>
      <c r="N464" s="3">
        <v>169.99</v>
      </c>
      <c r="O464" s="2" t="s">
        <v>97</v>
      </c>
      <c r="P464" s="2" t="s">
        <v>447</v>
      </c>
      <c r="Q464" s="2" t="s">
        <v>99</v>
      </c>
      <c r="R464" s="2" t="s">
        <v>100</v>
      </c>
      <c r="S464" s="2" t="s">
        <v>1850</v>
      </c>
      <c r="T464" s="2" t="s">
        <v>100</v>
      </c>
      <c r="U464" s="2" t="s">
        <v>343</v>
      </c>
      <c r="V464" s="2" t="s">
        <v>677</v>
      </c>
      <c r="W464" s="2" t="s">
        <v>345</v>
      </c>
      <c r="X464" s="2" t="s">
        <v>346</v>
      </c>
      <c r="Y464" s="2" t="s">
        <v>131</v>
      </c>
      <c r="Z464" s="4">
        <v>152</v>
      </c>
      <c r="AA464" s="4">
        <f>=ROUNDDOWN(21.7142857142857,0)</f>
      </c>
      <c r="AB464" s="5">
        <v>7</v>
      </c>
      <c r="AC464" s="2" t="s">
        <v>100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 t="s">
        <v>100</v>
      </c>
      <c r="AW464" s="8" t="s">
        <v>100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/>
      <c r="BC464" s="4" t="s">
        <v>100</v>
      </c>
      <c r="BD464" s="8" t="s">
        <v>100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/>
      <c r="BJ464" s="4">
        <v>10</v>
      </c>
      <c r="BK464" s="8">
        <v>805.78</v>
      </c>
      <c r="BL464" s="2" t="s">
        <v>710</v>
      </c>
      <c r="BM464" s="7"/>
      <c r="BN464" s="7"/>
      <c r="BO464" s="4"/>
      <c r="BP464" s="8"/>
      <c r="BQ464" s="4"/>
      <c r="BR464" s="8"/>
      <c r="BS464" s="7"/>
      <c r="BT464" s="7"/>
      <c r="BU464" s="2" t="s">
        <v>109</v>
      </c>
      <c r="BV464" s="2" t="s">
        <v>97</v>
      </c>
      <c r="BW464" s="2" t="s">
        <v>122</v>
      </c>
      <c r="BX464" s="2" t="s">
        <v>1842</v>
      </c>
      <c r="BY464" s="2" t="s">
        <v>112</v>
      </c>
      <c r="BZ464" s="2" t="s">
        <v>100</v>
      </c>
    </row>
    <row r="465">
      <c r="A465" s="2" t="s">
        <v>1854</v>
      </c>
      <c r="B465" s="2" t="s">
        <v>87</v>
      </c>
      <c r="C465" s="2" t="s">
        <v>88</v>
      </c>
      <c r="D465" s="2" t="s">
        <v>89</v>
      </c>
      <c r="E465" s="2" t="s">
        <v>90</v>
      </c>
      <c r="F465" s="2" t="s">
        <v>1846</v>
      </c>
      <c r="G465" s="2" t="s">
        <v>1769</v>
      </c>
      <c r="H465" s="2" t="s">
        <v>1847</v>
      </c>
      <c r="I465" s="2" t="s">
        <v>1848</v>
      </c>
      <c r="J465" s="2" t="s">
        <v>120</v>
      </c>
      <c r="K465" s="2" t="s">
        <v>1849</v>
      </c>
      <c r="L465" s="3">
        <v>93.1</v>
      </c>
      <c r="M465" s="3">
        <v>97.75</v>
      </c>
      <c r="N465" s="3">
        <v>189.99</v>
      </c>
      <c r="O465" s="2" t="s">
        <v>97</v>
      </c>
      <c r="P465" s="2" t="s">
        <v>447</v>
      </c>
      <c r="Q465" s="2" t="s">
        <v>99</v>
      </c>
      <c r="R465" s="2" t="s">
        <v>100</v>
      </c>
      <c r="S465" s="2" t="s">
        <v>1850</v>
      </c>
      <c r="T465" s="2" t="s">
        <v>100</v>
      </c>
      <c r="U465" s="2" t="s">
        <v>343</v>
      </c>
      <c r="V465" s="2" t="s">
        <v>677</v>
      </c>
      <c r="W465" s="2" t="s">
        <v>345</v>
      </c>
      <c r="X465" s="2" t="s">
        <v>346</v>
      </c>
      <c r="Y465" s="2" t="s">
        <v>131</v>
      </c>
      <c r="Z465" s="4">
        <v>33</v>
      </c>
      <c r="AA465" s="4">
        <f>=ROUNDDOWN(11,0)</f>
      </c>
      <c r="AB465" s="5">
        <v>3</v>
      </c>
      <c r="AC465" s="2" t="s">
        <v>100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/>
      <c r="BJ465" s="4">
        <v>3</v>
      </c>
      <c r="BK465" s="8">
        <v>211.08</v>
      </c>
      <c r="BL465" s="2" t="s">
        <v>625</v>
      </c>
      <c r="BM465" s="7"/>
      <c r="BN465" s="7"/>
      <c r="BO465" s="4"/>
      <c r="BP465" s="8"/>
      <c r="BQ465" s="4"/>
      <c r="BR465" s="8"/>
      <c r="BS465" s="7"/>
      <c r="BT465" s="7"/>
      <c r="BU465" s="2" t="s">
        <v>109</v>
      </c>
      <c r="BV465" s="2" t="s">
        <v>97</v>
      </c>
      <c r="BW465" s="2" t="s">
        <v>122</v>
      </c>
      <c r="BX465" s="2" t="s">
        <v>1855</v>
      </c>
      <c r="BY465" s="2" t="s">
        <v>112</v>
      </c>
      <c r="BZ465" s="2" t="s">
        <v>100</v>
      </c>
    </row>
    <row r="466">
      <c r="A466" s="2" t="s">
        <v>1856</v>
      </c>
      <c r="B466" s="2" t="s">
        <v>87</v>
      </c>
      <c r="C466" s="2" t="s">
        <v>88</v>
      </c>
      <c r="D466" s="2" t="s">
        <v>89</v>
      </c>
      <c r="E466" s="2" t="s">
        <v>90</v>
      </c>
      <c r="F466" s="2" t="s">
        <v>1846</v>
      </c>
      <c r="G466" s="2" t="s">
        <v>1769</v>
      </c>
      <c r="H466" s="2" t="s">
        <v>1847</v>
      </c>
      <c r="I466" s="2" t="s">
        <v>1848</v>
      </c>
      <c r="J466" s="2" t="s">
        <v>124</v>
      </c>
      <c r="K466" s="2" t="s">
        <v>1849</v>
      </c>
      <c r="L466" s="3">
        <v>93.1</v>
      </c>
      <c r="M466" s="3">
        <v>97.75</v>
      </c>
      <c r="N466" s="3">
        <v>189.99</v>
      </c>
      <c r="O466" s="2" t="s">
        <v>97</v>
      </c>
      <c r="P466" s="2" t="s">
        <v>447</v>
      </c>
      <c r="Q466" s="2" t="s">
        <v>99</v>
      </c>
      <c r="R466" s="2" t="s">
        <v>100</v>
      </c>
      <c r="S466" s="2" t="s">
        <v>1850</v>
      </c>
      <c r="T466" s="2" t="s">
        <v>100</v>
      </c>
      <c r="U466" s="2" t="s">
        <v>343</v>
      </c>
      <c r="V466" s="2" t="s">
        <v>677</v>
      </c>
      <c r="W466" s="2" t="s">
        <v>345</v>
      </c>
      <c r="X466" s="2" t="s">
        <v>346</v>
      </c>
      <c r="Y466" s="2" t="s">
        <v>131</v>
      </c>
      <c r="Z466" s="4">
        <v>102</v>
      </c>
      <c r="AA466" s="4">
        <f>=ROUNDDOWN(51,0)</f>
      </c>
      <c r="AB466" s="5">
        <v>2</v>
      </c>
      <c r="AC466" s="2" t="s">
        <v>100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/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/>
      <c r="BJ466" s="4">
        <v>1</v>
      </c>
      <c r="BK466" s="8">
        <v>100.51</v>
      </c>
      <c r="BL466" s="2" t="s">
        <v>625</v>
      </c>
      <c r="BM466" s="7"/>
      <c r="BN466" s="7"/>
      <c r="BO466" s="4"/>
      <c r="BP466" s="8"/>
      <c r="BQ466" s="4"/>
      <c r="BR466" s="8"/>
      <c r="BS466" s="7"/>
      <c r="BT466" s="7"/>
      <c r="BU466" s="2" t="s">
        <v>109</v>
      </c>
      <c r="BV466" s="2" t="s">
        <v>97</v>
      </c>
      <c r="BW466" s="2" t="s">
        <v>122</v>
      </c>
      <c r="BX466" s="2" t="s">
        <v>1857</v>
      </c>
      <c r="BY466" s="2" t="s">
        <v>112</v>
      </c>
      <c r="BZ466" s="2" t="s">
        <v>100</v>
      </c>
    </row>
    <row r="467">
      <c r="A467" s="2" t="s">
        <v>1858</v>
      </c>
      <c r="B467" s="2" t="s">
        <v>87</v>
      </c>
      <c r="C467" s="2" t="s">
        <v>88</v>
      </c>
      <c r="D467" s="2" t="s">
        <v>89</v>
      </c>
      <c r="E467" s="2" t="s">
        <v>90</v>
      </c>
      <c r="F467" s="2" t="s">
        <v>1859</v>
      </c>
      <c r="G467" s="2" t="s">
        <v>100</v>
      </c>
      <c r="H467" s="2" t="s">
        <v>100</v>
      </c>
      <c r="I467" s="2" t="s">
        <v>1860</v>
      </c>
      <c r="J467" s="2" t="s">
        <v>114</v>
      </c>
      <c r="K467" s="2" t="s">
        <v>253</v>
      </c>
      <c r="L467" s="3">
        <v>51.25</v>
      </c>
      <c r="M467" s="3"/>
      <c r="N467" s="3">
        <v>99.99</v>
      </c>
      <c r="O467" s="2" t="s">
        <v>1861</v>
      </c>
      <c r="P467" s="2" t="s">
        <v>447</v>
      </c>
      <c r="Q467" s="2" t="s">
        <v>99</v>
      </c>
      <c r="R467" s="2" t="s">
        <v>100</v>
      </c>
      <c r="S467" s="2" t="s">
        <v>100</v>
      </c>
      <c r="T467" s="2" t="s">
        <v>100</v>
      </c>
      <c r="U467" s="2" t="s">
        <v>102</v>
      </c>
      <c r="V467" s="2" t="s">
        <v>645</v>
      </c>
      <c r="W467" s="2" t="s">
        <v>100</v>
      </c>
      <c r="X467" s="2" t="s">
        <v>100</v>
      </c>
      <c r="Y467" s="2" t="s">
        <v>1317</v>
      </c>
      <c r="Z467" s="4"/>
      <c r="AA467" s="4">
        <f>=ROUNDDOWN({0},0)</f>
      </c>
      <c r="AB467" s="5"/>
      <c r="AC467" s="2" t="s">
        <v>100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100</v>
      </c>
      <c r="BM467" s="7"/>
      <c r="BN467" s="7"/>
      <c r="BO467" s="4"/>
      <c r="BP467" s="8"/>
      <c r="BQ467" s="4"/>
      <c r="BR467" s="8"/>
      <c r="BS467" s="7"/>
      <c r="BT467" s="7"/>
      <c r="BU467" s="2" t="s">
        <v>1862</v>
      </c>
      <c r="BV467" s="2" t="s">
        <v>97</v>
      </c>
      <c r="BW467" s="2" t="s">
        <v>100</v>
      </c>
      <c r="BX467" s="2" t="s">
        <v>100</v>
      </c>
      <c r="BY467" s="2" t="s">
        <v>112</v>
      </c>
      <c r="BZ467" s="2" t="s">
        <v>100</v>
      </c>
    </row>
    <row r="468">
      <c r="A468" s="2" t="s">
        <v>1863</v>
      </c>
      <c r="B468" s="2" t="s">
        <v>87</v>
      </c>
      <c r="C468" s="2" t="s">
        <v>88</v>
      </c>
      <c r="D468" s="2" t="s">
        <v>89</v>
      </c>
      <c r="E468" s="2" t="s">
        <v>90</v>
      </c>
      <c r="F468" s="2" t="s">
        <v>1864</v>
      </c>
      <c r="G468" s="2" t="s">
        <v>1865</v>
      </c>
      <c r="H468" s="2" t="s">
        <v>1866</v>
      </c>
      <c r="I468" s="2" t="s">
        <v>1403</v>
      </c>
      <c r="J468" s="2" t="s">
        <v>785</v>
      </c>
      <c r="K468" s="2" t="s">
        <v>521</v>
      </c>
      <c r="L468" s="3">
        <v>42.85</v>
      </c>
      <c r="M468" s="3">
        <v>44.99</v>
      </c>
      <c r="N468" s="3">
        <v>89.99</v>
      </c>
      <c r="O468" s="2" t="s">
        <v>97</v>
      </c>
      <c r="P468" s="2" t="s">
        <v>98</v>
      </c>
      <c r="Q468" s="2" t="s">
        <v>99</v>
      </c>
      <c r="R468" s="2" t="s">
        <v>100</v>
      </c>
      <c r="S468" s="2" t="s">
        <v>1867</v>
      </c>
      <c r="T468" s="2" t="s">
        <v>100</v>
      </c>
      <c r="U468" s="2" t="s">
        <v>644</v>
      </c>
      <c r="V468" s="2" t="s">
        <v>805</v>
      </c>
      <c r="W468" s="2" t="s">
        <v>788</v>
      </c>
      <c r="X468" s="2" t="s">
        <v>976</v>
      </c>
      <c r="Y468" s="2" t="s">
        <v>1868</v>
      </c>
      <c r="Z468" s="4">
        <v>483</v>
      </c>
      <c r="AA468" s="4">
        <f>=ROUNDDOWN(30.1875,0)</f>
      </c>
      <c r="AB468" s="5">
        <v>16</v>
      </c>
      <c r="AC468" s="2" t="s">
        <v>100</v>
      </c>
      <c r="AD468" s="4"/>
      <c r="AE468" s="4"/>
      <c r="AF468" s="6">
        <v>66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/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/>
      <c r="BJ468" s="4">
        <v>11</v>
      </c>
      <c r="BK468" s="8">
        <v>503.89</v>
      </c>
      <c r="BL468" s="2" t="s">
        <v>1869</v>
      </c>
      <c r="BM468" s="7"/>
      <c r="BN468" s="7"/>
      <c r="BO468" s="4"/>
      <c r="BP468" s="8"/>
      <c r="BQ468" s="4"/>
      <c r="BR468" s="8"/>
      <c r="BS468" s="7"/>
      <c r="BT468" s="7"/>
      <c r="BU468" s="2" t="s">
        <v>109</v>
      </c>
      <c r="BV468" s="2" t="s">
        <v>97</v>
      </c>
      <c r="BW468" s="2" t="s">
        <v>1870</v>
      </c>
      <c r="BX468" s="2" t="s">
        <v>1198</v>
      </c>
      <c r="BY468" s="2" t="s">
        <v>112</v>
      </c>
      <c r="BZ468" s="2" t="s">
        <v>100</v>
      </c>
    </row>
    <row r="469">
      <c r="A469" s="2" t="s">
        <v>1871</v>
      </c>
      <c r="B469" s="2" t="s">
        <v>87</v>
      </c>
      <c r="C469" s="2" t="s">
        <v>88</v>
      </c>
      <c r="D469" s="2" t="s">
        <v>89</v>
      </c>
      <c r="E469" s="2" t="s">
        <v>90</v>
      </c>
      <c r="F469" s="2" t="s">
        <v>1864</v>
      </c>
      <c r="G469" s="2" t="s">
        <v>1865</v>
      </c>
      <c r="H469" s="2" t="s">
        <v>1866</v>
      </c>
      <c r="I469" s="2" t="s">
        <v>1403</v>
      </c>
      <c r="J469" s="2" t="s">
        <v>795</v>
      </c>
      <c r="K469" s="2" t="s">
        <v>521</v>
      </c>
      <c r="L469" s="3">
        <v>47.61</v>
      </c>
      <c r="M469" s="3">
        <v>49.99</v>
      </c>
      <c r="N469" s="3">
        <v>99.99</v>
      </c>
      <c r="O469" s="2" t="s">
        <v>97</v>
      </c>
      <c r="P469" s="2" t="s">
        <v>98</v>
      </c>
      <c r="Q469" s="2" t="s">
        <v>99</v>
      </c>
      <c r="R469" s="2" t="s">
        <v>100</v>
      </c>
      <c r="S469" s="2" t="s">
        <v>1867</v>
      </c>
      <c r="T469" s="2" t="s">
        <v>100</v>
      </c>
      <c r="U469" s="2" t="s">
        <v>644</v>
      </c>
      <c r="V469" s="2" t="s">
        <v>805</v>
      </c>
      <c r="W469" s="2" t="s">
        <v>788</v>
      </c>
      <c r="X469" s="2" t="s">
        <v>976</v>
      </c>
      <c r="Y469" s="2" t="s">
        <v>1868</v>
      </c>
      <c r="Z469" s="4">
        <v>785</v>
      </c>
      <c r="AA469" s="4">
        <f>=ROUNDDOWN(49.0625,0)</f>
      </c>
      <c r="AB469" s="5">
        <v>16</v>
      </c>
      <c r="AC469" s="2" t="s">
        <v>100</v>
      </c>
      <c r="AD469" s="4"/>
      <c r="AE469" s="4"/>
      <c r="AF469" s="6">
        <v>66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 t="s">
        <v>100</v>
      </c>
      <c r="AW469" s="8" t="s">
        <v>100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/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/>
      <c r="BJ469" s="4">
        <v>13</v>
      </c>
      <c r="BK469" s="8">
        <v>678.11</v>
      </c>
      <c r="BL469" s="2" t="s">
        <v>1872</v>
      </c>
      <c r="BM469" s="7"/>
      <c r="BN469" s="7"/>
      <c r="BO469" s="4"/>
      <c r="BP469" s="8"/>
      <c r="BQ469" s="4"/>
      <c r="BR469" s="8"/>
      <c r="BS469" s="7"/>
      <c r="BT469" s="7"/>
      <c r="BU469" s="2" t="s">
        <v>109</v>
      </c>
      <c r="BV469" s="2" t="s">
        <v>97</v>
      </c>
      <c r="BW469" s="2" t="s">
        <v>1870</v>
      </c>
      <c r="BX469" s="2" t="s">
        <v>814</v>
      </c>
      <c r="BY469" s="2" t="s">
        <v>112</v>
      </c>
      <c r="BZ469" s="2" t="s">
        <v>100</v>
      </c>
    </row>
    <row r="470">
      <c r="A470" s="2" t="s">
        <v>1873</v>
      </c>
      <c r="B470" s="2" t="s">
        <v>87</v>
      </c>
      <c r="C470" s="2" t="s">
        <v>88</v>
      </c>
      <c r="D470" s="2" t="s">
        <v>89</v>
      </c>
      <c r="E470" s="2" t="s">
        <v>90</v>
      </c>
      <c r="F470" s="2" t="s">
        <v>1874</v>
      </c>
      <c r="G470" s="2" t="s">
        <v>1875</v>
      </c>
      <c r="H470" s="2" t="s">
        <v>1876</v>
      </c>
      <c r="I470" s="2" t="s">
        <v>1877</v>
      </c>
      <c r="J470" s="2" t="s">
        <v>114</v>
      </c>
      <c r="K470" s="2" t="s">
        <v>175</v>
      </c>
      <c r="L470" s="3">
        <v>66.29</v>
      </c>
      <c r="M470" s="3">
        <v>69.61</v>
      </c>
      <c r="N470" s="3">
        <v>129.99</v>
      </c>
      <c r="O470" s="2" t="s">
        <v>97</v>
      </c>
      <c r="P470" s="2" t="s">
        <v>98</v>
      </c>
      <c r="Q470" s="2" t="s">
        <v>99</v>
      </c>
      <c r="R470" s="2" t="s">
        <v>100</v>
      </c>
      <c r="S470" s="2" t="s">
        <v>1878</v>
      </c>
      <c r="T470" s="2" t="s">
        <v>100</v>
      </c>
      <c r="U470" s="2" t="s">
        <v>102</v>
      </c>
      <c r="V470" s="2" t="s">
        <v>344</v>
      </c>
      <c r="W470" s="2" t="s">
        <v>105</v>
      </c>
      <c r="X470" s="2" t="s">
        <v>285</v>
      </c>
      <c r="Y470" s="2" t="s">
        <v>131</v>
      </c>
      <c r="Z470" s="4">
        <v>423</v>
      </c>
      <c r="AA470" s="4">
        <f>=ROUNDDOWN(19.2272727272727,0)</f>
      </c>
      <c r="AB470" s="5">
        <v>22</v>
      </c>
      <c r="AC470" s="2" t="s">
        <v>324</v>
      </c>
      <c r="AD470" s="4">
        <v>240</v>
      </c>
      <c r="AE470" s="4">
        <v>460</v>
      </c>
      <c r="AF470" s="6">
        <v>64</v>
      </c>
      <c r="AG470" s="6">
        <v>47</v>
      </c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/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/>
      <c r="BJ470" s="4">
        <v>8</v>
      </c>
      <c r="BK470" s="8">
        <v>539.95</v>
      </c>
      <c r="BL470" s="2" t="s">
        <v>1879</v>
      </c>
      <c r="BM470" s="7"/>
      <c r="BN470" s="7"/>
      <c r="BO470" s="4"/>
      <c r="BP470" s="8"/>
      <c r="BQ470" s="4"/>
      <c r="BR470" s="8"/>
      <c r="BS470" s="7"/>
      <c r="BT470" s="7"/>
      <c r="BU470" s="2" t="s">
        <v>109</v>
      </c>
      <c r="BV470" s="2" t="s">
        <v>97</v>
      </c>
      <c r="BW470" s="2" t="s">
        <v>122</v>
      </c>
      <c r="BX470" s="2" t="s">
        <v>600</v>
      </c>
      <c r="BY470" s="2" t="s">
        <v>112</v>
      </c>
      <c r="BZ470" s="2" t="s">
        <v>100</v>
      </c>
    </row>
    <row r="471">
      <c r="A471" s="2" t="s">
        <v>1880</v>
      </c>
      <c r="B471" s="2" t="s">
        <v>87</v>
      </c>
      <c r="C471" s="2" t="s">
        <v>88</v>
      </c>
      <c r="D471" s="2" t="s">
        <v>89</v>
      </c>
      <c r="E471" s="2" t="s">
        <v>90</v>
      </c>
      <c r="F471" s="2" t="s">
        <v>1874</v>
      </c>
      <c r="G471" s="2" t="s">
        <v>1875</v>
      </c>
      <c r="H471" s="2" t="s">
        <v>1876</v>
      </c>
      <c r="I471" s="2" t="s">
        <v>1877</v>
      </c>
      <c r="J471" s="2" t="s">
        <v>120</v>
      </c>
      <c r="K471" s="2" t="s">
        <v>175</v>
      </c>
      <c r="L471" s="3">
        <v>76.49</v>
      </c>
      <c r="M471" s="3">
        <v>80.32</v>
      </c>
      <c r="N471" s="3">
        <v>149.99</v>
      </c>
      <c r="O471" s="2" t="s">
        <v>97</v>
      </c>
      <c r="P471" s="2" t="s">
        <v>98</v>
      </c>
      <c r="Q471" s="2" t="s">
        <v>99</v>
      </c>
      <c r="R471" s="2" t="s">
        <v>100</v>
      </c>
      <c r="S471" s="2" t="s">
        <v>1878</v>
      </c>
      <c r="T471" s="2" t="s">
        <v>100</v>
      </c>
      <c r="U471" s="2" t="s">
        <v>102</v>
      </c>
      <c r="V471" s="2" t="s">
        <v>344</v>
      </c>
      <c r="W471" s="2" t="s">
        <v>105</v>
      </c>
      <c r="X471" s="2" t="s">
        <v>285</v>
      </c>
      <c r="Y471" s="2" t="s">
        <v>131</v>
      </c>
      <c r="Z471" s="4">
        <v>335</v>
      </c>
      <c r="AA471" s="4">
        <f>=ROUNDDOWN(20.9375,0)</f>
      </c>
      <c r="AB471" s="5">
        <v>16</v>
      </c>
      <c r="AC471" s="2" t="s">
        <v>329</v>
      </c>
      <c r="AD471" s="4">
        <v>340</v>
      </c>
      <c r="AE471" s="4">
        <v>340</v>
      </c>
      <c r="AF471" s="6">
        <v>64</v>
      </c>
      <c r="AG471" s="6">
        <v>47</v>
      </c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100</v>
      </c>
      <c r="AW471" s="8" t="s">
        <v>100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/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/>
      <c r="BJ471" s="4">
        <v>11</v>
      </c>
      <c r="BK471" s="8">
        <v>819.78</v>
      </c>
      <c r="BL471" s="2" t="s">
        <v>1869</v>
      </c>
      <c r="BM471" s="7"/>
      <c r="BN471" s="7"/>
      <c r="BO471" s="4"/>
      <c r="BP471" s="8"/>
      <c r="BQ471" s="4"/>
      <c r="BR471" s="8"/>
      <c r="BS471" s="7"/>
      <c r="BT471" s="7"/>
      <c r="BU471" s="2" t="s">
        <v>109</v>
      </c>
      <c r="BV471" s="2" t="s">
        <v>97</v>
      </c>
      <c r="BW471" s="2" t="s">
        <v>122</v>
      </c>
      <c r="BX471" s="2" t="s">
        <v>1418</v>
      </c>
      <c r="BY471" s="2" t="s">
        <v>112</v>
      </c>
      <c r="BZ471" s="2" t="s">
        <v>100</v>
      </c>
    </row>
    <row r="472">
      <c r="A472" s="2" t="s">
        <v>1881</v>
      </c>
      <c r="B472" s="2" t="s">
        <v>87</v>
      </c>
      <c r="C472" s="2" t="s">
        <v>88</v>
      </c>
      <c r="D472" s="2" t="s">
        <v>89</v>
      </c>
      <c r="E472" s="2" t="s">
        <v>90</v>
      </c>
      <c r="F472" s="2" t="s">
        <v>1874</v>
      </c>
      <c r="G472" s="2" t="s">
        <v>1875</v>
      </c>
      <c r="H472" s="2" t="s">
        <v>1876</v>
      </c>
      <c r="I472" s="2" t="s">
        <v>1877</v>
      </c>
      <c r="J472" s="2" t="s">
        <v>124</v>
      </c>
      <c r="K472" s="2" t="s">
        <v>175</v>
      </c>
      <c r="L472" s="3">
        <v>76.49</v>
      </c>
      <c r="M472" s="3">
        <v>80.32</v>
      </c>
      <c r="N472" s="3">
        <v>149.99</v>
      </c>
      <c r="O472" s="2" t="s">
        <v>97</v>
      </c>
      <c r="P472" s="2" t="s">
        <v>98</v>
      </c>
      <c r="Q472" s="2" t="s">
        <v>99</v>
      </c>
      <c r="R472" s="2" t="s">
        <v>100</v>
      </c>
      <c r="S472" s="2" t="s">
        <v>1878</v>
      </c>
      <c r="T472" s="2" t="s">
        <v>100</v>
      </c>
      <c r="U472" s="2" t="s">
        <v>102</v>
      </c>
      <c r="V472" s="2" t="s">
        <v>344</v>
      </c>
      <c r="W472" s="2" t="s">
        <v>105</v>
      </c>
      <c r="X472" s="2" t="s">
        <v>285</v>
      </c>
      <c r="Y472" s="2" t="s">
        <v>131</v>
      </c>
      <c r="Z472" s="4">
        <v>274</v>
      </c>
      <c r="AA472" s="4">
        <f>=ROUNDDOWN(54.8,0)</f>
      </c>
      <c r="AB472" s="5">
        <v>5</v>
      </c>
      <c r="AC472" s="2" t="s">
        <v>100</v>
      </c>
      <c r="AD472" s="4"/>
      <c r="AE472" s="4"/>
      <c r="AF472" s="6">
        <v>64</v>
      </c>
      <c r="AG472" s="6">
        <v>47</v>
      </c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/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/>
      <c r="BJ472" s="4">
        <v>1</v>
      </c>
      <c r="BK472" s="8">
        <v>90.76</v>
      </c>
      <c r="BL472" s="2" t="s">
        <v>1882</v>
      </c>
      <c r="BM472" s="7"/>
      <c r="BN472" s="7"/>
      <c r="BO472" s="4"/>
      <c r="BP472" s="8"/>
      <c r="BQ472" s="4"/>
      <c r="BR472" s="8"/>
      <c r="BS472" s="7"/>
      <c r="BT472" s="7"/>
      <c r="BU472" s="2" t="s">
        <v>109</v>
      </c>
      <c r="BV472" s="2" t="s">
        <v>97</v>
      </c>
      <c r="BW472" s="2" t="s">
        <v>122</v>
      </c>
      <c r="BX472" s="2" t="s">
        <v>950</v>
      </c>
      <c r="BY472" s="2" t="s">
        <v>112</v>
      </c>
      <c r="BZ472" s="2" t="s">
        <v>100</v>
      </c>
    </row>
    <row r="473">
      <c r="A473" s="2" t="s">
        <v>1883</v>
      </c>
      <c r="B473" s="2" t="s">
        <v>87</v>
      </c>
      <c r="C473" s="2" t="s">
        <v>88</v>
      </c>
      <c r="D473" s="2" t="s">
        <v>89</v>
      </c>
      <c r="E473" s="2" t="s">
        <v>90</v>
      </c>
      <c r="F473" s="2" t="s">
        <v>1884</v>
      </c>
      <c r="G473" s="2" t="s">
        <v>1885</v>
      </c>
      <c r="H473" s="2" t="s">
        <v>1886</v>
      </c>
      <c r="I473" s="2" t="s">
        <v>1887</v>
      </c>
      <c r="J473" s="2" t="s">
        <v>114</v>
      </c>
      <c r="K473" s="2" t="s">
        <v>146</v>
      </c>
      <c r="L473" s="3">
        <v>52.8</v>
      </c>
      <c r="M473" s="3">
        <v>55.43</v>
      </c>
      <c r="N473" s="3">
        <v>109.99</v>
      </c>
      <c r="O473" s="2" t="s">
        <v>97</v>
      </c>
      <c r="P473" s="2" t="s">
        <v>98</v>
      </c>
      <c r="Q473" s="2" t="s">
        <v>99</v>
      </c>
      <c r="R473" s="2" t="s">
        <v>100</v>
      </c>
      <c r="S473" s="2" t="s">
        <v>1888</v>
      </c>
      <c r="T473" s="2" t="s">
        <v>100</v>
      </c>
      <c r="U473" s="2" t="s">
        <v>102</v>
      </c>
      <c r="V473" s="2" t="s">
        <v>645</v>
      </c>
      <c r="W473" s="2" t="s">
        <v>105</v>
      </c>
      <c r="X473" s="2" t="s">
        <v>1889</v>
      </c>
      <c r="Y473" s="2" t="s">
        <v>1890</v>
      </c>
      <c r="Z473" s="4">
        <v>360</v>
      </c>
      <c r="AA473" s="4">
        <f>=ROUNDDOWN(21.1764705882353,0)</f>
      </c>
      <c r="AB473" s="5">
        <v>17</v>
      </c>
      <c r="AC473" s="2" t="s">
        <v>840</v>
      </c>
      <c r="AD473" s="4">
        <v>210</v>
      </c>
      <c r="AE473" s="4">
        <v>210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/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/>
      <c r="BJ473" s="4">
        <v>6</v>
      </c>
      <c r="BK473" s="8">
        <v>320.48</v>
      </c>
      <c r="BL473" s="2" t="s">
        <v>999</v>
      </c>
      <c r="BM473" s="7"/>
      <c r="BN473" s="7"/>
      <c r="BO473" s="4"/>
      <c r="BP473" s="8"/>
      <c r="BQ473" s="4"/>
      <c r="BR473" s="8"/>
      <c r="BS473" s="7"/>
      <c r="BT473" s="7"/>
      <c r="BU473" s="2" t="s">
        <v>109</v>
      </c>
      <c r="BV473" s="2" t="s">
        <v>97</v>
      </c>
      <c r="BW473" s="2" t="s">
        <v>110</v>
      </c>
      <c r="BX473" s="2" t="s">
        <v>1891</v>
      </c>
      <c r="BY473" s="2" t="s">
        <v>112</v>
      </c>
      <c r="BZ473" s="2" t="s">
        <v>100</v>
      </c>
    </row>
    <row r="474">
      <c r="A474" s="2" t="s">
        <v>1892</v>
      </c>
      <c r="B474" s="2" t="s">
        <v>87</v>
      </c>
      <c r="C474" s="2" t="s">
        <v>88</v>
      </c>
      <c r="D474" s="2" t="s">
        <v>89</v>
      </c>
      <c r="E474" s="2" t="s">
        <v>90</v>
      </c>
      <c r="F474" s="2" t="s">
        <v>1884</v>
      </c>
      <c r="G474" s="2" t="s">
        <v>1885</v>
      </c>
      <c r="H474" s="2" t="s">
        <v>1886</v>
      </c>
      <c r="I474" s="2" t="s">
        <v>1887</v>
      </c>
      <c r="J474" s="2" t="s">
        <v>120</v>
      </c>
      <c r="K474" s="2" t="s">
        <v>146</v>
      </c>
      <c r="L474" s="3">
        <v>63.7</v>
      </c>
      <c r="M474" s="3">
        <v>66.88</v>
      </c>
      <c r="N474" s="3">
        <v>129.99</v>
      </c>
      <c r="O474" s="2" t="s">
        <v>97</v>
      </c>
      <c r="P474" s="2" t="s">
        <v>98</v>
      </c>
      <c r="Q474" s="2" t="s">
        <v>99</v>
      </c>
      <c r="R474" s="2" t="s">
        <v>100</v>
      </c>
      <c r="S474" s="2" t="s">
        <v>1888</v>
      </c>
      <c r="T474" s="2" t="s">
        <v>100</v>
      </c>
      <c r="U474" s="2" t="s">
        <v>102</v>
      </c>
      <c r="V474" s="2" t="s">
        <v>645</v>
      </c>
      <c r="W474" s="2" t="s">
        <v>105</v>
      </c>
      <c r="X474" s="2" t="s">
        <v>1889</v>
      </c>
      <c r="Y474" s="2" t="s">
        <v>1890</v>
      </c>
      <c r="Z474" s="4">
        <v>301</v>
      </c>
      <c r="AA474" s="4">
        <f>=ROUNDDOWN(21.5,0)</f>
      </c>
      <c r="AB474" s="5">
        <v>14</v>
      </c>
      <c r="AC474" s="2" t="s">
        <v>840</v>
      </c>
      <c r="AD474" s="4">
        <v>170</v>
      </c>
      <c r="AE474" s="4">
        <v>170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/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/>
      <c r="BJ474" s="4">
        <v>9</v>
      </c>
      <c r="BK474" s="8">
        <v>561.01</v>
      </c>
      <c r="BL474" s="2" t="s">
        <v>1893</v>
      </c>
      <c r="BM474" s="7"/>
      <c r="BN474" s="7"/>
      <c r="BO474" s="4"/>
      <c r="BP474" s="8"/>
      <c r="BQ474" s="4"/>
      <c r="BR474" s="8"/>
      <c r="BS474" s="7"/>
      <c r="BT474" s="7"/>
      <c r="BU474" s="2" t="s">
        <v>109</v>
      </c>
      <c r="BV474" s="2" t="s">
        <v>97</v>
      </c>
      <c r="BW474" s="2" t="s">
        <v>110</v>
      </c>
      <c r="BX474" s="2" t="s">
        <v>1894</v>
      </c>
      <c r="BY474" s="2" t="s">
        <v>112</v>
      </c>
      <c r="BZ474" s="2" t="s">
        <v>100</v>
      </c>
    </row>
    <row r="475">
      <c r="A475" s="2" t="s">
        <v>1895</v>
      </c>
      <c r="B475" s="2" t="s">
        <v>87</v>
      </c>
      <c r="C475" s="2" t="s">
        <v>88</v>
      </c>
      <c r="D475" s="2" t="s">
        <v>89</v>
      </c>
      <c r="E475" s="2" t="s">
        <v>90</v>
      </c>
      <c r="F475" s="2" t="s">
        <v>1884</v>
      </c>
      <c r="G475" s="2" t="s">
        <v>1885</v>
      </c>
      <c r="H475" s="2" t="s">
        <v>1886</v>
      </c>
      <c r="I475" s="2" t="s">
        <v>1887</v>
      </c>
      <c r="J475" s="2" t="s">
        <v>124</v>
      </c>
      <c r="K475" s="2" t="s">
        <v>146</v>
      </c>
      <c r="L475" s="3">
        <v>63.7</v>
      </c>
      <c r="M475" s="3">
        <v>66.88</v>
      </c>
      <c r="N475" s="3">
        <v>129.99</v>
      </c>
      <c r="O475" s="2" t="s">
        <v>97</v>
      </c>
      <c r="P475" s="2" t="s">
        <v>98</v>
      </c>
      <c r="Q475" s="2" t="s">
        <v>99</v>
      </c>
      <c r="R475" s="2" t="s">
        <v>100</v>
      </c>
      <c r="S475" s="2" t="s">
        <v>1888</v>
      </c>
      <c r="T475" s="2" t="s">
        <v>100</v>
      </c>
      <c r="U475" s="2" t="s">
        <v>102</v>
      </c>
      <c r="V475" s="2" t="s">
        <v>645</v>
      </c>
      <c r="W475" s="2" t="s">
        <v>105</v>
      </c>
      <c r="X475" s="2" t="s">
        <v>1889</v>
      </c>
      <c r="Y475" s="2" t="s">
        <v>1890</v>
      </c>
      <c r="Z475" s="4">
        <v>222</v>
      </c>
      <c r="AA475" s="4">
        <f>=ROUNDDOWN(27.75,0)</f>
      </c>
      <c r="AB475" s="5">
        <v>8</v>
      </c>
      <c r="AC475" s="2" t="s">
        <v>840</v>
      </c>
      <c r="AD475" s="4">
        <v>115</v>
      </c>
      <c r="AE475" s="4">
        <v>115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/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/>
      <c r="BJ475" s="4">
        <v>5</v>
      </c>
      <c r="BK475" s="8">
        <v>300.41</v>
      </c>
      <c r="BL475" s="2" t="s">
        <v>1896</v>
      </c>
      <c r="BM475" s="7"/>
      <c r="BN475" s="7"/>
      <c r="BO475" s="4"/>
      <c r="BP475" s="8"/>
      <c r="BQ475" s="4"/>
      <c r="BR475" s="8"/>
      <c r="BS475" s="7"/>
      <c r="BT475" s="7"/>
      <c r="BU475" s="2" t="s">
        <v>109</v>
      </c>
      <c r="BV475" s="2" t="s">
        <v>97</v>
      </c>
      <c r="BW475" s="2" t="s">
        <v>110</v>
      </c>
      <c r="BX475" s="2" t="s">
        <v>1897</v>
      </c>
      <c r="BY475" s="2" t="s">
        <v>112</v>
      </c>
      <c r="BZ475" s="2" t="s">
        <v>100</v>
      </c>
    </row>
    <row r="476">
      <c r="A476" s="2" t="s">
        <v>1898</v>
      </c>
      <c r="B476" s="2" t="s">
        <v>87</v>
      </c>
      <c r="C476" s="2" t="s">
        <v>88</v>
      </c>
      <c r="D476" s="2" t="s">
        <v>89</v>
      </c>
      <c r="E476" s="2" t="s">
        <v>90</v>
      </c>
      <c r="F476" s="2" t="s">
        <v>1884</v>
      </c>
      <c r="G476" s="2" t="s">
        <v>1885</v>
      </c>
      <c r="H476" s="2" t="s">
        <v>1886</v>
      </c>
      <c r="I476" s="2" t="s">
        <v>1887</v>
      </c>
      <c r="J476" s="2" t="s">
        <v>114</v>
      </c>
      <c r="K476" s="2" t="s">
        <v>163</v>
      </c>
      <c r="L476" s="3">
        <v>52.8</v>
      </c>
      <c r="M476" s="3">
        <v>55.43</v>
      </c>
      <c r="N476" s="3">
        <v>109.99</v>
      </c>
      <c r="O476" s="2" t="s">
        <v>97</v>
      </c>
      <c r="P476" s="2" t="s">
        <v>98</v>
      </c>
      <c r="Q476" s="2" t="s">
        <v>99</v>
      </c>
      <c r="R476" s="2" t="s">
        <v>100</v>
      </c>
      <c r="S476" s="2" t="s">
        <v>1899</v>
      </c>
      <c r="T476" s="2" t="s">
        <v>100</v>
      </c>
      <c r="U476" s="2" t="s">
        <v>102</v>
      </c>
      <c r="V476" s="2" t="s">
        <v>645</v>
      </c>
      <c r="W476" s="2" t="s">
        <v>105</v>
      </c>
      <c r="X476" s="2" t="s">
        <v>1889</v>
      </c>
      <c r="Y476" s="2" t="s">
        <v>1900</v>
      </c>
      <c r="Z476" s="4">
        <v>149</v>
      </c>
      <c r="AA476" s="4">
        <f>=ROUNDDOWN(11.4615384615385,0)</f>
      </c>
      <c r="AB476" s="5">
        <v>13</v>
      </c>
      <c r="AC476" s="2" t="s">
        <v>107</v>
      </c>
      <c r="AD476" s="4">
        <v>250</v>
      </c>
      <c r="AE476" s="4">
        <v>250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/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/>
      <c r="BJ476" s="4">
        <v>10</v>
      </c>
      <c r="BK476" s="8">
        <v>545.8</v>
      </c>
      <c r="BL476" s="2" t="s">
        <v>1901</v>
      </c>
      <c r="BM476" s="7"/>
      <c r="BN476" s="7"/>
      <c r="BO476" s="4"/>
      <c r="BP476" s="8"/>
      <c r="BQ476" s="4"/>
      <c r="BR476" s="8"/>
      <c r="BS476" s="7"/>
      <c r="BT476" s="7"/>
      <c r="BU476" s="2" t="s">
        <v>109</v>
      </c>
      <c r="BV476" s="2" t="s">
        <v>97</v>
      </c>
      <c r="BW476" s="2" t="s">
        <v>110</v>
      </c>
      <c r="BX476" s="2" t="s">
        <v>1902</v>
      </c>
      <c r="BY476" s="2" t="s">
        <v>112</v>
      </c>
      <c r="BZ476" s="2" t="s">
        <v>100</v>
      </c>
    </row>
    <row r="477">
      <c r="A477" s="2" t="s">
        <v>1903</v>
      </c>
      <c r="B477" s="2" t="s">
        <v>87</v>
      </c>
      <c r="C477" s="2" t="s">
        <v>88</v>
      </c>
      <c r="D477" s="2" t="s">
        <v>89</v>
      </c>
      <c r="E477" s="2" t="s">
        <v>90</v>
      </c>
      <c r="F477" s="2" t="s">
        <v>1884</v>
      </c>
      <c r="G477" s="2" t="s">
        <v>1885</v>
      </c>
      <c r="H477" s="2" t="s">
        <v>1886</v>
      </c>
      <c r="I477" s="2" t="s">
        <v>1887</v>
      </c>
      <c r="J477" s="2" t="s">
        <v>120</v>
      </c>
      <c r="K477" s="2" t="s">
        <v>163</v>
      </c>
      <c r="L477" s="3">
        <v>63.7</v>
      </c>
      <c r="M477" s="3">
        <v>66.88</v>
      </c>
      <c r="N477" s="3">
        <v>129.99</v>
      </c>
      <c r="O477" s="2" t="s">
        <v>97</v>
      </c>
      <c r="P477" s="2" t="s">
        <v>98</v>
      </c>
      <c r="Q477" s="2" t="s">
        <v>99</v>
      </c>
      <c r="R477" s="2" t="s">
        <v>100</v>
      </c>
      <c r="S477" s="2" t="s">
        <v>1899</v>
      </c>
      <c r="T477" s="2" t="s">
        <v>100</v>
      </c>
      <c r="U477" s="2" t="s">
        <v>102</v>
      </c>
      <c r="V477" s="2" t="s">
        <v>645</v>
      </c>
      <c r="W477" s="2" t="s">
        <v>105</v>
      </c>
      <c r="X477" s="2" t="s">
        <v>1889</v>
      </c>
      <c r="Y477" s="2" t="s">
        <v>1900</v>
      </c>
      <c r="Z477" s="4">
        <v>233</v>
      </c>
      <c r="AA477" s="4">
        <f>=ROUNDDOWN(23.3,0)</f>
      </c>
      <c r="AB477" s="5">
        <v>10</v>
      </c>
      <c r="AC477" s="2" t="s">
        <v>107</v>
      </c>
      <c r="AD477" s="4">
        <v>230</v>
      </c>
      <c r="AE477" s="4">
        <v>230</v>
      </c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/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/>
      <c r="BJ477" s="4">
        <v>11</v>
      </c>
      <c r="BK477" s="8">
        <v>705.9</v>
      </c>
      <c r="BL477" s="2" t="s">
        <v>1904</v>
      </c>
      <c r="BM477" s="7"/>
      <c r="BN477" s="7"/>
      <c r="BO477" s="4"/>
      <c r="BP477" s="8"/>
      <c r="BQ477" s="4"/>
      <c r="BR477" s="8"/>
      <c r="BS477" s="7"/>
      <c r="BT477" s="7"/>
      <c r="BU477" s="2" t="s">
        <v>109</v>
      </c>
      <c r="BV477" s="2" t="s">
        <v>97</v>
      </c>
      <c r="BW477" s="2" t="s">
        <v>110</v>
      </c>
      <c r="BX477" s="2" t="s">
        <v>1905</v>
      </c>
      <c r="BY477" s="2" t="s">
        <v>112</v>
      </c>
      <c r="BZ477" s="2" t="s">
        <v>100</v>
      </c>
    </row>
    <row r="478">
      <c r="A478" s="2" t="s">
        <v>1906</v>
      </c>
      <c r="B478" s="2" t="s">
        <v>87</v>
      </c>
      <c r="C478" s="2" t="s">
        <v>88</v>
      </c>
      <c r="D478" s="2" t="s">
        <v>89</v>
      </c>
      <c r="E478" s="2" t="s">
        <v>90</v>
      </c>
      <c r="F478" s="2" t="s">
        <v>1884</v>
      </c>
      <c r="G478" s="2" t="s">
        <v>1885</v>
      </c>
      <c r="H478" s="2" t="s">
        <v>1886</v>
      </c>
      <c r="I478" s="2" t="s">
        <v>1887</v>
      </c>
      <c r="J478" s="2" t="s">
        <v>124</v>
      </c>
      <c r="K478" s="2" t="s">
        <v>163</v>
      </c>
      <c r="L478" s="3">
        <v>63.7</v>
      </c>
      <c r="M478" s="3">
        <v>66.88</v>
      </c>
      <c r="N478" s="3">
        <v>129.99</v>
      </c>
      <c r="O478" s="2" t="s">
        <v>97</v>
      </c>
      <c r="P478" s="2" t="s">
        <v>98</v>
      </c>
      <c r="Q478" s="2" t="s">
        <v>99</v>
      </c>
      <c r="R478" s="2" t="s">
        <v>100</v>
      </c>
      <c r="S478" s="2" t="s">
        <v>1899</v>
      </c>
      <c r="T478" s="2" t="s">
        <v>100</v>
      </c>
      <c r="U478" s="2" t="s">
        <v>102</v>
      </c>
      <c r="V478" s="2" t="s">
        <v>645</v>
      </c>
      <c r="W478" s="2" t="s">
        <v>105</v>
      </c>
      <c r="X478" s="2" t="s">
        <v>1889</v>
      </c>
      <c r="Y478" s="2" t="s">
        <v>1900</v>
      </c>
      <c r="Z478" s="4">
        <v>151</v>
      </c>
      <c r="AA478" s="4">
        <f>=ROUNDDOWN(21.5714285714286,0)</f>
      </c>
      <c r="AB478" s="5">
        <v>7</v>
      </c>
      <c r="AC478" s="2" t="s">
        <v>107</v>
      </c>
      <c r="AD478" s="4">
        <v>85</v>
      </c>
      <c r="AE478" s="4">
        <v>85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/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/>
      <c r="BJ478" s="4">
        <v>3</v>
      </c>
      <c r="BK478" s="8">
        <v>192.4</v>
      </c>
      <c r="BL478" s="2" t="s">
        <v>224</v>
      </c>
      <c r="BM478" s="7"/>
      <c r="BN478" s="7"/>
      <c r="BO478" s="4"/>
      <c r="BP478" s="8"/>
      <c r="BQ478" s="4"/>
      <c r="BR478" s="8"/>
      <c r="BS478" s="7"/>
      <c r="BT478" s="7"/>
      <c r="BU478" s="2" t="s">
        <v>109</v>
      </c>
      <c r="BV478" s="2" t="s">
        <v>97</v>
      </c>
      <c r="BW478" s="2" t="s">
        <v>110</v>
      </c>
      <c r="BX478" s="2" t="s">
        <v>1907</v>
      </c>
      <c r="BY478" s="2" t="s">
        <v>112</v>
      </c>
      <c r="BZ478" s="2" t="s">
        <v>100</v>
      </c>
    </row>
    <row r="479">
      <c r="A479" s="2" t="s">
        <v>1908</v>
      </c>
      <c r="B479" s="2" t="s">
        <v>87</v>
      </c>
      <c r="C479" s="2" t="s">
        <v>88</v>
      </c>
      <c r="D479" s="2" t="s">
        <v>89</v>
      </c>
      <c r="E479" s="2" t="s">
        <v>90</v>
      </c>
      <c r="F479" s="2" t="s">
        <v>1884</v>
      </c>
      <c r="G479" s="2" t="s">
        <v>1885</v>
      </c>
      <c r="H479" s="2" t="s">
        <v>1886</v>
      </c>
      <c r="I479" s="2" t="s">
        <v>1887</v>
      </c>
      <c r="J479" s="2" t="s">
        <v>114</v>
      </c>
      <c r="K479" s="2" t="s">
        <v>175</v>
      </c>
      <c r="L479" s="3">
        <v>52.8</v>
      </c>
      <c r="M479" s="3">
        <v>55.43</v>
      </c>
      <c r="N479" s="3">
        <v>109.99</v>
      </c>
      <c r="O479" s="2" t="s">
        <v>97</v>
      </c>
      <c r="P479" s="2" t="s">
        <v>98</v>
      </c>
      <c r="Q479" s="2" t="s">
        <v>99</v>
      </c>
      <c r="R479" s="2" t="s">
        <v>100</v>
      </c>
      <c r="S479" s="2" t="s">
        <v>1909</v>
      </c>
      <c r="T479" s="2" t="s">
        <v>100</v>
      </c>
      <c r="U479" s="2" t="s">
        <v>102</v>
      </c>
      <c r="V479" s="2" t="s">
        <v>645</v>
      </c>
      <c r="W479" s="2" t="s">
        <v>105</v>
      </c>
      <c r="X479" s="2" t="s">
        <v>1889</v>
      </c>
      <c r="Y479" s="2" t="s">
        <v>1910</v>
      </c>
      <c r="Z479" s="4">
        <v>319</v>
      </c>
      <c r="AA479" s="4">
        <f>=ROUNDDOWN(29,0)</f>
      </c>
      <c r="AB479" s="5">
        <v>11</v>
      </c>
      <c r="AC479" s="2" t="s">
        <v>107</v>
      </c>
      <c r="AD479" s="4">
        <v>220</v>
      </c>
      <c r="AE479" s="4">
        <v>220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/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/>
      <c r="BJ479" s="4">
        <v>11</v>
      </c>
      <c r="BK479" s="8">
        <v>597.18</v>
      </c>
      <c r="BL479" s="2" t="s">
        <v>1911</v>
      </c>
      <c r="BM479" s="7"/>
      <c r="BN479" s="7"/>
      <c r="BO479" s="4"/>
      <c r="BP479" s="8"/>
      <c r="BQ479" s="4"/>
      <c r="BR479" s="8"/>
      <c r="BS479" s="7"/>
      <c r="BT479" s="7"/>
      <c r="BU479" s="2" t="s">
        <v>109</v>
      </c>
      <c r="BV479" s="2" t="s">
        <v>97</v>
      </c>
      <c r="BW479" s="2" t="s">
        <v>110</v>
      </c>
      <c r="BX479" s="2" t="s">
        <v>1902</v>
      </c>
      <c r="BY479" s="2" t="s">
        <v>112</v>
      </c>
      <c r="BZ479" s="2" t="s">
        <v>100</v>
      </c>
    </row>
    <row r="480">
      <c r="A480" s="2" t="s">
        <v>1912</v>
      </c>
      <c r="B480" s="2" t="s">
        <v>87</v>
      </c>
      <c r="C480" s="2" t="s">
        <v>88</v>
      </c>
      <c r="D480" s="2" t="s">
        <v>89</v>
      </c>
      <c r="E480" s="2" t="s">
        <v>90</v>
      </c>
      <c r="F480" s="2" t="s">
        <v>1884</v>
      </c>
      <c r="G480" s="2" t="s">
        <v>1885</v>
      </c>
      <c r="H480" s="2" t="s">
        <v>1886</v>
      </c>
      <c r="I480" s="2" t="s">
        <v>1887</v>
      </c>
      <c r="J480" s="2" t="s">
        <v>120</v>
      </c>
      <c r="K480" s="2" t="s">
        <v>175</v>
      </c>
      <c r="L480" s="3">
        <v>63.7</v>
      </c>
      <c r="M480" s="3">
        <v>66.88</v>
      </c>
      <c r="N480" s="3">
        <v>129.99</v>
      </c>
      <c r="O480" s="2" t="s">
        <v>97</v>
      </c>
      <c r="P480" s="2" t="s">
        <v>98</v>
      </c>
      <c r="Q480" s="2" t="s">
        <v>99</v>
      </c>
      <c r="R480" s="2" t="s">
        <v>100</v>
      </c>
      <c r="S480" s="2" t="s">
        <v>1909</v>
      </c>
      <c r="T480" s="2" t="s">
        <v>100</v>
      </c>
      <c r="U480" s="2" t="s">
        <v>102</v>
      </c>
      <c r="V480" s="2" t="s">
        <v>645</v>
      </c>
      <c r="W480" s="2" t="s">
        <v>105</v>
      </c>
      <c r="X480" s="2" t="s">
        <v>1889</v>
      </c>
      <c r="Y480" s="2" t="s">
        <v>1910</v>
      </c>
      <c r="Z480" s="4">
        <v>209</v>
      </c>
      <c r="AA480" s="4">
        <f>=ROUNDDOWN(19,0)</f>
      </c>
      <c r="AB480" s="5">
        <v>11</v>
      </c>
      <c r="AC480" s="2" t="s">
        <v>107</v>
      </c>
      <c r="AD480" s="4">
        <v>210</v>
      </c>
      <c r="AE480" s="4">
        <v>210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/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/>
      <c r="BJ480" s="4">
        <v>4</v>
      </c>
      <c r="BK480" s="8">
        <v>271.18</v>
      </c>
      <c r="BL480" s="2" t="s">
        <v>1913</v>
      </c>
      <c r="BM480" s="7"/>
      <c r="BN480" s="7"/>
      <c r="BO480" s="4"/>
      <c r="BP480" s="8"/>
      <c r="BQ480" s="4"/>
      <c r="BR480" s="8"/>
      <c r="BS480" s="7"/>
      <c r="BT480" s="7"/>
      <c r="BU480" s="2" t="s">
        <v>109</v>
      </c>
      <c r="BV480" s="2" t="s">
        <v>97</v>
      </c>
      <c r="BW480" s="2" t="s">
        <v>110</v>
      </c>
      <c r="BX480" s="2" t="s">
        <v>1914</v>
      </c>
      <c r="BY480" s="2" t="s">
        <v>112</v>
      </c>
      <c r="BZ480" s="2" t="s">
        <v>100</v>
      </c>
    </row>
    <row r="481">
      <c r="A481" s="2" t="s">
        <v>1915</v>
      </c>
      <c r="B481" s="2" t="s">
        <v>87</v>
      </c>
      <c r="C481" s="2" t="s">
        <v>88</v>
      </c>
      <c r="D481" s="2" t="s">
        <v>89</v>
      </c>
      <c r="E481" s="2" t="s">
        <v>90</v>
      </c>
      <c r="F481" s="2" t="s">
        <v>1884</v>
      </c>
      <c r="G481" s="2" t="s">
        <v>1885</v>
      </c>
      <c r="H481" s="2" t="s">
        <v>1886</v>
      </c>
      <c r="I481" s="2" t="s">
        <v>1887</v>
      </c>
      <c r="J481" s="2" t="s">
        <v>124</v>
      </c>
      <c r="K481" s="2" t="s">
        <v>175</v>
      </c>
      <c r="L481" s="3">
        <v>63.7</v>
      </c>
      <c r="M481" s="3">
        <v>66.88</v>
      </c>
      <c r="N481" s="3">
        <v>129.99</v>
      </c>
      <c r="O481" s="2" t="s">
        <v>97</v>
      </c>
      <c r="P481" s="2" t="s">
        <v>98</v>
      </c>
      <c r="Q481" s="2" t="s">
        <v>99</v>
      </c>
      <c r="R481" s="2" t="s">
        <v>100</v>
      </c>
      <c r="S481" s="2" t="s">
        <v>1909</v>
      </c>
      <c r="T481" s="2" t="s">
        <v>100</v>
      </c>
      <c r="U481" s="2" t="s">
        <v>102</v>
      </c>
      <c r="V481" s="2" t="s">
        <v>645</v>
      </c>
      <c r="W481" s="2" t="s">
        <v>105</v>
      </c>
      <c r="X481" s="2" t="s">
        <v>1889</v>
      </c>
      <c r="Y481" s="2" t="s">
        <v>1910</v>
      </c>
      <c r="Z481" s="4">
        <v>206</v>
      </c>
      <c r="AA481" s="4">
        <f>=ROUNDDOWN(34.3333333333333,0)</f>
      </c>
      <c r="AB481" s="5">
        <v>6</v>
      </c>
      <c r="AC481" s="2" t="s">
        <v>107</v>
      </c>
      <c r="AD481" s="4">
        <v>110</v>
      </c>
      <c r="AE481" s="4">
        <v>110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/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/>
      <c r="BJ481" s="4">
        <v>2</v>
      </c>
      <c r="BK481" s="8">
        <v>127.45</v>
      </c>
      <c r="BL481" s="2" t="s">
        <v>741</v>
      </c>
      <c r="BM481" s="7"/>
      <c r="BN481" s="7"/>
      <c r="BO481" s="4"/>
      <c r="BP481" s="8"/>
      <c r="BQ481" s="4"/>
      <c r="BR481" s="8"/>
      <c r="BS481" s="7"/>
      <c r="BT481" s="7"/>
      <c r="BU481" s="2" t="s">
        <v>109</v>
      </c>
      <c r="BV481" s="2" t="s">
        <v>97</v>
      </c>
      <c r="BW481" s="2" t="s">
        <v>1916</v>
      </c>
      <c r="BX481" s="2" t="s">
        <v>1917</v>
      </c>
      <c r="BY481" s="2" t="s">
        <v>112</v>
      </c>
      <c r="BZ481" s="2" t="s">
        <v>100</v>
      </c>
    </row>
    <row r="482">
      <c r="A482" s="2" t="s">
        <v>1918</v>
      </c>
      <c r="B482" s="2" t="s">
        <v>87</v>
      </c>
      <c r="C482" s="2" t="s">
        <v>88</v>
      </c>
      <c r="D482" s="2" t="s">
        <v>89</v>
      </c>
      <c r="E482" s="2" t="s">
        <v>90</v>
      </c>
      <c r="F482" s="2" t="s">
        <v>1919</v>
      </c>
      <c r="G482" s="2" t="s">
        <v>1920</v>
      </c>
      <c r="H482" s="2" t="s">
        <v>1921</v>
      </c>
      <c r="I482" s="2" t="s">
        <v>605</v>
      </c>
      <c r="J482" s="2" t="s">
        <v>114</v>
      </c>
      <c r="K482" s="2" t="s">
        <v>163</v>
      </c>
      <c r="L482" s="3">
        <v>66.66</v>
      </c>
      <c r="M482" s="3">
        <v>69.99</v>
      </c>
      <c r="N482" s="3">
        <v>139.99</v>
      </c>
      <c r="O482" s="2" t="s">
        <v>1715</v>
      </c>
      <c r="P482" s="2" t="s">
        <v>447</v>
      </c>
      <c r="Q482" s="2" t="s">
        <v>99</v>
      </c>
      <c r="R482" s="2" t="s">
        <v>100</v>
      </c>
      <c r="S482" s="2" t="s">
        <v>1922</v>
      </c>
      <c r="T482" s="2" t="s">
        <v>100</v>
      </c>
      <c r="U482" s="2" t="s">
        <v>102</v>
      </c>
      <c r="V482" s="2" t="s">
        <v>632</v>
      </c>
      <c r="W482" s="2" t="s">
        <v>244</v>
      </c>
      <c r="X482" s="2" t="s">
        <v>285</v>
      </c>
      <c r="Y482" s="2" t="s">
        <v>1923</v>
      </c>
      <c r="Z482" s="4">
        <v>9</v>
      </c>
      <c r="AA482" s="4">
        <f>=ROUNDDOWN(2.57142857142857,0)</f>
      </c>
      <c r="AB482" s="5">
        <v>3.5</v>
      </c>
      <c r="AC482" s="2" t="s">
        <v>100</v>
      </c>
      <c r="AD482" s="4"/>
      <c r="AE482" s="4"/>
      <c r="AF482" s="6">
        <v>64</v>
      </c>
      <c r="AG482" s="6"/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>
        <v>5</v>
      </c>
      <c r="BK482" s="8">
        <v>278.28</v>
      </c>
      <c r="BL482" s="2" t="s">
        <v>1924</v>
      </c>
      <c r="BM482" s="7"/>
      <c r="BN482" s="7"/>
      <c r="BO482" s="4"/>
      <c r="BP482" s="8"/>
      <c r="BQ482" s="4"/>
      <c r="BR482" s="8"/>
      <c r="BS482" s="7"/>
      <c r="BT482" s="7"/>
      <c r="BU482" s="2" t="s">
        <v>109</v>
      </c>
      <c r="BV482" s="2" t="s">
        <v>97</v>
      </c>
      <c r="BW482" s="2" t="s">
        <v>566</v>
      </c>
      <c r="BX482" s="2" t="s">
        <v>946</v>
      </c>
      <c r="BY482" s="2" t="s">
        <v>112</v>
      </c>
      <c r="BZ482" s="2" t="s">
        <v>100</v>
      </c>
    </row>
    <row r="483">
      <c r="A483" s="2" t="s">
        <v>1925</v>
      </c>
      <c r="B483" s="2" t="s">
        <v>87</v>
      </c>
      <c r="C483" s="2" t="s">
        <v>88</v>
      </c>
      <c r="D483" s="2" t="s">
        <v>89</v>
      </c>
      <c r="E483" s="2" t="s">
        <v>90</v>
      </c>
      <c r="F483" s="2" t="s">
        <v>1926</v>
      </c>
      <c r="G483" s="2" t="s">
        <v>1927</v>
      </c>
      <c r="H483" s="2" t="s">
        <v>1928</v>
      </c>
      <c r="I483" s="2" t="s">
        <v>1929</v>
      </c>
      <c r="J483" s="2" t="s">
        <v>785</v>
      </c>
      <c r="K483" s="2" t="s">
        <v>253</v>
      </c>
      <c r="L483" s="3">
        <v>52.8</v>
      </c>
      <c r="M483" s="3">
        <v>55.43</v>
      </c>
      <c r="N483" s="3">
        <v>109.99</v>
      </c>
      <c r="O483" s="2" t="s">
        <v>97</v>
      </c>
      <c r="P483" s="2" t="s">
        <v>242</v>
      </c>
      <c r="Q483" s="2" t="s">
        <v>99</v>
      </c>
      <c r="R483" s="2" t="s">
        <v>100</v>
      </c>
      <c r="S483" s="2" t="s">
        <v>1930</v>
      </c>
      <c r="T483" s="2" t="s">
        <v>787</v>
      </c>
      <c r="U483" s="2" t="s">
        <v>102</v>
      </c>
      <c r="V483" s="2" t="s">
        <v>677</v>
      </c>
      <c r="W483" s="2" t="s">
        <v>788</v>
      </c>
      <c r="X483" s="2" t="s">
        <v>1627</v>
      </c>
      <c r="Y483" s="2" t="s">
        <v>1931</v>
      </c>
      <c r="Z483" s="4">
        <v>1258</v>
      </c>
      <c r="AA483" s="4">
        <f>=ROUNDDOWN(27.9555555555556,0)</f>
      </c>
      <c r="AB483" s="5">
        <v>45</v>
      </c>
      <c r="AC483" s="2" t="s">
        <v>482</v>
      </c>
      <c r="AD483" s="4">
        <v>10</v>
      </c>
      <c r="AE483" s="4">
        <v>1050</v>
      </c>
      <c r="AF483" s="6">
        <v>65</v>
      </c>
      <c r="AG483" s="6">
        <v>48</v>
      </c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/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/>
      <c r="BJ483" s="4">
        <v>31</v>
      </c>
      <c r="BK483" s="8">
        <v>1770.57</v>
      </c>
      <c r="BL483" s="2" t="s">
        <v>1932</v>
      </c>
      <c r="BM483" s="7"/>
      <c r="BN483" s="7"/>
      <c r="BO483" s="4"/>
      <c r="BP483" s="8"/>
      <c r="BQ483" s="4"/>
      <c r="BR483" s="8"/>
      <c r="BS483" s="7"/>
      <c r="BT483" s="7"/>
      <c r="BU483" s="2" t="s">
        <v>109</v>
      </c>
      <c r="BV483" s="2" t="s">
        <v>97</v>
      </c>
      <c r="BW483" s="2" t="s">
        <v>266</v>
      </c>
      <c r="BX483" s="2" t="s">
        <v>1933</v>
      </c>
      <c r="BY483" s="2" t="s">
        <v>112</v>
      </c>
      <c r="BZ483" s="2" t="s">
        <v>100</v>
      </c>
    </row>
    <row r="484">
      <c r="A484" s="2" t="s">
        <v>1934</v>
      </c>
      <c r="B484" s="2" t="s">
        <v>87</v>
      </c>
      <c r="C484" s="2" t="s">
        <v>88</v>
      </c>
      <c r="D484" s="2" t="s">
        <v>89</v>
      </c>
      <c r="E484" s="2" t="s">
        <v>90</v>
      </c>
      <c r="F484" s="2" t="s">
        <v>1926</v>
      </c>
      <c r="G484" s="2" t="s">
        <v>1927</v>
      </c>
      <c r="H484" s="2" t="s">
        <v>1928</v>
      </c>
      <c r="I484" s="2" t="s">
        <v>1929</v>
      </c>
      <c r="J484" s="2" t="s">
        <v>795</v>
      </c>
      <c r="K484" s="2" t="s">
        <v>253</v>
      </c>
      <c r="L484" s="3">
        <v>63.7</v>
      </c>
      <c r="M484" s="3">
        <v>66.88</v>
      </c>
      <c r="N484" s="3">
        <v>129.99</v>
      </c>
      <c r="O484" s="2" t="s">
        <v>97</v>
      </c>
      <c r="P484" s="2" t="s">
        <v>242</v>
      </c>
      <c r="Q484" s="2" t="s">
        <v>99</v>
      </c>
      <c r="R484" s="2" t="s">
        <v>100</v>
      </c>
      <c r="S484" s="2" t="s">
        <v>1930</v>
      </c>
      <c r="T484" s="2" t="s">
        <v>787</v>
      </c>
      <c r="U484" s="2" t="s">
        <v>102</v>
      </c>
      <c r="V484" s="2" t="s">
        <v>677</v>
      </c>
      <c r="W484" s="2" t="s">
        <v>788</v>
      </c>
      <c r="X484" s="2" t="s">
        <v>1627</v>
      </c>
      <c r="Y484" s="2" t="s">
        <v>1931</v>
      </c>
      <c r="Z484" s="4">
        <v>692</v>
      </c>
      <c r="AA484" s="4">
        <f>=ROUNDDOWN(16.8780487804878,0)</f>
      </c>
      <c r="AB484" s="5">
        <v>41</v>
      </c>
      <c r="AC484" s="2" t="s">
        <v>482</v>
      </c>
      <c r="AD484" s="4">
        <v>40</v>
      </c>
      <c r="AE484" s="4">
        <v>1180</v>
      </c>
      <c r="AF484" s="6">
        <v>65</v>
      </c>
      <c r="AG484" s="6">
        <v>48</v>
      </c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/>
      <c r="AQ484" s="8"/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/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/>
      <c r="BJ484" s="4">
        <v>14</v>
      </c>
      <c r="BK484" s="8">
        <v>956.26</v>
      </c>
      <c r="BL484" s="2" t="s">
        <v>1935</v>
      </c>
      <c r="BM484" s="7"/>
      <c r="BN484" s="7"/>
      <c r="BO484" s="4"/>
      <c r="BP484" s="8"/>
      <c r="BQ484" s="4"/>
      <c r="BR484" s="8"/>
      <c r="BS484" s="7"/>
      <c r="BT484" s="7"/>
      <c r="BU484" s="2" t="s">
        <v>109</v>
      </c>
      <c r="BV484" s="2" t="s">
        <v>97</v>
      </c>
      <c r="BW484" s="2" t="s">
        <v>266</v>
      </c>
      <c r="BX484" s="2" t="s">
        <v>1936</v>
      </c>
      <c r="BY484" s="2" t="s">
        <v>112</v>
      </c>
      <c r="BZ484" s="2" t="s">
        <v>100</v>
      </c>
    </row>
    <row r="485">
      <c r="A485" s="2" t="s">
        <v>1937</v>
      </c>
      <c r="B485" s="2" t="s">
        <v>87</v>
      </c>
      <c r="C485" s="2" t="s">
        <v>88</v>
      </c>
      <c r="D485" s="2" t="s">
        <v>89</v>
      </c>
      <c r="E485" s="2" t="s">
        <v>90</v>
      </c>
      <c r="F485" s="2" t="s">
        <v>1926</v>
      </c>
      <c r="G485" s="2" t="s">
        <v>1927</v>
      </c>
      <c r="H485" s="2" t="s">
        <v>1928</v>
      </c>
      <c r="I485" s="2" t="s">
        <v>1929</v>
      </c>
      <c r="J485" s="2" t="s">
        <v>785</v>
      </c>
      <c r="K485" s="2" t="s">
        <v>1938</v>
      </c>
      <c r="L485" s="3">
        <v>52.8</v>
      </c>
      <c r="M485" s="3">
        <v>55.43</v>
      </c>
      <c r="N485" s="3">
        <v>109.99</v>
      </c>
      <c r="O485" s="2" t="s">
        <v>97</v>
      </c>
      <c r="P485" s="2" t="s">
        <v>1216</v>
      </c>
      <c r="Q485" s="2" t="s">
        <v>99</v>
      </c>
      <c r="R485" s="2" t="s">
        <v>100</v>
      </c>
      <c r="S485" s="2" t="s">
        <v>1939</v>
      </c>
      <c r="T485" s="2" t="s">
        <v>787</v>
      </c>
      <c r="U485" s="2" t="s">
        <v>102</v>
      </c>
      <c r="V485" s="2" t="s">
        <v>677</v>
      </c>
      <c r="W485" s="2" t="s">
        <v>788</v>
      </c>
      <c r="X485" s="2" t="s">
        <v>1627</v>
      </c>
      <c r="Y485" s="2" t="s">
        <v>1940</v>
      </c>
      <c r="Z485" s="4">
        <v>562</v>
      </c>
      <c r="AA485" s="4">
        <f>=ROUNDDOWN(18.1290322580645,0)</f>
      </c>
      <c r="AB485" s="5">
        <v>31</v>
      </c>
      <c r="AC485" s="2" t="s">
        <v>860</v>
      </c>
      <c r="AD485" s="4">
        <v>400</v>
      </c>
      <c r="AE485" s="4">
        <v>400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/>
      <c r="BJ485" s="4"/>
      <c r="BK485" s="8"/>
      <c r="BL485" s="2" t="s">
        <v>100</v>
      </c>
      <c r="BM485" s="7"/>
      <c r="BN485" s="7"/>
      <c r="BO485" s="4"/>
      <c r="BP485" s="8"/>
      <c r="BQ485" s="4"/>
      <c r="BR485" s="8"/>
      <c r="BS485" s="7"/>
      <c r="BT485" s="7"/>
      <c r="BU485" s="2" t="s">
        <v>109</v>
      </c>
      <c r="BV485" s="2" t="s">
        <v>97</v>
      </c>
      <c r="BW485" s="2" t="s">
        <v>1221</v>
      </c>
      <c r="BX485" s="2" t="s">
        <v>100</v>
      </c>
      <c r="BY485" s="2" t="s">
        <v>112</v>
      </c>
      <c r="BZ485" s="2" t="s">
        <v>100</v>
      </c>
    </row>
    <row r="486">
      <c r="A486" s="2" t="s">
        <v>1941</v>
      </c>
      <c r="B486" s="2" t="s">
        <v>87</v>
      </c>
      <c r="C486" s="2" t="s">
        <v>88</v>
      </c>
      <c r="D486" s="2" t="s">
        <v>89</v>
      </c>
      <c r="E486" s="2" t="s">
        <v>90</v>
      </c>
      <c r="F486" s="2" t="s">
        <v>1926</v>
      </c>
      <c r="G486" s="2" t="s">
        <v>1927</v>
      </c>
      <c r="H486" s="2" t="s">
        <v>1928</v>
      </c>
      <c r="I486" s="2" t="s">
        <v>1929</v>
      </c>
      <c r="J486" s="2" t="s">
        <v>795</v>
      </c>
      <c r="K486" s="2" t="s">
        <v>1938</v>
      </c>
      <c r="L486" s="3">
        <v>63.7</v>
      </c>
      <c r="M486" s="3">
        <v>66.88</v>
      </c>
      <c r="N486" s="3">
        <v>129.99</v>
      </c>
      <c r="O486" s="2" t="s">
        <v>97</v>
      </c>
      <c r="P486" s="2" t="s">
        <v>1216</v>
      </c>
      <c r="Q486" s="2" t="s">
        <v>99</v>
      </c>
      <c r="R486" s="2" t="s">
        <v>100</v>
      </c>
      <c r="S486" s="2" t="s">
        <v>1939</v>
      </c>
      <c r="T486" s="2" t="s">
        <v>787</v>
      </c>
      <c r="U486" s="2" t="s">
        <v>102</v>
      </c>
      <c r="V486" s="2" t="s">
        <v>677</v>
      </c>
      <c r="W486" s="2" t="s">
        <v>788</v>
      </c>
      <c r="X486" s="2" t="s">
        <v>1627</v>
      </c>
      <c r="Y486" s="2" t="s">
        <v>1940</v>
      </c>
      <c r="Z486" s="4">
        <v>411</v>
      </c>
      <c r="AA486" s="4">
        <f>=ROUNDDOWN(14.6785714285714,0)</f>
      </c>
      <c r="AB486" s="5">
        <v>28</v>
      </c>
      <c r="AC486" s="2" t="s">
        <v>860</v>
      </c>
      <c r="AD486" s="4">
        <v>400</v>
      </c>
      <c r="AE486" s="4">
        <v>400</v>
      </c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/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/>
      <c r="BJ486" s="4">
        <v>4</v>
      </c>
      <c r="BK486" s="8">
        <v>291.31</v>
      </c>
      <c r="BL486" s="2" t="s">
        <v>1942</v>
      </c>
      <c r="BM486" s="7"/>
      <c r="BN486" s="7"/>
      <c r="BO486" s="4"/>
      <c r="BP486" s="8"/>
      <c r="BQ486" s="4"/>
      <c r="BR486" s="8"/>
      <c r="BS486" s="7"/>
      <c r="BT486" s="7"/>
      <c r="BU486" s="2" t="s">
        <v>109</v>
      </c>
      <c r="BV486" s="2" t="s">
        <v>97</v>
      </c>
      <c r="BW486" s="2" t="s">
        <v>1221</v>
      </c>
      <c r="BX486" s="2" t="s">
        <v>100</v>
      </c>
      <c r="BY486" s="2" t="s">
        <v>112</v>
      </c>
      <c r="BZ486" s="2" t="s">
        <v>100</v>
      </c>
    </row>
    <row r="487">
      <c r="A487" s="2" t="s">
        <v>1943</v>
      </c>
      <c r="B487" s="2" t="s">
        <v>87</v>
      </c>
      <c r="C487" s="2" t="s">
        <v>88</v>
      </c>
      <c r="D487" s="2" t="s">
        <v>89</v>
      </c>
      <c r="E487" s="2" t="s">
        <v>1944</v>
      </c>
      <c r="F487" s="2" t="s">
        <v>1945</v>
      </c>
      <c r="G487" s="2" t="s">
        <v>1946</v>
      </c>
      <c r="H487" s="2" t="s">
        <v>1947</v>
      </c>
      <c r="I487" s="2" t="s">
        <v>1948</v>
      </c>
      <c r="J487" s="2" t="s">
        <v>95</v>
      </c>
      <c r="K487" s="2" t="s">
        <v>185</v>
      </c>
      <c r="L487" s="3">
        <v>80.99</v>
      </c>
      <c r="M487" s="3">
        <v>85.04</v>
      </c>
      <c r="N487" s="3">
        <v>169.99</v>
      </c>
      <c r="O487" s="2" t="s">
        <v>97</v>
      </c>
      <c r="P487" s="2" t="s">
        <v>242</v>
      </c>
      <c r="Q487" s="2" t="s">
        <v>99</v>
      </c>
      <c r="R487" s="2" t="s">
        <v>100</v>
      </c>
      <c r="S487" s="2" t="s">
        <v>1949</v>
      </c>
      <c r="T487" s="2" t="s">
        <v>100</v>
      </c>
      <c r="U487" s="2" t="s">
        <v>1950</v>
      </c>
      <c r="V487" s="2" t="s">
        <v>632</v>
      </c>
      <c r="W487" s="2" t="s">
        <v>244</v>
      </c>
      <c r="X487" s="2" t="s">
        <v>285</v>
      </c>
      <c r="Y487" s="2" t="s">
        <v>131</v>
      </c>
      <c r="Z487" s="4">
        <v>326</v>
      </c>
      <c r="AA487" s="4">
        <f>=ROUNDDOWN(81.5,0)</f>
      </c>
      <c r="AB487" s="5">
        <v>4</v>
      </c>
      <c r="AC487" s="2" t="s">
        <v>100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>
        <v>3</v>
      </c>
      <c r="AW487" s="8">
        <v>324.14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/>
      <c r="BC487" s="4">
        <v>6</v>
      </c>
      <c r="BD487" s="8">
        <v>667.95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0.4853</v>
      </c>
      <c r="BJ487" s="4">
        <v>1</v>
      </c>
      <c r="BK487" s="8">
        <v>97.91</v>
      </c>
      <c r="BL487" s="2" t="s">
        <v>625</v>
      </c>
      <c r="BM487" s="7"/>
      <c r="BN487" s="7"/>
      <c r="BO487" s="4"/>
      <c r="BP487" s="8"/>
      <c r="BQ487" s="4"/>
      <c r="BR487" s="8"/>
      <c r="BS487" s="7"/>
      <c r="BT487" s="7"/>
      <c r="BU487" s="2" t="s">
        <v>109</v>
      </c>
      <c r="BV487" s="2" t="s">
        <v>97</v>
      </c>
      <c r="BW487" s="2" t="s">
        <v>201</v>
      </c>
      <c r="BX487" s="2" t="s">
        <v>1842</v>
      </c>
      <c r="BY487" s="2" t="s">
        <v>112</v>
      </c>
      <c r="BZ487" s="2" t="s">
        <v>100</v>
      </c>
    </row>
    <row r="488">
      <c r="A488" s="2" t="s">
        <v>1951</v>
      </c>
      <c r="B488" s="2" t="s">
        <v>87</v>
      </c>
      <c r="C488" s="2" t="s">
        <v>88</v>
      </c>
      <c r="D488" s="2" t="s">
        <v>89</v>
      </c>
      <c r="E488" s="2" t="s">
        <v>1944</v>
      </c>
      <c r="F488" s="2" t="s">
        <v>1945</v>
      </c>
      <c r="G488" s="2" t="s">
        <v>1946</v>
      </c>
      <c r="H488" s="2" t="s">
        <v>1947</v>
      </c>
      <c r="I488" s="2" t="s">
        <v>1948</v>
      </c>
      <c r="J488" s="2" t="s">
        <v>114</v>
      </c>
      <c r="K488" s="2" t="s">
        <v>185</v>
      </c>
      <c r="L488" s="3">
        <v>83.79</v>
      </c>
      <c r="M488" s="3">
        <v>87.98</v>
      </c>
      <c r="N488" s="3">
        <v>179.99</v>
      </c>
      <c r="O488" s="2" t="s">
        <v>97</v>
      </c>
      <c r="P488" s="2" t="s">
        <v>242</v>
      </c>
      <c r="Q488" s="2" t="s">
        <v>99</v>
      </c>
      <c r="R488" s="2" t="s">
        <v>100</v>
      </c>
      <c r="S488" s="2" t="s">
        <v>1949</v>
      </c>
      <c r="T488" s="2" t="s">
        <v>100</v>
      </c>
      <c r="U488" s="2" t="s">
        <v>1950</v>
      </c>
      <c r="V488" s="2" t="s">
        <v>632</v>
      </c>
      <c r="W488" s="2" t="s">
        <v>244</v>
      </c>
      <c r="X488" s="2" t="s">
        <v>285</v>
      </c>
      <c r="Y488" s="2" t="s">
        <v>131</v>
      </c>
      <c r="Z488" s="4">
        <v>1212</v>
      </c>
      <c r="AA488" s="4">
        <f>=ROUNDDOWN(55.0909090909091,0)</f>
      </c>
      <c r="AB488" s="5">
        <v>22</v>
      </c>
      <c r="AC488" s="2" t="s">
        <v>287</v>
      </c>
      <c r="AD488" s="4">
        <v>140</v>
      </c>
      <c r="AE488" s="4">
        <v>320</v>
      </c>
      <c r="AF488" s="6">
        <v>65</v>
      </c>
      <c r="AG488" s="6">
        <v>48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>
        <v>1</v>
      </c>
      <c r="AQ488" s="8">
        <v>99.56</v>
      </c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0.3072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>
        <v>29</v>
      </c>
      <c r="BK488" s="8">
        <v>2785.08</v>
      </c>
      <c r="BL488" s="2" t="s">
        <v>294</v>
      </c>
      <c r="BM488" s="7">
        <v>0.0345</v>
      </c>
      <c r="BN488" s="7">
        <v>0.0357</v>
      </c>
      <c r="BO488" s="4">
        <v>1</v>
      </c>
      <c r="BP488" s="8">
        <v>99.56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137</v>
      </c>
      <c r="BX488" s="2" t="s">
        <v>1952</v>
      </c>
      <c r="BY488" s="2" t="s">
        <v>112</v>
      </c>
      <c r="BZ488" s="2" t="s">
        <v>100</v>
      </c>
    </row>
    <row r="489">
      <c r="A489" s="2" t="s">
        <v>1953</v>
      </c>
      <c r="B489" s="2" t="s">
        <v>87</v>
      </c>
      <c r="C489" s="2" t="s">
        <v>88</v>
      </c>
      <c r="D489" s="2" t="s">
        <v>89</v>
      </c>
      <c r="E489" s="2" t="s">
        <v>1944</v>
      </c>
      <c r="F489" s="2" t="s">
        <v>1945</v>
      </c>
      <c r="G489" s="2" t="s">
        <v>1946</v>
      </c>
      <c r="H489" s="2" t="s">
        <v>1947</v>
      </c>
      <c r="I489" s="2" t="s">
        <v>1948</v>
      </c>
      <c r="J489" s="2" t="s">
        <v>120</v>
      </c>
      <c r="K489" s="2" t="s">
        <v>185</v>
      </c>
      <c r="L489" s="3">
        <v>94.5</v>
      </c>
      <c r="M489" s="3">
        <v>99.22</v>
      </c>
      <c r="N489" s="3">
        <v>199.99</v>
      </c>
      <c r="O489" s="2" t="s">
        <v>97</v>
      </c>
      <c r="P489" s="2" t="s">
        <v>242</v>
      </c>
      <c r="Q489" s="2" t="s">
        <v>99</v>
      </c>
      <c r="R489" s="2" t="s">
        <v>100</v>
      </c>
      <c r="S489" s="2" t="s">
        <v>1949</v>
      </c>
      <c r="T489" s="2" t="s">
        <v>100</v>
      </c>
      <c r="U489" s="2" t="s">
        <v>1950</v>
      </c>
      <c r="V489" s="2" t="s">
        <v>632</v>
      </c>
      <c r="W489" s="2" t="s">
        <v>244</v>
      </c>
      <c r="X489" s="2" t="s">
        <v>285</v>
      </c>
      <c r="Y489" s="2" t="s">
        <v>131</v>
      </c>
      <c r="Z489" s="4">
        <v>1565</v>
      </c>
      <c r="AA489" s="4">
        <f>=ROUNDDOWN(55.8928571428571,0)</f>
      </c>
      <c r="AB489" s="5">
        <v>28</v>
      </c>
      <c r="AC489" s="2" t="s">
        <v>287</v>
      </c>
      <c r="AD489" s="4">
        <v>210</v>
      </c>
      <c r="AE489" s="4">
        <v>560</v>
      </c>
      <c r="AF489" s="6">
        <v>65</v>
      </c>
      <c r="AG489" s="6">
        <v>48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>
        <v>2</v>
      </c>
      <c r="AQ489" s="8">
        <v>224.58</v>
      </c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0.6928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>
        <v>16</v>
      </c>
      <c r="BK489" s="8">
        <v>1606.43</v>
      </c>
      <c r="BL489" s="2" t="s">
        <v>1954</v>
      </c>
      <c r="BM489" s="7">
        <v>0.125</v>
      </c>
      <c r="BN489" s="7">
        <v>0.1398</v>
      </c>
      <c r="BO489" s="4">
        <v>2</v>
      </c>
      <c r="BP489" s="8">
        <v>224.58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137</v>
      </c>
      <c r="BX489" s="2" t="s">
        <v>1955</v>
      </c>
      <c r="BY489" s="2" t="s">
        <v>112</v>
      </c>
      <c r="BZ489" s="2" t="s">
        <v>100</v>
      </c>
    </row>
    <row r="490">
      <c r="A490" s="2" t="s">
        <v>1956</v>
      </c>
      <c r="B490" s="2" t="s">
        <v>87</v>
      </c>
      <c r="C490" s="2" t="s">
        <v>88</v>
      </c>
      <c r="D490" s="2" t="s">
        <v>89</v>
      </c>
      <c r="E490" s="2" t="s">
        <v>1944</v>
      </c>
      <c r="F490" s="2" t="s">
        <v>1945</v>
      </c>
      <c r="G490" s="2" t="s">
        <v>1946</v>
      </c>
      <c r="H490" s="2" t="s">
        <v>1947</v>
      </c>
      <c r="I490" s="2" t="s">
        <v>1948</v>
      </c>
      <c r="J490" s="2" t="s">
        <v>124</v>
      </c>
      <c r="K490" s="2" t="s">
        <v>185</v>
      </c>
      <c r="L490" s="3">
        <v>94.5</v>
      </c>
      <c r="M490" s="3">
        <v>99.22</v>
      </c>
      <c r="N490" s="3">
        <v>199.99</v>
      </c>
      <c r="O490" s="2" t="s">
        <v>97</v>
      </c>
      <c r="P490" s="2" t="s">
        <v>242</v>
      </c>
      <c r="Q490" s="2" t="s">
        <v>99</v>
      </c>
      <c r="R490" s="2" t="s">
        <v>100</v>
      </c>
      <c r="S490" s="2" t="s">
        <v>1949</v>
      </c>
      <c r="T490" s="2" t="s">
        <v>100</v>
      </c>
      <c r="U490" s="2" t="s">
        <v>1950</v>
      </c>
      <c r="V490" s="2" t="s">
        <v>632</v>
      </c>
      <c r="W490" s="2" t="s">
        <v>244</v>
      </c>
      <c r="X490" s="2" t="s">
        <v>285</v>
      </c>
      <c r="Y490" s="2" t="s">
        <v>131</v>
      </c>
      <c r="Z490" s="4">
        <v>536</v>
      </c>
      <c r="AA490" s="4">
        <f>=ROUNDDOWN(41.2307692307692,0)</f>
      </c>
      <c r="AB490" s="5">
        <v>13</v>
      </c>
      <c r="AC490" s="2" t="s">
        <v>287</v>
      </c>
      <c r="AD490" s="4">
        <v>60</v>
      </c>
      <c r="AE490" s="4">
        <v>180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 t="s">
        <v>100</v>
      </c>
      <c r="AW490" s="8" t="s">
        <v>100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/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 t="s">
        <v>100</v>
      </c>
      <c r="BJ490" s="4">
        <v>12</v>
      </c>
      <c r="BK490" s="8">
        <v>1030.05</v>
      </c>
      <c r="BL490" s="2" t="s">
        <v>725</v>
      </c>
      <c r="BM490" s="7"/>
      <c r="BN490" s="7"/>
      <c r="BO490" s="4"/>
      <c r="BP490" s="8"/>
      <c r="BQ490" s="4"/>
      <c r="BR490" s="8"/>
      <c r="BS490" s="7"/>
      <c r="BT490" s="7"/>
      <c r="BU490" s="2" t="s">
        <v>109</v>
      </c>
      <c r="BV490" s="2" t="s">
        <v>97</v>
      </c>
      <c r="BW490" s="2" t="s">
        <v>137</v>
      </c>
      <c r="BX490" s="2" t="s">
        <v>1311</v>
      </c>
      <c r="BY490" s="2" t="s">
        <v>112</v>
      </c>
      <c r="BZ490" s="2" t="s">
        <v>100</v>
      </c>
    </row>
    <row r="491">
      <c r="A491" s="2" t="s">
        <v>1957</v>
      </c>
      <c r="B491" s="2" t="s">
        <v>87</v>
      </c>
      <c r="C491" s="2" t="s">
        <v>88</v>
      </c>
      <c r="D491" s="2" t="s">
        <v>89</v>
      </c>
      <c r="E491" s="2" t="s">
        <v>1944</v>
      </c>
      <c r="F491" s="2" t="s">
        <v>1945</v>
      </c>
      <c r="G491" s="2" t="s">
        <v>1946</v>
      </c>
      <c r="H491" s="2" t="s">
        <v>1947</v>
      </c>
      <c r="I491" s="2" t="s">
        <v>1948</v>
      </c>
      <c r="J491" s="2" t="s">
        <v>95</v>
      </c>
      <c r="K491" s="2" t="s">
        <v>1958</v>
      </c>
      <c r="L491" s="3">
        <v>80.99</v>
      </c>
      <c r="M491" s="3">
        <v>85.04</v>
      </c>
      <c r="N491" s="3">
        <v>169.99</v>
      </c>
      <c r="O491" s="2" t="s">
        <v>97</v>
      </c>
      <c r="P491" s="2" t="s">
        <v>242</v>
      </c>
      <c r="Q491" s="2" t="s">
        <v>99</v>
      </c>
      <c r="R491" s="2" t="s">
        <v>100</v>
      </c>
      <c r="S491" s="2" t="s">
        <v>1959</v>
      </c>
      <c r="T491" s="2" t="s">
        <v>100</v>
      </c>
      <c r="U491" s="2" t="s">
        <v>1950</v>
      </c>
      <c r="V491" s="2" t="s">
        <v>632</v>
      </c>
      <c r="W491" s="2" t="s">
        <v>244</v>
      </c>
      <c r="X491" s="2" t="s">
        <v>285</v>
      </c>
      <c r="Y491" s="2" t="s">
        <v>131</v>
      </c>
      <c r="Z491" s="4">
        <v>290</v>
      </c>
      <c r="AA491" s="4">
        <f>=ROUNDDOWN(58,0)</f>
      </c>
      <c r="AB491" s="5">
        <v>5</v>
      </c>
      <c r="AC491" s="2" t="s">
        <v>840</v>
      </c>
      <c r="AD491" s="4">
        <v>30</v>
      </c>
      <c r="AE491" s="4">
        <v>30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>
        <v>1</v>
      </c>
      <c r="AW491" s="8">
        <v>115.76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/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>
        <v>0.1733</v>
      </c>
      <c r="BJ491" s="4">
        <v>7</v>
      </c>
      <c r="BK491" s="8">
        <v>621.2</v>
      </c>
      <c r="BL491" s="2" t="s">
        <v>333</v>
      </c>
      <c r="BM491" s="7"/>
      <c r="BN491" s="7"/>
      <c r="BO491" s="4"/>
      <c r="BP491" s="8"/>
      <c r="BQ491" s="4"/>
      <c r="BR491" s="8"/>
      <c r="BS491" s="7"/>
      <c r="BT491" s="7"/>
      <c r="BU491" s="2" t="s">
        <v>109</v>
      </c>
      <c r="BV491" s="2" t="s">
        <v>97</v>
      </c>
      <c r="BW491" s="2" t="s">
        <v>122</v>
      </c>
      <c r="BX491" s="2" t="s">
        <v>1960</v>
      </c>
      <c r="BY491" s="2" t="s">
        <v>112</v>
      </c>
      <c r="BZ491" s="2" t="s">
        <v>100</v>
      </c>
    </row>
    <row r="492">
      <c r="A492" s="2" t="s">
        <v>1961</v>
      </c>
      <c r="B492" s="2" t="s">
        <v>87</v>
      </c>
      <c r="C492" s="2" t="s">
        <v>88</v>
      </c>
      <c r="D492" s="2" t="s">
        <v>89</v>
      </c>
      <c r="E492" s="2" t="s">
        <v>1944</v>
      </c>
      <c r="F492" s="2" t="s">
        <v>1945</v>
      </c>
      <c r="G492" s="2" t="s">
        <v>1946</v>
      </c>
      <c r="H492" s="2" t="s">
        <v>1947</v>
      </c>
      <c r="I492" s="2" t="s">
        <v>1948</v>
      </c>
      <c r="J492" s="2" t="s">
        <v>114</v>
      </c>
      <c r="K492" s="2" t="s">
        <v>1958</v>
      </c>
      <c r="L492" s="3">
        <v>83.79</v>
      </c>
      <c r="M492" s="3">
        <v>87.98</v>
      </c>
      <c r="N492" s="3">
        <v>179.99</v>
      </c>
      <c r="O492" s="2" t="s">
        <v>97</v>
      </c>
      <c r="P492" s="2" t="s">
        <v>242</v>
      </c>
      <c r="Q492" s="2" t="s">
        <v>99</v>
      </c>
      <c r="R492" s="2" t="s">
        <v>100</v>
      </c>
      <c r="S492" s="2" t="s">
        <v>1959</v>
      </c>
      <c r="T492" s="2" t="s">
        <v>100</v>
      </c>
      <c r="U492" s="2" t="s">
        <v>1950</v>
      </c>
      <c r="V492" s="2" t="s">
        <v>632</v>
      </c>
      <c r="W492" s="2" t="s">
        <v>244</v>
      </c>
      <c r="X492" s="2" t="s">
        <v>285</v>
      </c>
      <c r="Y492" s="2" t="s">
        <v>131</v>
      </c>
      <c r="Z492" s="4">
        <v>933</v>
      </c>
      <c r="AA492" s="4">
        <f>=ROUNDDOWN(46.65,0)</f>
      </c>
      <c r="AB492" s="5">
        <v>20</v>
      </c>
      <c r="AC492" s="2" t="s">
        <v>1962</v>
      </c>
      <c r="AD492" s="4">
        <v>100</v>
      </c>
      <c r="AE492" s="4">
        <v>360</v>
      </c>
      <c r="AF492" s="6">
        <v>65</v>
      </c>
      <c r="AG492" s="6">
        <v>48</v>
      </c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 t="s">
        <v>100</v>
      </c>
      <c r="AW492" s="8" t="s">
        <v>100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/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 t="s">
        <v>100</v>
      </c>
      <c r="BJ492" s="4">
        <v>13</v>
      </c>
      <c r="BK492" s="8">
        <v>1165.18</v>
      </c>
      <c r="BL492" s="2" t="s">
        <v>1963</v>
      </c>
      <c r="BM492" s="7"/>
      <c r="BN492" s="7"/>
      <c r="BO492" s="4"/>
      <c r="BP492" s="8"/>
      <c r="BQ492" s="4"/>
      <c r="BR492" s="8"/>
      <c r="BS492" s="7"/>
      <c r="BT492" s="7"/>
      <c r="BU492" s="2" t="s">
        <v>109</v>
      </c>
      <c r="BV492" s="2" t="s">
        <v>97</v>
      </c>
      <c r="BW492" s="2" t="s">
        <v>137</v>
      </c>
      <c r="BX492" s="2" t="s">
        <v>1964</v>
      </c>
      <c r="BY492" s="2" t="s">
        <v>112</v>
      </c>
      <c r="BZ492" s="2" t="s">
        <v>100</v>
      </c>
    </row>
    <row r="493">
      <c r="A493" s="2" t="s">
        <v>1965</v>
      </c>
      <c r="B493" s="2" t="s">
        <v>87</v>
      </c>
      <c r="C493" s="2" t="s">
        <v>88</v>
      </c>
      <c r="D493" s="2" t="s">
        <v>89</v>
      </c>
      <c r="E493" s="2" t="s">
        <v>1944</v>
      </c>
      <c r="F493" s="2" t="s">
        <v>1945</v>
      </c>
      <c r="G493" s="2" t="s">
        <v>1946</v>
      </c>
      <c r="H493" s="2" t="s">
        <v>1947</v>
      </c>
      <c r="I493" s="2" t="s">
        <v>1948</v>
      </c>
      <c r="J493" s="2" t="s">
        <v>120</v>
      </c>
      <c r="K493" s="2" t="s">
        <v>1958</v>
      </c>
      <c r="L493" s="3">
        <v>94.5</v>
      </c>
      <c r="M493" s="3">
        <v>99.22</v>
      </c>
      <c r="N493" s="3">
        <v>199.99</v>
      </c>
      <c r="O493" s="2" t="s">
        <v>97</v>
      </c>
      <c r="P493" s="2" t="s">
        <v>242</v>
      </c>
      <c r="Q493" s="2" t="s">
        <v>99</v>
      </c>
      <c r="R493" s="2" t="s">
        <v>100</v>
      </c>
      <c r="S493" s="2" t="s">
        <v>1959</v>
      </c>
      <c r="T493" s="2" t="s">
        <v>100</v>
      </c>
      <c r="U493" s="2" t="s">
        <v>1950</v>
      </c>
      <c r="V493" s="2" t="s">
        <v>632</v>
      </c>
      <c r="W493" s="2" t="s">
        <v>244</v>
      </c>
      <c r="X493" s="2" t="s">
        <v>285</v>
      </c>
      <c r="Y493" s="2" t="s">
        <v>131</v>
      </c>
      <c r="Z493" s="4">
        <v>804</v>
      </c>
      <c r="AA493" s="4">
        <f>=ROUNDDOWN(38.2857142857143,0)</f>
      </c>
      <c r="AB493" s="5">
        <v>21</v>
      </c>
      <c r="AC493" s="2" t="s">
        <v>168</v>
      </c>
      <c r="AD493" s="4">
        <v>248</v>
      </c>
      <c r="AE493" s="4">
        <v>410</v>
      </c>
      <c r="AF493" s="6">
        <v>65</v>
      </c>
      <c r="AG493" s="6">
        <v>48</v>
      </c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1</v>
      </c>
      <c r="AQ493" s="8">
        <v>115.76</v>
      </c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1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 t="s">
        <v>100</v>
      </c>
      <c r="BJ493" s="4">
        <v>18</v>
      </c>
      <c r="BK493" s="8">
        <v>1815.04</v>
      </c>
      <c r="BL493" s="2" t="s">
        <v>1966</v>
      </c>
      <c r="BM493" s="7">
        <v>0.0556</v>
      </c>
      <c r="BN493" s="7">
        <v>0.0638</v>
      </c>
      <c r="BO493" s="4">
        <v>1</v>
      </c>
      <c r="BP493" s="8">
        <v>115.76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137</v>
      </c>
      <c r="BX493" s="2" t="s">
        <v>1967</v>
      </c>
      <c r="BY493" s="2" t="s">
        <v>112</v>
      </c>
      <c r="BZ493" s="2" t="s">
        <v>100</v>
      </c>
    </row>
    <row r="494">
      <c r="A494" s="2" t="s">
        <v>1968</v>
      </c>
      <c r="B494" s="2" t="s">
        <v>87</v>
      </c>
      <c r="C494" s="2" t="s">
        <v>88</v>
      </c>
      <c r="D494" s="2" t="s">
        <v>89</v>
      </c>
      <c r="E494" s="2" t="s">
        <v>1944</v>
      </c>
      <c r="F494" s="2" t="s">
        <v>1945</v>
      </c>
      <c r="G494" s="2" t="s">
        <v>1946</v>
      </c>
      <c r="H494" s="2" t="s">
        <v>1947</v>
      </c>
      <c r="I494" s="2" t="s">
        <v>1948</v>
      </c>
      <c r="J494" s="2" t="s">
        <v>124</v>
      </c>
      <c r="K494" s="2" t="s">
        <v>1958</v>
      </c>
      <c r="L494" s="3">
        <v>94.5</v>
      </c>
      <c r="M494" s="3">
        <v>99.22</v>
      </c>
      <c r="N494" s="3">
        <v>199.99</v>
      </c>
      <c r="O494" s="2" t="s">
        <v>97</v>
      </c>
      <c r="P494" s="2" t="s">
        <v>242</v>
      </c>
      <c r="Q494" s="2" t="s">
        <v>99</v>
      </c>
      <c r="R494" s="2" t="s">
        <v>100</v>
      </c>
      <c r="S494" s="2" t="s">
        <v>1959</v>
      </c>
      <c r="T494" s="2" t="s">
        <v>100</v>
      </c>
      <c r="U494" s="2" t="s">
        <v>1950</v>
      </c>
      <c r="V494" s="2" t="s">
        <v>632</v>
      </c>
      <c r="W494" s="2" t="s">
        <v>244</v>
      </c>
      <c r="X494" s="2" t="s">
        <v>285</v>
      </c>
      <c r="Y494" s="2" t="s">
        <v>131</v>
      </c>
      <c r="Z494" s="4">
        <v>440</v>
      </c>
      <c r="AA494" s="4">
        <f>=ROUNDDOWN(48.8888888888889,0)</f>
      </c>
      <c r="AB494" s="5">
        <v>9</v>
      </c>
      <c r="AC494" s="2" t="s">
        <v>1962</v>
      </c>
      <c r="AD494" s="4">
        <v>100</v>
      </c>
      <c r="AE494" s="4">
        <v>350</v>
      </c>
      <c r="AF494" s="6">
        <v>65</v>
      </c>
      <c r="AG494" s="6">
        <v>48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/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 t="s">
        <v>100</v>
      </c>
      <c r="BJ494" s="4">
        <v>3</v>
      </c>
      <c r="BK494" s="8">
        <v>345.78</v>
      </c>
      <c r="BL494" s="2" t="s">
        <v>927</v>
      </c>
      <c r="BM494" s="7"/>
      <c r="BN494" s="7"/>
      <c r="BO494" s="4"/>
      <c r="BP494" s="8"/>
      <c r="BQ494" s="4"/>
      <c r="BR494" s="8"/>
      <c r="BS494" s="7"/>
      <c r="BT494" s="7"/>
      <c r="BU494" s="2" t="s">
        <v>109</v>
      </c>
      <c r="BV494" s="2" t="s">
        <v>97</v>
      </c>
      <c r="BW494" s="2" t="s">
        <v>137</v>
      </c>
      <c r="BX494" s="2" t="s">
        <v>196</v>
      </c>
      <c r="BY494" s="2" t="s">
        <v>112</v>
      </c>
      <c r="BZ494" s="2" t="s">
        <v>100</v>
      </c>
    </row>
    <row r="495">
      <c r="A495" s="2" t="s">
        <v>1969</v>
      </c>
      <c r="B495" s="2" t="s">
        <v>87</v>
      </c>
      <c r="C495" s="2" t="s">
        <v>88</v>
      </c>
      <c r="D495" s="2" t="s">
        <v>89</v>
      </c>
      <c r="E495" s="2" t="s">
        <v>1944</v>
      </c>
      <c r="F495" s="2" t="s">
        <v>1945</v>
      </c>
      <c r="G495" s="2" t="s">
        <v>1946</v>
      </c>
      <c r="H495" s="2" t="s">
        <v>1947</v>
      </c>
      <c r="I495" s="2" t="s">
        <v>1948</v>
      </c>
      <c r="J495" s="2" t="s">
        <v>114</v>
      </c>
      <c r="K495" s="2" t="s">
        <v>1515</v>
      </c>
      <c r="L495" s="3">
        <v>83.79</v>
      </c>
      <c r="M495" s="3">
        <v>87.98</v>
      </c>
      <c r="N495" s="3">
        <v>179.99</v>
      </c>
      <c r="O495" s="2" t="s">
        <v>97</v>
      </c>
      <c r="P495" s="2" t="s">
        <v>98</v>
      </c>
      <c r="Q495" s="2" t="s">
        <v>99</v>
      </c>
      <c r="R495" s="2" t="s">
        <v>100</v>
      </c>
      <c r="S495" s="2" t="s">
        <v>1970</v>
      </c>
      <c r="T495" s="2" t="s">
        <v>1218</v>
      </c>
      <c r="U495" s="2" t="s">
        <v>1950</v>
      </c>
      <c r="V495" s="2" t="s">
        <v>632</v>
      </c>
      <c r="W495" s="2" t="s">
        <v>244</v>
      </c>
      <c r="X495" s="2" t="s">
        <v>100</v>
      </c>
      <c r="Y495" s="2" t="s">
        <v>1290</v>
      </c>
      <c r="Z495" s="4">
        <v>320</v>
      </c>
      <c r="AA495" s="4">
        <f>=ROUNDDOWN(53.3333333333333,0)</f>
      </c>
      <c r="AB495" s="5">
        <v>6</v>
      </c>
      <c r="AC495" s="2" t="s">
        <v>593</v>
      </c>
      <c r="AD495" s="4">
        <v>80</v>
      </c>
      <c r="AE495" s="4">
        <v>80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>
        <v>1</v>
      </c>
      <c r="AW495" s="8">
        <v>115.76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/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>
        <v>0.1733</v>
      </c>
      <c r="BJ495" s="4">
        <v>6</v>
      </c>
      <c r="BK495" s="8">
        <v>550.82</v>
      </c>
      <c r="BL495" s="2" t="s">
        <v>333</v>
      </c>
      <c r="BM495" s="7"/>
      <c r="BN495" s="7"/>
      <c r="BO495" s="4"/>
      <c r="BP495" s="8"/>
      <c r="BQ495" s="4"/>
      <c r="BR495" s="8"/>
      <c r="BS495" s="7"/>
      <c r="BT495" s="7"/>
      <c r="BU495" s="2" t="s">
        <v>109</v>
      </c>
      <c r="BV495" s="2" t="s">
        <v>97</v>
      </c>
      <c r="BW495" s="2" t="s">
        <v>1132</v>
      </c>
      <c r="BX495" s="2" t="s">
        <v>1765</v>
      </c>
      <c r="BY495" s="2" t="s">
        <v>112</v>
      </c>
      <c r="BZ495" s="2" t="s">
        <v>100</v>
      </c>
    </row>
    <row r="496">
      <c r="A496" s="2" t="s">
        <v>1971</v>
      </c>
      <c r="B496" s="2" t="s">
        <v>87</v>
      </c>
      <c r="C496" s="2" t="s">
        <v>88</v>
      </c>
      <c r="D496" s="2" t="s">
        <v>89</v>
      </c>
      <c r="E496" s="2" t="s">
        <v>1944</v>
      </c>
      <c r="F496" s="2" t="s">
        <v>1945</v>
      </c>
      <c r="G496" s="2" t="s">
        <v>1946</v>
      </c>
      <c r="H496" s="2" t="s">
        <v>1947</v>
      </c>
      <c r="I496" s="2" t="s">
        <v>1948</v>
      </c>
      <c r="J496" s="2" t="s">
        <v>120</v>
      </c>
      <c r="K496" s="2" t="s">
        <v>1515</v>
      </c>
      <c r="L496" s="3">
        <v>94.5</v>
      </c>
      <c r="M496" s="3">
        <v>99.22</v>
      </c>
      <c r="N496" s="3">
        <v>199.99</v>
      </c>
      <c r="O496" s="2" t="s">
        <v>97</v>
      </c>
      <c r="P496" s="2" t="s">
        <v>98</v>
      </c>
      <c r="Q496" s="2" t="s">
        <v>99</v>
      </c>
      <c r="R496" s="2" t="s">
        <v>100</v>
      </c>
      <c r="S496" s="2" t="s">
        <v>1970</v>
      </c>
      <c r="T496" s="2" t="s">
        <v>1218</v>
      </c>
      <c r="U496" s="2" t="s">
        <v>1950</v>
      </c>
      <c r="V496" s="2" t="s">
        <v>632</v>
      </c>
      <c r="W496" s="2" t="s">
        <v>244</v>
      </c>
      <c r="X496" s="2" t="s">
        <v>100</v>
      </c>
      <c r="Y496" s="2" t="s">
        <v>1290</v>
      </c>
      <c r="Z496" s="4">
        <v>296</v>
      </c>
      <c r="AA496" s="4">
        <f>=ROUNDDOWN(32.8888888888889,0)</f>
      </c>
      <c r="AB496" s="5">
        <v>9</v>
      </c>
      <c r="AC496" s="2" t="s">
        <v>168</v>
      </c>
      <c r="AD496" s="4">
        <v>90</v>
      </c>
      <c r="AE496" s="4">
        <v>240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1</v>
      </c>
      <c r="AQ496" s="8">
        <v>115.76</v>
      </c>
      <c r="AR496" s="4"/>
      <c r="AS496" s="8"/>
      <c r="AT496" s="7"/>
      <c r="AU496" s="7"/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1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 t="s">
        <v>100</v>
      </c>
      <c r="BJ496" s="4">
        <v>9</v>
      </c>
      <c r="BK496" s="8">
        <v>948.82</v>
      </c>
      <c r="BL496" s="2" t="s">
        <v>1972</v>
      </c>
      <c r="BM496" s="7">
        <v>0.1111</v>
      </c>
      <c r="BN496" s="7">
        <v>0.122</v>
      </c>
      <c r="BO496" s="4">
        <v>1</v>
      </c>
      <c r="BP496" s="8">
        <v>115.76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1132</v>
      </c>
      <c r="BX496" s="2" t="s">
        <v>814</v>
      </c>
      <c r="BY496" s="2" t="s">
        <v>112</v>
      </c>
      <c r="BZ496" s="2" t="s">
        <v>100</v>
      </c>
    </row>
    <row r="497">
      <c r="A497" s="2" t="s">
        <v>1973</v>
      </c>
      <c r="B497" s="2" t="s">
        <v>87</v>
      </c>
      <c r="C497" s="2" t="s">
        <v>88</v>
      </c>
      <c r="D497" s="2" t="s">
        <v>89</v>
      </c>
      <c r="E497" s="2" t="s">
        <v>1944</v>
      </c>
      <c r="F497" s="2" t="s">
        <v>1945</v>
      </c>
      <c r="G497" s="2" t="s">
        <v>1946</v>
      </c>
      <c r="H497" s="2" t="s">
        <v>1947</v>
      </c>
      <c r="I497" s="2" t="s">
        <v>1948</v>
      </c>
      <c r="J497" s="2" t="s">
        <v>124</v>
      </c>
      <c r="K497" s="2" t="s">
        <v>1515</v>
      </c>
      <c r="L497" s="3">
        <v>94.5</v>
      </c>
      <c r="M497" s="3">
        <v>99.22</v>
      </c>
      <c r="N497" s="3">
        <v>199.99</v>
      </c>
      <c r="O497" s="2" t="s">
        <v>97</v>
      </c>
      <c r="P497" s="2" t="s">
        <v>98</v>
      </c>
      <c r="Q497" s="2" t="s">
        <v>99</v>
      </c>
      <c r="R497" s="2" t="s">
        <v>100</v>
      </c>
      <c r="S497" s="2" t="s">
        <v>1970</v>
      </c>
      <c r="T497" s="2" t="s">
        <v>1218</v>
      </c>
      <c r="U497" s="2" t="s">
        <v>1950</v>
      </c>
      <c r="V497" s="2" t="s">
        <v>632</v>
      </c>
      <c r="W497" s="2" t="s">
        <v>244</v>
      </c>
      <c r="X497" s="2" t="s">
        <v>100</v>
      </c>
      <c r="Y497" s="2" t="s">
        <v>1290</v>
      </c>
      <c r="Z497" s="4">
        <v>114</v>
      </c>
      <c r="AA497" s="4">
        <f>=ROUNDDOWN(38,0)</f>
      </c>
      <c r="AB497" s="5">
        <v>3</v>
      </c>
      <c r="AC497" s="2" t="s">
        <v>168</v>
      </c>
      <c r="AD497" s="4">
        <v>50</v>
      </c>
      <c r="AE497" s="4">
        <v>110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/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5</v>
      </c>
      <c r="BK497" s="8">
        <v>543.4</v>
      </c>
      <c r="BL497" s="2" t="s">
        <v>1974</v>
      </c>
      <c r="BM497" s="7"/>
      <c r="BN497" s="7"/>
      <c r="BO497" s="4"/>
      <c r="BP497" s="8"/>
      <c r="BQ497" s="4"/>
      <c r="BR497" s="8"/>
      <c r="BS497" s="7"/>
      <c r="BT497" s="7"/>
      <c r="BU497" s="2" t="s">
        <v>109</v>
      </c>
      <c r="BV497" s="2" t="s">
        <v>97</v>
      </c>
      <c r="BW497" s="2" t="s">
        <v>1132</v>
      </c>
      <c r="BX497" s="2" t="s">
        <v>1975</v>
      </c>
      <c r="BY497" s="2" t="s">
        <v>112</v>
      </c>
      <c r="BZ497" s="2" t="s">
        <v>100</v>
      </c>
    </row>
    <row r="498">
      <c r="A498" s="2" t="s">
        <v>1976</v>
      </c>
      <c r="B498" s="2" t="s">
        <v>87</v>
      </c>
      <c r="C498" s="2" t="s">
        <v>88</v>
      </c>
      <c r="D498" s="2" t="s">
        <v>89</v>
      </c>
      <c r="E498" s="2" t="s">
        <v>1944</v>
      </c>
      <c r="F498" s="2" t="s">
        <v>1945</v>
      </c>
      <c r="G498" s="2" t="s">
        <v>1946</v>
      </c>
      <c r="H498" s="2" t="s">
        <v>1947</v>
      </c>
      <c r="I498" s="2" t="s">
        <v>1948</v>
      </c>
      <c r="J498" s="2" t="s">
        <v>114</v>
      </c>
      <c r="K498" s="2" t="s">
        <v>163</v>
      </c>
      <c r="L498" s="3">
        <v>83.79</v>
      </c>
      <c r="M498" s="3">
        <v>87.98</v>
      </c>
      <c r="N498" s="3">
        <v>179.99</v>
      </c>
      <c r="O498" s="2" t="s">
        <v>97</v>
      </c>
      <c r="P498" s="2" t="s">
        <v>242</v>
      </c>
      <c r="Q498" s="2" t="s">
        <v>99</v>
      </c>
      <c r="R498" s="2" t="s">
        <v>100</v>
      </c>
      <c r="S498" s="2" t="s">
        <v>1977</v>
      </c>
      <c r="T498" s="2" t="s">
        <v>100</v>
      </c>
      <c r="U498" s="2" t="s">
        <v>1950</v>
      </c>
      <c r="V498" s="2" t="s">
        <v>632</v>
      </c>
      <c r="W498" s="2" t="s">
        <v>244</v>
      </c>
      <c r="X498" s="2" t="s">
        <v>285</v>
      </c>
      <c r="Y498" s="2" t="s">
        <v>619</v>
      </c>
      <c r="Z498" s="4">
        <v>1188</v>
      </c>
      <c r="AA498" s="4">
        <f>=ROUNDDOWN(54,0)</f>
      </c>
      <c r="AB498" s="5">
        <v>22</v>
      </c>
      <c r="AC498" s="2" t="s">
        <v>553</v>
      </c>
      <c r="AD498" s="4">
        <v>50</v>
      </c>
      <c r="AE498" s="4">
        <v>50</v>
      </c>
      <c r="AF498" s="6">
        <v>65</v>
      </c>
      <c r="AG498" s="6">
        <v>48</v>
      </c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/>
      <c r="AQ498" s="8"/>
      <c r="AR498" s="4"/>
      <c r="AS498" s="8"/>
      <c r="AT498" s="7"/>
      <c r="AU498" s="7"/>
      <c r="AV498" s="4">
        <v>1</v>
      </c>
      <c r="AW498" s="8">
        <v>112.29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/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>
        <v>0.1681</v>
      </c>
      <c r="BJ498" s="4">
        <v>48</v>
      </c>
      <c r="BK498" s="8">
        <v>4477.57</v>
      </c>
      <c r="BL498" s="2" t="s">
        <v>1447</v>
      </c>
      <c r="BM498" s="7"/>
      <c r="BN498" s="7"/>
      <c r="BO498" s="4"/>
      <c r="BP498" s="8"/>
      <c r="BQ498" s="4"/>
      <c r="BR498" s="8"/>
      <c r="BS498" s="7"/>
      <c r="BT498" s="7"/>
      <c r="BU498" s="2" t="s">
        <v>109</v>
      </c>
      <c r="BV498" s="2" t="s">
        <v>97</v>
      </c>
      <c r="BW498" s="2" t="s">
        <v>122</v>
      </c>
      <c r="BX498" s="2" t="s">
        <v>216</v>
      </c>
      <c r="BY498" s="2" t="s">
        <v>112</v>
      </c>
      <c r="BZ498" s="2" t="s">
        <v>100</v>
      </c>
    </row>
    <row r="499">
      <c r="A499" s="2" t="s">
        <v>1978</v>
      </c>
      <c r="B499" s="2" t="s">
        <v>87</v>
      </c>
      <c r="C499" s="2" t="s">
        <v>88</v>
      </c>
      <c r="D499" s="2" t="s">
        <v>89</v>
      </c>
      <c r="E499" s="2" t="s">
        <v>1944</v>
      </c>
      <c r="F499" s="2" t="s">
        <v>1945</v>
      </c>
      <c r="G499" s="2" t="s">
        <v>1946</v>
      </c>
      <c r="H499" s="2" t="s">
        <v>1947</v>
      </c>
      <c r="I499" s="2" t="s">
        <v>1948</v>
      </c>
      <c r="J499" s="2" t="s">
        <v>120</v>
      </c>
      <c r="K499" s="2" t="s">
        <v>163</v>
      </c>
      <c r="L499" s="3">
        <v>94.5</v>
      </c>
      <c r="M499" s="3">
        <v>99.22</v>
      </c>
      <c r="N499" s="3">
        <v>199.99</v>
      </c>
      <c r="O499" s="2" t="s">
        <v>97</v>
      </c>
      <c r="P499" s="2" t="s">
        <v>242</v>
      </c>
      <c r="Q499" s="2" t="s">
        <v>99</v>
      </c>
      <c r="R499" s="2" t="s">
        <v>100</v>
      </c>
      <c r="S499" s="2" t="s">
        <v>1977</v>
      </c>
      <c r="T499" s="2" t="s">
        <v>100</v>
      </c>
      <c r="U499" s="2" t="s">
        <v>1950</v>
      </c>
      <c r="V499" s="2" t="s">
        <v>632</v>
      </c>
      <c r="W499" s="2" t="s">
        <v>244</v>
      </c>
      <c r="X499" s="2" t="s">
        <v>285</v>
      </c>
      <c r="Y499" s="2" t="s">
        <v>619</v>
      </c>
      <c r="Z499" s="4">
        <v>869</v>
      </c>
      <c r="AA499" s="4">
        <f>=ROUNDDOWN(28.0322580645161,0)</f>
      </c>
      <c r="AB499" s="5">
        <v>31</v>
      </c>
      <c r="AC499" s="2" t="s">
        <v>553</v>
      </c>
      <c r="AD499" s="4">
        <v>50</v>
      </c>
      <c r="AE499" s="4">
        <v>350</v>
      </c>
      <c r="AF499" s="6">
        <v>65</v>
      </c>
      <c r="AG499" s="6">
        <v>48</v>
      </c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1</v>
      </c>
      <c r="AQ499" s="8">
        <v>112.29</v>
      </c>
      <c r="AR499" s="4"/>
      <c r="AS499" s="8"/>
      <c r="AT499" s="7"/>
      <c r="AU499" s="7"/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1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 t="s">
        <v>100</v>
      </c>
      <c r="BJ499" s="4">
        <v>72</v>
      </c>
      <c r="BK499" s="8">
        <v>7933.07</v>
      </c>
      <c r="BL499" s="2" t="s">
        <v>1979</v>
      </c>
      <c r="BM499" s="7">
        <v>0.0139</v>
      </c>
      <c r="BN499" s="7">
        <v>0.0142</v>
      </c>
      <c r="BO499" s="4">
        <v>1</v>
      </c>
      <c r="BP499" s="8">
        <v>112.29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122</v>
      </c>
      <c r="BX499" s="2" t="s">
        <v>1980</v>
      </c>
      <c r="BY499" s="2" t="s">
        <v>112</v>
      </c>
      <c r="BZ499" s="2" t="s">
        <v>100</v>
      </c>
    </row>
    <row r="500">
      <c r="A500" s="2" t="s">
        <v>1981</v>
      </c>
      <c r="B500" s="2" t="s">
        <v>87</v>
      </c>
      <c r="C500" s="2" t="s">
        <v>88</v>
      </c>
      <c r="D500" s="2" t="s">
        <v>89</v>
      </c>
      <c r="E500" s="2" t="s">
        <v>1944</v>
      </c>
      <c r="F500" s="2" t="s">
        <v>1945</v>
      </c>
      <c r="G500" s="2" t="s">
        <v>1946</v>
      </c>
      <c r="H500" s="2" t="s">
        <v>1947</v>
      </c>
      <c r="I500" s="2" t="s">
        <v>1948</v>
      </c>
      <c r="J500" s="2" t="s">
        <v>124</v>
      </c>
      <c r="K500" s="2" t="s">
        <v>163</v>
      </c>
      <c r="L500" s="3">
        <v>94.5</v>
      </c>
      <c r="M500" s="3">
        <v>99.22</v>
      </c>
      <c r="N500" s="3">
        <v>199.99</v>
      </c>
      <c r="O500" s="2" t="s">
        <v>97</v>
      </c>
      <c r="P500" s="2" t="s">
        <v>242</v>
      </c>
      <c r="Q500" s="2" t="s">
        <v>99</v>
      </c>
      <c r="R500" s="2" t="s">
        <v>100</v>
      </c>
      <c r="S500" s="2" t="s">
        <v>1977</v>
      </c>
      <c r="T500" s="2" t="s">
        <v>100</v>
      </c>
      <c r="U500" s="2" t="s">
        <v>1950</v>
      </c>
      <c r="V500" s="2" t="s">
        <v>632</v>
      </c>
      <c r="W500" s="2" t="s">
        <v>244</v>
      </c>
      <c r="X500" s="2" t="s">
        <v>285</v>
      </c>
      <c r="Y500" s="2" t="s">
        <v>619</v>
      </c>
      <c r="Z500" s="4">
        <v>543</v>
      </c>
      <c r="AA500" s="4">
        <f>=ROUNDDOWN(41.7692307692308,0)</f>
      </c>
      <c r="AB500" s="5">
        <v>13</v>
      </c>
      <c r="AC500" s="2" t="s">
        <v>100</v>
      </c>
      <c r="AD500" s="4"/>
      <c r="AE500" s="4"/>
      <c r="AF500" s="6">
        <v>65</v>
      </c>
      <c r="AG500" s="6">
        <v>48</v>
      </c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/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 t="s">
        <v>100</v>
      </c>
      <c r="BJ500" s="4">
        <v>27</v>
      </c>
      <c r="BK500" s="8">
        <v>2975.13</v>
      </c>
      <c r="BL500" s="2" t="s">
        <v>333</v>
      </c>
      <c r="BM500" s="7"/>
      <c r="BN500" s="7"/>
      <c r="BO500" s="4"/>
      <c r="BP500" s="8"/>
      <c r="BQ500" s="4"/>
      <c r="BR500" s="8"/>
      <c r="BS500" s="7"/>
      <c r="BT500" s="7"/>
      <c r="BU500" s="2" t="s">
        <v>109</v>
      </c>
      <c r="BV500" s="2" t="s">
        <v>97</v>
      </c>
      <c r="BW500" s="2" t="s">
        <v>122</v>
      </c>
      <c r="BX500" s="2" t="s">
        <v>1013</v>
      </c>
      <c r="BY500" s="2" t="s">
        <v>112</v>
      </c>
      <c r="BZ500" s="2" t="s">
        <v>100</v>
      </c>
    </row>
    <row r="501">
      <c r="A501" s="2" t="s">
        <v>1982</v>
      </c>
      <c r="B501" s="2" t="s">
        <v>87</v>
      </c>
      <c r="C501" s="2" t="s">
        <v>88</v>
      </c>
      <c r="D501" s="2" t="s">
        <v>89</v>
      </c>
      <c r="E501" s="2" t="s">
        <v>1944</v>
      </c>
      <c r="F501" s="2" t="s">
        <v>1945</v>
      </c>
      <c r="G501" s="2" t="s">
        <v>1946</v>
      </c>
      <c r="H501" s="2" t="s">
        <v>1947</v>
      </c>
      <c r="I501" s="2" t="s">
        <v>1948</v>
      </c>
      <c r="J501" s="2" t="s">
        <v>114</v>
      </c>
      <c r="K501" s="2" t="s">
        <v>434</v>
      </c>
      <c r="L501" s="3">
        <v>83.79</v>
      </c>
      <c r="M501" s="3">
        <v>87.98</v>
      </c>
      <c r="N501" s="3">
        <v>179.99</v>
      </c>
      <c r="O501" s="2" t="s">
        <v>97</v>
      </c>
      <c r="P501" s="2" t="s">
        <v>98</v>
      </c>
      <c r="Q501" s="2" t="s">
        <v>99</v>
      </c>
      <c r="R501" s="2" t="s">
        <v>100</v>
      </c>
      <c r="S501" s="2" t="s">
        <v>1983</v>
      </c>
      <c r="T501" s="2" t="s">
        <v>100</v>
      </c>
      <c r="U501" s="2" t="s">
        <v>1950</v>
      </c>
      <c r="V501" s="2" t="s">
        <v>632</v>
      </c>
      <c r="W501" s="2" t="s">
        <v>244</v>
      </c>
      <c r="X501" s="2" t="s">
        <v>285</v>
      </c>
      <c r="Y501" s="2" t="s">
        <v>131</v>
      </c>
      <c r="Z501" s="4">
        <v>407</v>
      </c>
      <c r="AA501" s="4">
        <f>=ROUNDDOWN(33.9166666666667,0)</f>
      </c>
      <c r="AB501" s="5">
        <v>12</v>
      </c>
      <c r="AC501" s="2" t="s">
        <v>400</v>
      </c>
      <c r="AD501" s="4">
        <v>170</v>
      </c>
      <c r="AE501" s="4">
        <v>170</v>
      </c>
      <c r="AF501" s="6">
        <v>65</v>
      </c>
      <c r="AG501" s="6">
        <v>48</v>
      </c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/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 t="s">
        <v>100</v>
      </c>
      <c r="BJ501" s="4">
        <v>16</v>
      </c>
      <c r="BK501" s="8">
        <v>1473.58</v>
      </c>
      <c r="BL501" s="2" t="s">
        <v>1984</v>
      </c>
      <c r="BM501" s="7"/>
      <c r="BN501" s="7"/>
      <c r="BO501" s="4"/>
      <c r="BP501" s="8"/>
      <c r="BQ501" s="4"/>
      <c r="BR501" s="8"/>
      <c r="BS501" s="7"/>
      <c r="BT501" s="7"/>
      <c r="BU501" s="2" t="s">
        <v>109</v>
      </c>
      <c r="BV501" s="2" t="s">
        <v>97</v>
      </c>
      <c r="BW501" s="2" t="s">
        <v>137</v>
      </c>
      <c r="BX501" s="2" t="s">
        <v>170</v>
      </c>
      <c r="BY501" s="2" t="s">
        <v>112</v>
      </c>
      <c r="BZ501" s="2" t="s">
        <v>100</v>
      </c>
    </row>
    <row r="502">
      <c r="A502" s="2" t="s">
        <v>1985</v>
      </c>
      <c r="B502" s="2" t="s">
        <v>87</v>
      </c>
      <c r="C502" s="2" t="s">
        <v>88</v>
      </c>
      <c r="D502" s="2" t="s">
        <v>89</v>
      </c>
      <c r="E502" s="2" t="s">
        <v>1944</v>
      </c>
      <c r="F502" s="2" t="s">
        <v>1945</v>
      </c>
      <c r="G502" s="2" t="s">
        <v>1946</v>
      </c>
      <c r="H502" s="2" t="s">
        <v>1947</v>
      </c>
      <c r="I502" s="2" t="s">
        <v>1948</v>
      </c>
      <c r="J502" s="2" t="s">
        <v>120</v>
      </c>
      <c r="K502" s="2" t="s">
        <v>434</v>
      </c>
      <c r="L502" s="3">
        <v>94.5</v>
      </c>
      <c r="M502" s="3">
        <v>99.22</v>
      </c>
      <c r="N502" s="3">
        <v>199.99</v>
      </c>
      <c r="O502" s="2" t="s">
        <v>97</v>
      </c>
      <c r="P502" s="2" t="s">
        <v>98</v>
      </c>
      <c r="Q502" s="2" t="s">
        <v>99</v>
      </c>
      <c r="R502" s="2" t="s">
        <v>100</v>
      </c>
      <c r="S502" s="2" t="s">
        <v>1983</v>
      </c>
      <c r="T502" s="2" t="s">
        <v>100</v>
      </c>
      <c r="U502" s="2" t="s">
        <v>1950</v>
      </c>
      <c r="V502" s="2" t="s">
        <v>632</v>
      </c>
      <c r="W502" s="2" t="s">
        <v>244</v>
      </c>
      <c r="X502" s="2" t="s">
        <v>285</v>
      </c>
      <c r="Y502" s="2" t="s">
        <v>131</v>
      </c>
      <c r="Z502" s="4">
        <v>674</v>
      </c>
      <c r="AA502" s="4">
        <f>=ROUNDDOWN(61.2727272727273,0)</f>
      </c>
      <c r="AB502" s="5">
        <v>11</v>
      </c>
      <c r="AC502" s="2" t="s">
        <v>100</v>
      </c>
      <c r="AD502" s="4"/>
      <c r="AE502" s="4"/>
      <c r="AF502" s="6">
        <v>65</v>
      </c>
      <c r="AG502" s="6">
        <v>48</v>
      </c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/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 t="s">
        <v>100</v>
      </c>
      <c r="BJ502" s="4">
        <v>11</v>
      </c>
      <c r="BK502" s="8">
        <v>1157.92</v>
      </c>
      <c r="BL502" s="2" t="s">
        <v>1986</v>
      </c>
      <c r="BM502" s="7"/>
      <c r="BN502" s="7"/>
      <c r="BO502" s="4"/>
      <c r="BP502" s="8"/>
      <c r="BQ502" s="4"/>
      <c r="BR502" s="8"/>
      <c r="BS502" s="7"/>
      <c r="BT502" s="7"/>
      <c r="BU502" s="2" t="s">
        <v>109</v>
      </c>
      <c r="BV502" s="2" t="s">
        <v>97</v>
      </c>
      <c r="BW502" s="2" t="s">
        <v>137</v>
      </c>
      <c r="BX502" s="2" t="s">
        <v>457</v>
      </c>
      <c r="BY502" s="2" t="s">
        <v>112</v>
      </c>
      <c r="BZ502" s="2" t="s">
        <v>100</v>
      </c>
    </row>
    <row r="503">
      <c r="A503" s="2" t="s">
        <v>1987</v>
      </c>
      <c r="B503" s="2" t="s">
        <v>87</v>
      </c>
      <c r="C503" s="2" t="s">
        <v>88</v>
      </c>
      <c r="D503" s="2" t="s">
        <v>89</v>
      </c>
      <c r="E503" s="2" t="s">
        <v>1944</v>
      </c>
      <c r="F503" s="2" t="s">
        <v>1945</v>
      </c>
      <c r="G503" s="2" t="s">
        <v>1946</v>
      </c>
      <c r="H503" s="2" t="s">
        <v>1947</v>
      </c>
      <c r="I503" s="2" t="s">
        <v>1948</v>
      </c>
      <c r="J503" s="2" t="s">
        <v>124</v>
      </c>
      <c r="K503" s="2" t="s">
        <v>434</v>
      </c>
      <c r="L503" s="3">
        <v>94.5</v>
      </c>
      <c r="M503" s="3">
        <v>99.22</v>
      </c>
      <c r="N503" s="3">
        <v>199.99</v>
      </c>
      <c r="O503" s="2" t="s">
        <v>97</v>
      </c>
      <c r="P503" s="2" t="s">
        <v>98</v>
      </c>
      <c r="Q503" s="2" t="s">
        <v>99</v>
      </c>
      <c r="R503" s="2" t="s">
        <v>100</v>
      </c>
      <c r="S503" s="2" t="s">
        <v>1983</v>
      </c>
      <c r="T503" s="2" t="s">
        <v>100</v>
      </c>
      <c r="U503" s="2" t="s">
        <v>1950</v>
      </c>
      <c r="V503" s="2" t="s">
        <v>632</v>
      </c>
      <c r="W503" s="2" t="s">
        <v>244</v>
      </c>
      <c r="X503" s="2" t="s">
        <v>285</v>
      </c>
      <c r="Y503" s="2" t="s">
        <v>131</v>
      </c>
      <c r="Z503" s="4">
        <v>328</v>
      </c>
      <c r="AA503" s="4">
        <f>=ROUNDDOWN(54.6666666666667,0)</f>
      </c>
      <c r="AB503" s="5">
        <v>6</v>
      </c>
      <c r="AC503" s="2" t="s">
        <v>100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/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>
        <v>4</v>
      </c>
      <c r="BK503" s="8">
        <v>465.27</v>
      </c>
      <c r="BL503" s="2" t="s">
        <v>1988</v>
      </c>
      <c r="BM503" s="7"/>
      <c r="BN503" s="7"/>
      <c r="BO503" s="4"/>
      <c r="BP503" s="8"/>
      <c r="BQ503" s="4"/>
      <c r="BR503" s="8"/>
      <c r="BS503" s="7"/>
      <c r="BT503" s="7"/>
      <c r="BU503" s="2" t="s">
        <v>109</v>
      </c>
      <c r="BV503" s="2" t="s">
        <v>97</v>
      </c>
      <c r="BW503" s="2" t="s">
        <v>137</v>
      </c>
      <c r="BX503" s="2" t="s">
        <v>1491</v>
      </c>
      <c r="BY503" s="2" t="s">
        <v>112</v>
      </c>
      <c r="BZ503" s="2" t="s">
        <v>100</v>
      </c>
    </row>
    <row r="504">
      <c r="A504" s="2" t="s">
        <v>1989</v>
      </c>
      <c r="B504" s="2" t="s">
        <v>87</v>
      </c>
      <c r="C504" s="2" t="s">
        <v>88</v>
      </c>
      <c r="D504" s="2" t="s">
        <v>89</v>
      </c>
      <c r="E504" s="2" t="s">
        <v>1944</v>
      </c>
      <c r="F504" s="2" t="s">
        <v>1990</v>
      </c>
      <c r="G504" s="2" t="s">
        <v>1991</v>
      </c>
      <c r="H504" s="2" t="s">
        <v>1992</v>
      </c>
      <c r="I504" s="2" t="s">
        <v>1993</v>
      </c>
      <c r="J504" s="2" t="s">
        <v>114</v>
      </c>
      <c r="K504" s="2" t="s">
        <v>1746</v>
      </c>
      <c r="L504" s="3">
        <v>70.5</v>
      </c>
      <c r="M504" s="3">
        <v>74.02</v>
      </c>
      <c r="N504" s="3">
        <v>149.99</v>
      </c>
      <c r="O504" s="2" t="s">
        <v>97</v>
      </c>
      <c r="P504" s="2" t="s">
        <v>242</v>
      </c>
      <c r="Q504" s="2" t="s">
        <v>99</v>
      </c>
      <c r="R504" s="2" t="s">
        <v>100</v>
      </c>
      <c r="S504" s="2" t="s">
        <v>1994</v>
      </c>
      <c r="T504" s="2" t="s">
        <v>100</v>
      </c>
      <c r="U504" s="2" t="s">
        <v>1950</v>
      </c>
      <c r="V504" s="2" t="s">
        <v>284</v>
      </c>
      <c r="W504" s="2" t="s">
        <v>244</v>
      </c>
      <c r="X504" s="2" t="s">
        <v>285</v>
      </c>
      <c r="Y504" s="2" t="s">
        <v>1995</v>
      </c>
      <c r="Z504" s="4">
        <v>530</v>
      </c>
      <c r="AA504" s="4">
        <f>=ROUNDDOWN(26.5,0)</f>
      </c>
      <c r="AB504" s="5">
        <v>20</v>
      </c>
      <c r="AC504" s="2" t="s">
        <v>583</v>
      </c>
      <c r="AD504" s="4">
        <v>160</v>
      </c>
      <c r="AE504" s="4">
        <v>160</v>
      </c>
      <c r="AF504" s="6">
        <v>65</v>
      </c>
      <c r="AG504" s="6">
        <v>48</v>
      </c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3</v>
      </c>
      <c r="AQ504" s="8">
        <v>226.2</v>
      </c>
      <c r="AR504" s="4"/>
      <c r="AS504" s="8"/>
      <c r="AT504" s="7"/>
      <c r="AU504" s="7"/>
      <c r="AV504" s="4">
        <v>5</v>
      </c>
      <c r="AW504" s="8">
        <v>396.98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0.5698</v>
      </c>
      <c r="BC504" s="4">
        <v>6</v>
      </c>
      <c r="BD504" s="8">
        <v>474.71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>
        <v>0.8363</v>
      </c>
      <c r="BJ504" s="4">
        <v>19</v>
      </c>
      <c r="BK504" s="8">
        <v>1462.88</v>
      </c>
      <c r="BL504" s="2" t="s">
        <v>1996</v>
      </c>
      <c r="BM504" s="7">
        <v>0.1579</v>
      </c>
      <c r="BN504" s="7">
        <v>0.1546</v>
      </c>
      <c r="BO504" s="4">
        <v>3</v>
      </c>
      <c r="BP504" s="8">
        <v>226.2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266</v>
      </c>
      <c r="BX504" s="2" t="s">
        <v>1997</v>
      </c>
      <c r="BY504" s="2" t="s">
        <v>112</v>
      </c>
      <c r="BZ504" s="2" t="s">
        <v>100</v>
      </c>
    </row>
    <row r="505">
      <c r="A505" s="2" t="s">
        <v>1998</v>
      </c>
      <c r="B505" s="2" t="s">
        <v>87</v>
      </c>
      <c r="C505" s="2" t="s">
        <v>88</v>
      </c>
      <c r="D505" s="2" t="s">
        <v>89</v>
      </c>
      <c r="E505" s="2" t="s">
        <v>1944</v>
      </c>
      <c r="F505" s="2" t="s">
        <v>1990</v>
      </c>
      <c r="G505" s="2" t="s">
        <v>1991</v>
      </c>
      <c r="H505" s="2" t="s">
        <v>1992</v>
      </c>
      <c r="I505" s="2" t="s">
        <v>1993</v>
      </c>
      <c r="J505" s="2" t="s">
        <v>120</v>
      </c>
      <c r="K505" s="2" t="s">
        <v>1746</v>
      </c>
      <c r="L505" s="3">
        <v>79.85</v>
      </c>
      <c r="M505" s="3">
        <v>83.85</v>
      </c>
      <c r="N505" s="3">
        <v>169.9</v>
      </c>
      <c r="O505" s="2" t="s">
        <v>97</v>
      </c>
      <c r="P505" s="2" t="s">
        <v>242</v>
      </c>
      <c r="Q505" s="2" t="s">
        <v>99</v>
      </c>
      <c r="R505" s="2" t="s">
        <v>100</v>
      </c>
      <c r="S505" s="2" t="s">
        <v>1994</v>
      </c>
      <c r="T505" s="2" t="s">
        <v>100</v>
      </c>
      <c r="U505" s="2" t="s">
        <v>1950</v>
      </c>
      <c r="V505" s="2" t="s">
        <v>284</v>
      </c>
      <c r="W505" s="2" t="s">
        <v>244</v>
      </c>
      <c r="X505" s="2" t="s">
        <v>285</v>
      </c>
      <c r="Y505" s="2" t="s">
        <v>1995</v>
      </c>
      <c r="Z505" s="4">
        <v>548</v>
      </c>
      <c r="AA505" s="4">
        <f>=ROUNDDOWN(23.8260869565217,0)</f>
      </c>
      <c r="AB505" s="5">
        <v>23</v>
      </c>
      <c r="AC505" s="2" t="s">
        <v>583</v>
      </c>
      <c r="AD505" s="4">
        <v>210</v>
      </c>
      <c r="AE505" s="4">
        <v>210</v>
      </c>
      <c r="AF505" s="6">
        <v>65</v>
      </c>
      <c r="AG505" s="6">
        <v>48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2</v>
      </c>
      <c r="AQ505" s="8">
        <v>170.78</v>
      </c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0.4302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11</v>
      </c>
      <c r="BK505" s="8">
        <v>970.83</v>
      </c>
      <c r="BL505" s="2" t="s">
        <v>1999</v>
      </c>
      <c r="BM505" s="7">
        <v>0.1818</v>
      </c>
      <c r="BN505" s="7">
        <v>0.1759</v>
      </c>
      <c r="BO505" s="4">
        <v>2</v>
      </c>
      <c r="BP505" s="8">
        <v>170.78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266</v>
      </c>
      <c r="BX505" s="2" t="s">
        <v>2000</v>
      </c>
      <c r="BY505" s="2" t="s">
        <v>112</v>
      </c>
      <c r="BZ505" s="2" t="s">
        <v>100</v>
      </c>
    </row>
    <row r="506">
      <c r="A506" s="2" t="s">
        <v>2001</v>
      </c>
      <c r="B506" s="2" t="s">
        <v>87</v>
      </c>
      <c r="C506" s="2" t="s">
        <v>88</v>
      </c>
      <c r="D506" s="2" t="s">
        <v>89</v>
      </c>
      <c r="E506" s="2" t="s">
        <v>1944</v>
      </c>
      <c r="F506" s="2" t="s">
        <v>1990</v>
      </c>
      <c r="G506" s="2" t="s">
        <v>1991</v>
      </c>
      <c r="H506" s="2" t="s">
        <v>1992</v>
      </c>
      <c r="I506" s="2" t="s">
        <v>1993</v>
      </c>
      <c r="J506" s="2" t="s">
        <v>124</v>
      </c>
      <c r="K506" s="2" t="s">
        <v>1746</v>
      </c>
      <c r="L506" s="3">
        <v>79.9</v>
      </c>
      <c r="M506" s="3">
        <v>83.89</v>
      </c>
      <c r="N506" s="3">
        <v>169.99</v>
      </c>
      <c r="O506" s="2" t="s">
        <v>97</v>
      </c>
      <c r="P506" s="2" t="s">
        <v>242</v>
      </c>
      <c r="Q506" s="2" t="s">
        <v>99</v>
      </c>
      <c r="R506" s="2" t="s">
        <v>100</v>
      </c>
      <c r="S506" s="2" t="s">
        <v>1994</v>
      </c>
      <c r="T506" s="2" t="s">
        <v>100</v>
      </c>
      <c r="U506" s="2" t="s">
        <v>1950</v>
      </c>
      <c r="V506" s="2" t="s">
        <v>284</v>
      </c>
      <c r="W506" s="2" t="s">
        <v>244</v>
      </c>
      <c r="X506" s="2" t="s">
        <v>285</v>
      </c>
      <c r="Y506" s="2" t="s">
        <v>2002</v>
      </c>
      <c r="Z506" s="4">
        <v>339</v>
      </c>
      <c r="AA506" s="4">
        <f>=ROUNDDOWN(26.0769230769231,0)</f>
      </c>
      <c r="AB506" s="5">
        <v>13</v>
      </c>
      <c r="AC506" s="2" t="s">
        <v>583</v>
      </c>
      <c r="AD506" s="4">
        <v>110</v>
      </c>
      <c r="AE506" s="4">
        <v>110</v>
      </c>
      <c r="AF506" s="6">
        <v>65</v>
      </c>
      <c r="AG506" s="6">
        <v>48</v>
      </c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/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 t="s">
        <v>100</v>
      </c>
      <c r="BJ506" s="4">
        <v>7</v>
      </c>
      <c r="BK506" s="8">
        <v>683.9</v>
      </c>
      <c r="BL506" s="2" t="s">
        <v>2003</v>
      </c>
      <c r="BM506" s="7"/>
      <c r="BN506" s="7"/>
      <c r="BO506" s="4"/>
      <c r="BP506" s="8"/>
      <c r="BQ506" s="4"/>
      <c r="BR506" s="8"/>
      <c r="BS506" s="7"/>
      <c r="BT506" s="7"/>
      <c r="BU506" s="2" t="s">
        <v>109</v>
      </c>
      <c r="BV506" s="2" t="s">
        <v>97</v>
      </c>
      <c r="BW506" s="2" t="s">
        <v>2004</v>
      </c>
      <c r="BX506" s="2" t="s">
        <v>2005</v>
      </c>
      <c r="BY506" s="2" t="s">
        <v>112</v>
      </c>
      <c r="BZ506" s="2" t="s">
        <v>100</v>
      </c>
    </row>
    <row r="507">
      <c r="A507" s="2" t="s">
        <v>2006</v>
      </c>
      <c r="B507" s="2" t="s">
        <v>87</v>
      </c>
      <c r="C507" s="2" t="s">
        <v>88</v>
      </c>
      <c r="D507" s="2" t="s">
        <v>89</v>
      </c>
      <c r="E507" s="2" t="s">
        <v>1944</v>
      </c>
      <c r="F507" s="2" t="s">
        <v>1990</v>
      </c>
      <c r="G507" s="2" t="s">
        <v>1991</v>
      </c>
      <c r="H507" s="2" t="s">
        <v>1992</v>
      </c>
      <c r="I507" s="2" t="s">
        <v>1993</v>
      </c>
      <c r="J507" s="2" t="s">
        <v>114</v>
      </c>
      <c r="K507" s="2" t="s">
        <v>1572</v>
      </c>
      <c r="L507" s="3">
        <v>70.5</v>
      </c>
      <c r="M507" s="3">
        <v>74.02</v>
      </c>
      <c r="N507" s="3">
        <v>149.99</v>
      </c>
      <c r="O507" s="2" t="s">
        <v>97</v>
      </c>
      <c r="P507" s="2" t="s">
        <v>1216</v>
      </c>
      <c r="Q507" s="2" t="s">
        <v>99</v>
      </c>
      <c r="R507" s="2" t="s">
        <v>100</v>
      </c>
      <c r="S507" s="2" t="s">
        <v>2007</v>
      </c>
      <c r="T507" s="2" t="s">
        <v>1218</v>
      </c>
      <c r="U507" s="2" t="s">
        <v>1950</v>
      </c>
      <c r="V507" s="2" t="s">
        <v>284</v>
      </c>
      <c r="W507" s="2" t="s">
        <v>244</v>
      </c>
      <c r="X507" s="2" t="s">
        <v>285</v>
      </c>
      <c r="Y507" s="2" t="s">
        <v>2008</v>
      </c>
      <c r="Z507" s="4">
        <v>137</v>
      </c>
      <c r="AA507" s="4">
        <f>=ROUNDDOWN(97.8571428571429,0)</f>
      </c>
      <c r="AB507" s="5">
        <v>1.4</v>
      </c>
      <c r="AC507" s="2" t="s">
        <v>107</v>
      </c>
      <c r="AD507" s="4">
        <v>140</v>
      </c>
      <c r="AE507" s="4">
        <v>140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>
        <v>1</v>
      </c>
      <c r="AQ507" s="8">
        <v>77.73</v>
      </c>
      <c r="AR507" s="4"/>
      <c r="AS507" s="8"/>
      <c r="AT507" s="7"/>
      <c r="AU507" s="7"/>
      <c r="AV507" s="4">
        <v>1</v>
      </c>
      <c r="AW507" s="8">
        <v>77.73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>
        <v>1</v>
      </c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>
        <v>0.1637</v>
      </c>
      <c r="BJ507" s="4">
        <v>1</v>
      </c>
      <c r="BK507" s="8">
        <v>77.73</v>
      </c>
      <c r="BL507" s="2" t="s">
        <v>16</v>
      </c>
      <c r="BM507" s="7">
        <v>1</v>
      </c>
      <c r="BN507" s="7">
        <v>1</v>
      </c>
      <c r="BO507" s="4">
        <v>1</v>
      </c>
      <c r="BP507" s="8">
        <v>77.73</v>
      </c>
      <c r="BQ507" s="4"/>
      <c r="BR507" s="8"/>
      <c r="BS507" s="7"/>
      <c r="BT507" s="7"/>
      <c r="BU507" s="2" t="s">
        <v>109</v>
      </c>
      <c r="BV507" s="2" t="s">
        <v>97</v>
      </c>
      <c r="BW507" s="2" t="s">
        <v>1221</v>
      </c>
      <c r="BX507" s="2" t="s">
        <v>2009</v>
      </c>
      <c r="BY507" s="2" t="s">
        <v>112</v>
      </c>
      <c r="BZ507" s="2" t="s">
        <v>100</v>
      </c>
    </row>
    <row r="508">
      <c r="A508" s="2" t="s">
        <v>2010</v>
      </c>
      <c r="B508" s="2" t="s">
        <v>87</v>
      </c>
      <c r="C508" s="2" t="s">
        <v>88</v>
      </c>
      <c r="D508" s="2" t="s">
        <v>89</v>
      </c>
      <c r="E508" s="2" t="s">
        <v>1944</v>
      </c>
      <c r="F508" s="2" t="s">
        <v>1990</v>
      </c>
      <c r="G508" s="2" t="s">
        <v>1991</v>
      </c>
      <c r="H508" s="2" t="s">
        <v>1992</v>
      </c>
      <c r="I508" s="2" t="s">
        <v>1993</v>
      </c>
      <c r="J508" s="2" t="s">
        <v>120</v>
      </c>
      <c r="K508" s="2" t="s">
        <v>1572</v>
      </c>
      <c r="L508" s="3">
        <v>79.85</v>
      </c>
      <c r="M508" s="3">
        <v>83.85</v>
      </c>
      <c r="N508" s="3">
        <v>169.99</v>
      </c>
      <c r="O508" s="2" t="s">
        <v>97</v>
      </c>
      <c r="P508" s="2" t="s">
        <v>1216</v>
      </c>
      <c r="Q508" s="2" t="s">
        <v>99</v>
      </c>
      <c r="R508" s="2" t="s">
        <v>100</v>
      </c>
      <c r="S508" s="2" t="s">
        <v>2007</v>
      </c>
      <c r="T508" s="2" t="s">
        <v>1218</v>
      </c>
      <c r="U508" s="2" t="s">
        <v>1950</v>
      </c>
      <c r="V508" s="2" t="s">
        <v>284</v>
      </c>
      <c r="W508" s="2" t="s">
        <v>244</v>
      </c>
      <c r="X508" s="2" t="s">
        <v>285</v>
      </c>
      <c r="Y508" s="2" t="s">
        <v>2008</v>
      </c>
      <c r="Z508" s="4">
        <v>154</v>
      </c>
      <c r="AA508" s="4">
        <f>=ROUNDDOWN(96.25,0)</f>
      </c>
      <c r="AB508" s="5">
        <v>1.6</v>
      </c>
      <c r="AC508" s="2" t="s">
        <v>107</v>
      </c>
      <c r="AD508" s="4">
        <v>160</v>
      </c>
      <c r="AE508" s="4">
        <v>160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/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2</v>
      </c>
      <c r="BK508" s="8">
        <v>171.86</v>
      </c>
      <c r="BL508" s="2" t="s">
        <v>715</v>
      </c>
      <c r="BM508" s="7"/>
      <c r="BN508" s="7"/>
      <c r="BO508" s="4"/>
      <c r="BP508" s="8"/>
      <c r="BQ508" s="4"/>
      <c r="BR508" s="8"/>
      <c r="BS508" s="7"/>
      <c r="BT508" s="7"/>
      <c r="BU508" s="2" t="s">
        <v>109</v>
      </c>
      <c r="BV508" s="2" t="s">
        <v>97</v>
      </c>
      <c r="BW508" s="2" t="s">
        <v>1221</v>
      </c>
      <c r="BX508" s="2" t="s">
        <v>100</v>
      </c>
      <c r="BY508" s="2" t="s">
        <v>112</v>
      </c>
      <c r="BZ508" s="2" t="s">
        <v>100</v>
      </c>
    </row>
    <row r="509">
      <c r="A509" s="2" t="s">
        <v>2011</v>
      </c>
      <c r="B509" s="2" t="s">
        <v>87</v>
      </c>
      <c r="C509" s="2" t="s">
        <v>88</v>
      </c>
      <c r="D509" s="2" t="s">
        <v>89</v>
      </c>
      <c r="E509" s="2" t="s">
        <v>1944</v>
      </c>
      <c r="F509" s="2" t="s">
        <v>1990</v>
      </c>
      <c r="G509" s="2" t="s">
        <v>1991</v>
      </c>
      <c r="H509" s="2" t="s">
        <v>1992</v>
      </c>
      <c r="I509" s="2" t="s">
        <v>1993</v>
      </c>
      <c r="J509" s="2" t="s">
        <v>124</v>
      </c>
      <c r="K509" s="2" t="s">
        <v>1572</v>
      </c>
      <c r="L509" s="3">
        <v>79.9</v>
      </c>
      <c r="M509" s="3">
        <v>83.89</v>
      </c>
      <c r="N509" s="3">
        <v>169.99</v>
      </c>
      <c r="O509" s="2" t="s">
        <v>97</v>
      </c>
      <c r="P509" s="2" t="s">
        <v>1216</v>
      </c>
      <c r="Q509" s="2" t="s">
        <v>99</v>
      </c>
      <c r="R509" s="2" t="s">
        <v>100</v>
      </c>
      <c r="S509" s="2" t="s">
        <v>2007</v>
      </c>
      <c r="T509" s="2" t="s">
        <v>1218</v>
      </c>
      <c r="U509" s="2" t="s">
        <v>1950</v>
      </c>
      <c r="V509" s="2" t="s">
        <v>284</v>
      </c>
      <c r="W509" s="2" t="s">
        <v>244</v>
      </c>
      <c r="X509" s="2" t="s">
        <v>285</v>
      </c>
      <c r="Y509" s="2" t="s">
        <v>2008</v>
      </c>
      <c r="Z509" s="4">
        <v>100</v>
      </c>
      <c r="AA509" s="4">
        <f>=ROUNDDOWN({0},0)</f>
      </c>
      <c r="AB509" s="5"/>
      <c r="AC509" s="2" t="s">
        <v>107</v>
      </c>
      <c r="AD509" s="4">
        <v>100</v>
      </c>
      <c r="AE509" s="4">
        <v>100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/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/>
      <c r="BK509" s="8"/>
      <c r="BL509" s="2" t="s">
        <v>100</v>
      </c>
      <c r="BM509" s="7"/>
      <c r="BN509" s="7"/>
      <c r="BO509" s="4"/>
      <c r="BP509" s="8"/>
      <c r="BQ509" s="4"/>
      <c r="BR509" s="8"/>
      <c r="BS509" s="7"/>
      <c r="BT509" s="7"/>
      <c r="BU509" s="2" t="s">
        <v>109</v>
      </c>
      <c r="BV509" s="2" t="s">
        <v>97</v>
      </c>
      <c r="BW509" s="2" t="s">
        <v>1221</v>
      </c>
      <c r="BX509" s="2" t="s">
        <v>100</v>
      </c>
      <c r="BY509" s="2" t="s">
        <v>112</v>
      </c>
      <c r="BZ509" s="2" t="s">
        <v>100</v>
      </c>
    </row>
    <row r="510">
      <c r="A510" s="2" t="s">
        <v>2012</v>
      </c>
      <c r="B510" s="2" t="s">
        <v>87</v>
      </c>
      <c r="C510" s="2" t="s">
        <v>88</v>
      </c>
      <c r="D510" s="2" t="s">
        <v>89</v>
      </c>
      <c r="E510" s="2" t="s">
        <v>1944</v>
      </c>
      <c r="F510" s="2" t="s">
        <v>2013</v>
      </c>
      <c r="G510" s="2" t="s">
        <v>2014</v>
      </c>
      <c r="H510" s="2" t="s">
        <v>2015</v>
      </c>
      <c r="I510" s="2" t="s">
        <v>1948</v>
      </c>
      <c r="J510" s="2" t="s">
        <v>114</v>
      </c>
      <c r="K510" s="2" t="s">
        <v>253</v>
      </c>
      <c r="L510" s="3">
        <v>98</v>
      </c>
      <c r="M510" s="3">
        <v>102.89</v>
      </c>
      <c r="N510" s="3">
        <v>199.99</v>
      </c>
      <c r="O510" s="2" t="s">
        <v>97</v>
      </c>
      <c r="P510" s="2" t="s">
        <v>98</v>
      </c>
      <c r="Q510" s="2" t="s">
        <v>99</v>
      </c>
      <c r="R510" s="2" t="s">
        <v>100</v>
      </c>
      <c r="S510" s="2" t="s">
        <v>2016</v>
      </c>
      <c r="T510" s="2" t="s">
        <v>100</v>
      </c>
      <c r="U510" s="2" t="s">
        <v>1950</v>
      </c>
      <c r="V510" s="2" t="s">
        <v>608</v>
      </c>
      <c r="W510" s="2" t="s">
        <v>244</v>
      </c>
      <c r="X510" s="2" t="s">
        <v>285</v>
      </c>
      <c r="Y510" s="2" t="s">
        <v>131</v>
      </c>
      <c r="Z510" s="4">
        <v>347</v>
      </c>
      <c r="AA510" s="4">
        <f>=ROUNDDOWN(26.6923076923077,0)</f>
      </c>
      <c r="AB510" s="5">
        <v>13</v>
      </c>
      <c r="AC510" s="2" t="s">
        <v>100</v>
      </c>
      <c r="AD510" s="4"/>
      <c r="AE510" s="4"/>
      <c r="AF510" s="6">
        <v>65</v>
      </c>
      <c r="AG510" s="6">
        <v>48</v>
      </c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/>
      <c r="AQ510" s="8"/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/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/>
      <c r="BJ510" s="4">
        <v>10</v>
      </c>
      <c r="BK510" s="8">
        <v>942.41</v>
      </c>
      <c r="BL510" s="2" t="s">
        <v>1271</v>
      </c>
      <c r="BM510" s="7"/>
      <c r="BN510" s="7"/>
      <c r="BO510" s="4"/>
      <c r="BP510" s="8"/>
      <c r="BQ510" s="4"/>
      <c r="BR510" s="8"/>
      <c r="BS510" s="7"/>
      <c r="BT510" s="7"/>
      <c r="BU510" s="2" t="s">
        <v>109</v>
      </c>
      <c r="BV510" s="2" t="s">
        <v>97</v>
      </c>
      <c r="BW510" s="2" t="s">
        <v>122</v>
      </c>
      <c r="BX510" s="2" t="s">
        <v>1126</v>
      </c>
      <c r="BY510" s="2" t="s">
        <v>112</v>
      </c>
      <c r="BZ510" s="2" t="s">
        <v>100</v>
      </c>
    </row>
    <row r="511">
      <c r="A511" s="2" t="s">
        <v>2017</v>
      </c>
      <c r="B511" s="2" t="s">
        <v>87</v>
      </c>
      <c r="C511" s="2" t="s">
        <v>88</v>
      </c>
      <c r="D511" s="2" t="s">
        <v>89</v>
      </c>
      <c r="E511" s="2" t="s">
        <v>1944</v>
      </c>
      <c r="F511" s="2" t="s">
        <v>2013</v>
      </c>
      <c r="G511" s="2" t="s">
        <v>2014</v>
      </c>
      <c r="H511" s="2" t="s">
        <v>2015</v>
      </c>
      <c r="I511" s="2" t="s">
        <v>1948</v>
      </c>
      <c r="J511" s="2" t="s">
        <v>120</v>
      </c>
      <c r="K511" s="2" t="s">
        <v>253</v>
      </c>
      <c r="L511" s="3">
        <v>107.8</v>
      </c>
      <c r="M511" s="3">
        <v>113.18</v>
      </c>
      <c r="N511" s="3">
        <v>219.99</v>
      </c>
      <c r="O511" s="2" t="s">
        <v>97</v>
      </c>
      <c r="P511" s="2" t="s">
        <v>98</v>
      </c>
      <c r="Q511" s="2" t="s">
        <v>99</v>
      </c>
      <c r="R511" s="2" t="s">
        <v>100</v>
      </c>
      <c r="S511" s="2" t="s">
        <v>2016</v>
      </c>
      <c r="T511" s="2" t="s">
        <v>100</v>
      </c>
      <c r="U511" s="2" t="s">
        <v>1950</v>
      </c>
      <c r="V511" s="2" t="s">
        <v>608</v>
      </c>
      <c r="W511" s="2" t="s">
        <v>244</v>
      </c>
      <c r="X511" s="2" t="s">
        <v>285</v>
      </c>
      <c r="Y511" s="2" t="s">
        <v>131</v>
      </c>
      <c r="Z511" s="4">
        <v>582</v>
      </c>
      <c r="AA511" s="4">
        <f>=ROUNDDOWN(36.375,0)</f>
      </c>
      <c r="AB511" s="5">
        <v>16</v>
      </c>
      <c r="AC511" s="2" t="s">
        <v>100</v>
      </c>
      <c r="AD511" s="4"/>
      <c r="AE511" s="4"/>
      <c r="AF511" s="6">
        <v>65</v>
      </c>
      <c r="AG511" s="6">
        <v>48</v>
      </c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/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/>
      <c r="BJ511" s="4">
        <v>5</v>
      </c>
      <c r="BK511" s="8">
        <v>458.88</v>
      </c>
      <c r="BL511" s="2" t="s">
        <v>108</v>
      </c>
      <c r="BM511" s="7"/>
      <c r="BN511" s="7"/>
      <c r="BO511" s="4"/>
      <c r="BP511" s="8"/>
      <c r="BQ511" s="4"/>
      <c r="BR511" s="8"/>
      <c r="BS511" s="7"/>
      <c r="BT511" s="7"/>
      <c r="BU511" s="2" t="s">
        <v>109</v>
      </c>
      <c r="BV511" s="2" t="s">
        <v>97</v>
      </c>
      <c r="BW511" s="2" t="s">
        <v>122</v>
      </c>
      <c r="BX511" s="2" t="s">
        <v>246</v>
      </c>
      <c r="BY511" s="2" t="s">
        <v>112</v>
      </c>
      <c r="BZ511" s="2" t="s">
        <v>100</v>
      </c>
    </row>
    <row r="512">
      <c r="A512" s="2" t="s">
        <v>2018</v>
      </c>
      <c r="B512" s="2" t="s">
        <v>87</v>
      </c>
      <c r="C512" s="2" t="s">
        <v>88</v>
      </c>
      <c r="D512" s="2" t="s">
        <v>89</v>
      </c>
      <c r="E512" s="2" t="s">
        <v>1944</v>
      </c>
      <c r="F512" s="2" t="s">
        <v>2013</v>
      </c>
      <c r="G512" s="2" t="s">
        <v>2014</v>
      </c>
      <c r="H512" s="2" t="s">
        <v>2015</v>
      </c>
      <c r="I512" s="2" t="s">
        <v>1948</v>
      </c>
      <c r="J512" s="2" t="s">
        <v>124</v>
      </c>
      <c r="K512" s="2" t="s">
        <v>253</v>
      </c>
      <c r="L512" s="3">
        <v>107.8</v>
      </c>
      <c r="M512" s="3">
        <v>113.18</v>
      </c>
      <c r="N512" s="3">
        <v>219.99</v>
      </c>
      <c r="O512" s="2" t="s">
        <v>97</v>
      </c>
      <c r="P512" s="2" t="s">
        <v>98</v>
      </c>
      <c r="Q512" s="2" t="s">
        <v>99</v>
      </c>
      <c r="R512" s="2" t="s">
        <v>100</v>
      </c>
      <c r="S512" s="2" t="s">
        <v>2016</v>
      </c>
      <c r="T512" s="2" t="s">
        <v>100</v>
      </c>
      <c r="U512" s="2" t="s">
        <v>1950</v>
      </c>
      <c r="V512" s="2" t="s">
        <v>608</v>
      </c>
      <c r="W512" s="2" t="s">
        <v>244</v>
      </c>
      <c r="X512" s="2" t="s">
        <v>285</v>
      </c>
      <c r="Y512" s="2" t="s">
        <v>131</v>
      </c>
      <c r="Z512" s="4">
        <v>299</v>
      </c>
      <c r="AA512" s="4">
        <f>=ROUNDDOWN(33.2222222222222,0)</f>
      </c>
      <c r="AB512" s="5">
        <v>9</v>
      </c>
      <c r="AC512" s="2" t="s">
        <v>100</v>
      </c>
      <c r="AD512" s="4"/>
      <c r="AE512" s="4"/>
      <c r="AF512" s="6">
        <v>65</v>
      </c>
      <c r="AG512" s="6">
        <v>48</v>
      </c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100</v>
      </c>
      <c r="AW512" s="8" t="s">
        <v>100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/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/>
      <c r="BJ512" s="4">
        <v>4</v>
      </c>
      <c r="BK512" s="8">
        <v>403.61</v>
      </c>
      <c r="BL512" s="2" t="s">
        <v>412</v>
      </c>
      <c r="BM512" s="7"/>
      <c r="BN512" s="7"/>
      <c r="BO512" s="4"/>
      <c r="BP512" s="8"/>
      <c r="BQ512" s="4"/>
      <c r="BR512" s="8"/>
      <c r="BS512" s="7"/>
      <c r="BT512" s="7"/>
      <c r="BU512" s="2" t="s">
        <v>109</v>
      </c>
      <c r="BV512" s="2" t="s">
        <v>97</v>
      </c>
      <c r="BW512" s="2" t="s">
        <v>122</v>
      </c>
      <c r="BX512" s="2" t="s">
        <v>469</v>
      </c>
      <c r="BY512" s="2" t="s">
        <v>112</v>
      </c>
      <c r="BZ512" s="2" t="s">
        <v>100</v>
      </c>
    </row>
    <row r="513">
      <c r="A513" s="2" t="s">
        <v>2019</v>
      </c>
      <c r="B513" s="2" t="s">
        <v>87</v>
      </c>
      <c r="C513" s="2" t="s">
        <v>88</v>
      </c>
      <c r="D513" s="2" t="s">
        <v>89</v>
      </c>
      <c r="E513" s="2" t="s">
        <v>1944</v>
      </c>
      <c r="F513" s="2" t="s">
        <v>2013</v>
      </c>
      <c r="G513" s="2" t="s">
        <v>2014</v>
      </c>
      <c r="H513" s="2" t="s">
        <v>2015</v>
      </c>
      <c r="I513" s="2" t="s">
        <v>1948</v>
      </c>
      <c r="J513" s="2" t="s">
        <v>114</v>
      </c>
      <c r="K513" s="2" t="s">
        <v>2020</v>
      </c>
      <c r="L513" s="3">
        <v>98</v>
      </c>
      <c r="M513" s="3">
        <v>102.9</v>
      </c>
      <c r="N513" s="3">
        <v>199.99</v>
      </c>
      <c r="O513" s="2" t="s">
        <v>1715</v>
      </c>
      <c r="P513" s="2" t="s">
        <v>447</v>
      </c>
      <c r="Q513" s="2" t="s">
        <v>99</v>
      </c>
      <c r="R513" s="2" t="s">
        <v>100</v>
      </c>
      <c r="S513" s="2" t="s">
        <v>2021</v>
      </c>
      <c r="T513" s="2" t="s">
        <v>100</v>
      </c>
      <c r="U513" s="2" t="s">
        <v>1950</v>
      </c>
      <c r="V513" s="2" t="s">
        <v>284</v>
      </c>
      <c r="W513" s="2" t="s">
        <v>1240</v>
      </c>
      <c r="X513" s="2" t="s">
        <v>2022</v>
      </c>
      <c r="Y513" s="2" t="s">
        <v>1275</v>
      </c>
      <c r="Z513" s="4">
        <v>85</v>
      </c>
      <c r="AA513" s="4">
        <f>=ROUNDDOWN(32.6923076923077,0)</f>
      </c>
      <c r="AB513" s="5">
        <v>2.6</v>
      </c>
      <c r="AC513" s="2" t="s">
        <v>100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/>
      <c r="AQ513" s="8"/>
      <c r="AR513" s="4"/>
      <c r="AS513" s="8"/>
      <c r="AT513" s="7"/>
      <c r="AU513" s="7"/>
      <c r="AV513" s="4" t="s">
        <v>100</v>
      </c>
      <c r="AW513" s="8" t="s">
        <v>100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/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/>
      <c r="BJ513" s="4">
        <v>3</v>
      </c>
      <c r="BK513" s="8">
        <v>154.78</v>
      </c>
      <c r="BL513" s="2" t="s">
        <v>504</v>
      </c>
      <c r="BM513" s="7"/>
      <c r="BN513" s="7"/>
      <c r="BO513" s="4"/>
      <c r="BP513" s="8"/>
      <c r="BQ513" s="4"/>
      <c r="BR513" s="8"/>
      <c r="BS513" s="7"/>
      <c r="BT513" s="7"/>
      <c r="BU513" s="2" t="s">
        <v>109</v>
      </c>
      <c r="BV513" s="2" t="s">
        <v>97</v>
      </c>
      <c r="BW513" s="2" t="s">
        <v>566</v>
      </c>
      <c r="BX513" s="2" t="s">
        <v>1231</v>
      </c>
      <c r="BY513" s="2" t="s">
        <v>112</v>
      </c>
      <c r="BZ513" s="2" t="s">
        <v>100</v>
      </c>
    </row>
    <row r="514">
      <c r="A514" s="2" t="s">
        <v>2023</v>
      </c>
      <c r="B514" s="2" t="s">
        <v>87</v>
      </c>
      <c r="C514" s="2" t="s">
        <v>88</v>
      </c>
      <c r="D514" s="2" t="s">
        <v>89</v>
      </c>
      <c r="E514" s="2" t="s">
        <v>1944</v>
      </c>
      <c r="F514" s="2" t="s">
        <v>2013</v>
      </c>
      <c r="G514" s="2" t="s">
        <v>2014</v>
      </c>
      <c r="H514" s="2" t="s">
        <v>2015</v>
      </c>
      <c r="I514" s="2" t="s">
        <v>1948</v>
      </c>
      <c r="J514" s="2" t="s">
        <v>120</v>
      </c>
      <c r="K514" s="2" t="s">
        <v>2020</v>
      </c>
      <c r="L514" s="3">
        <v>107.8</v>
      </c>
      <c r="M514" s="3">
        <v>113.19</v>
      </c>
      <c r="N514" s="3">
        <v>219.99</v>
      </c>
      <c r="O514" s="2" t="s">
        <v>1715</v>
      </c>
      <c r="P514" s="2" t="s">
        <v>447</v>
      </c>
      <c r="Q514" s="2" t="s">
        <v>99</v>
      </c>
      <c r="R514" s="2" t="s">
        <v>100</v>
      </c>
      <c r="S514" s="2" t="s">
        <v>2021</v>
      </c>
      <c r="T514" s="2" t="s">
        <v>100</v>
      </c>
      <c r="U514" s="2" t="s">
        <v>1950</v>
      </c>
      <c r="V514" s="2" t="s">
        <v>284</v>
      </c>
      <c r="W514" s="2" t="s">
        <v>1240</v>
      </c>
      <c r="X514" s="2" t="s">
        <v>2022</v>
      </c>
      <c r="Y514" s="2" t="s">
        <v>1275</v>
      </c>
      <c r="Z514" s="4">
        <v>25</v>
      </c>
      <c r="AA514" s="4">
        <f>=ROUNDDOWN(7.35294117647059,0)</f>
      </c>
      <c r="AB514" s="5">
        <v>3.4</v>
      </c>
      <c r="AC514" s="2" t="s">
        <v>100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/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/>
      <c r="BJ514" s="4">
        <v>5</v>
      </c>
      <c r="BK514" s="8">
        <v>303.1</v>
      </c>
      <c r="BL514" s="2" t="s">
        <v>530</v>
      </c>
      <c r="BM514" s="7"/>
      <c r="BN514" s="7"/>
      <c r="BO514" s="4"/>
      <c r="BP514" s="8"/>
      <c r="BQ514" s="4"/>
      <c r="BR514" s="8"/>
      <c r="BS514" s="7"/>
      <c r="BT514" s="7"/>
      <c r="BU514" s="2" t="s">
        <v>109</v>
      </c>
      <c r="BV514" s="2" t="s">
        <v>97</v>
      </c>
      <c r="BW514" s="2" t="s">
        <v>566</v>
      </c>
      <c r="BX514" s="2" t="s">
        <v>100</v>
      </c>
      <c r="BY514" s="2" t="s">
        <v>112</v>
      </c>
      <c r="BZ514" s="2" t="s">
        <v>100</v>
      </c>
    </row>
    <row r="515">
      <c r="A515" s="2" t="s">
        <v>2024</v>
      </c>
      <c r="B515" s="2" t="s">
        <v>87</v>
      </c>
      <c r="C515" s="2" t="s">
        <v>88</v>
      </c>
      <c r="D515" s="2" t="s">
        <v>89</v>
      </c>
      <c r="E515" s="2" t="s">
        <v>1944</v>
      </c>
      <c r="F515" s="2" t="s">
        <v>2013</v>
      </c>
      <c r="G515" s="2" t="s">
        <v>2014</v>
      </c>
      <c r="H515" s="2" t="s">
        <v>2015</v>
      </c>
      <c r="I515" s="2" t="s">
        <v>1948</v>
      </c>
      <c r="J515" s="2" t="s">
        <v>114</v>
      </c>
      <c r="K515" s="2" t="s">
        <v>1572</v>
      </c>
      <c r="L515" s="3">
        <v>98</v>
      </c>
      <c r="M515" s="3">
        <v>102.89</v>
      </c>
      <c r="N515" s="3">
        <v>199.99</v>
      </c>
      <c r="O515" s="2" t="s">
        <v>473</v>
      </c>
      <c r="P515" s="2" t="s">
        <v>447</v>
      </c>
      <c r="Q515" s="2" t="s">
        <v>99</v>
      </c>
      <c r="R515" s="2" t="s">
        <v>100</v>
      </c>
      <c r="S515" s="2" t="s">
        <v>2025</v>
      </c>
      <c r="T515" s="2" t="s">
        <v>100</v>
      </c>
      <c r="U515" s="2" t="s">
        <v>1950</v>
      </c>
      <c r="V515" s="2" t="s">
        <v>608</v>
      </c>
      <c r="W515" s="2" t="s">
        <v>244</v>
      </c>
      <c r="X515" s="2" t="s">
        <v>285</v>
      </c>
      <c r="Y515" s="2" t="s">
        <v>131</v>
      </c>
      <c r="Z515" s="4">
        <v>208</v>
      </c>
      <c r="AA515" s="4">
        <f>=ROUNDDOWN(41.6,0)</f>
      </c>
      <c r="AB515" s="5">
        <v>5</v>
      </c>
      <c r="AC515" s="2" t="s">
        <v>900</v>
      </c>
      <c r="AD515" s="4">
        <v>105</v>
      </c>
      <c r="AE515" s="4">
        <v>120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 t="s">
        <v>100</v>
      </c>
      <c r="AW515" s="8" t="s">
        <v>100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/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/>
      <c r="BJ515" s="4">
        <v>5</v>
      </c>
      <c r="BK515" s="8">
        <v>480.22</v>
      </c>
      <c r="BL515" s="2" t="s">
        <v>507</v>
      </c>
      <c r="BM515" s="7"/>
      <c r="BN515" s="7"/>
      <c r="BO515" s="4"/>
      <c r="BP515" s="8"/>
      <c r="BQ515" s="4"/>
      <c r="BR515" s="8"/>
      <c r="BS515" s="7"/>
      <c r="BT515" s="7"/>
      <c r="BU515" s="2" t="s">
        <v>109</v>
      </c>
      <c r="BV515" s="2" t="s">
        <v>97</v>
      </c>
      <c r="BW515" s="2" t="s">
        <v>122</v>
      </c>
      <c r="BX515" s="2" t="s">
        <v>378</v>
      </c>
      <c r="BY515" s="2" t="s">
        <v>112</v>
      </c>
      <c r="BZ515" s="2" t="s">
        <v>100</v>
      </c>
    </row>
    <row r="516">
      <c r="A516" s="2" t="s">
        <v>2026</v>
      </c>
      <c r="B516" s="2" t="s">
        <v>87</v>
      </c>
      <c r="C516" s="2" t="s">
        <v>88</v>
      </c>
      <c r="D516" s="2" t="s">
        <v>89</v>
      </c>
      <c r="E516" s="2" t="s">
        <v>1944</v>
      </c>
      <c r="F516" s="2" t="s">
        <v>2013</v>
      </c>
      <c r="G516" s="2" t="s">
        <v>2014</v>
      </c>
      <c r="H516" s="2" t="s">
        <v>2015</v>
      </c>
      <c r="I516" s="2" t="s">
        <v>1948</v>
      </c>
      <c r="J516" s="2" t="s">
        <v>120</v>
      </c>
      <c r="K516" s="2" t="s">
        <v>1572</v>
      </c>
      <c r="L516" s="3">
        <v>107.8</v>
      </c>
      <c r="M516" s="3">
        <v>113.18</v>
      </c>
      <c r="N516" s="3">
        <v>219.99</v>
      </c>
      <c r="O516" s="2" t="s">
        <v>97</v>
      </c>
      <c r="P516" s="2" t="s">
        <v>447</v>
      </c>
      <c r="Q516" s="2" t="s">
        <v>99</v>
      </c>
      <c r="R516" s="2" t="s">
        <v>100</v>
      </c>
      <c r="S516" s="2" t="s">
        <v>2025</v>
      </c>
      <c r="T516" s="2" t="s">
        <v>100</v>
      </c>
      <c r="U516" s="2" t="s">
        <v>1950</v>
      </c>
      <c r="V516" s="2" t="s">
        <v>608</v>
      </c>
      <c r="W516" s="2" t="s">
        <v>244</v>
      </c>
      <c r="X516" s="2" t="s">
        <v>285</v>
      </c>
      <c r="Y516" s="2" t="s">
        <v>131</v>
      </c>
      <c r="Z516" s="4">
        <v>235</v>
      </c>
      <c r="AA516" s="4">
        <f>=ROUNDDOWN(33.5714285714286,0)</f>
      </c>
      <c r="AB516" s="5">
        <v>7</v>
      </c>
      <c r="AC516" s="2" t="s">
        <v>1282</v>
      </c>
      <c r="AD516" s="4">
        <v>106</v>
      </c>
      <c r="AE516" s="4">
        <v>106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/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/>
      <c r="BJ516" s="4">
        <v>4</v>
      </c>
      <c r="BK516" s="8">
        <v>417.7</v>
      </c>
      <c r="BL516" s="2" t="s">
        <v>333</v>
      </c>
      <c r="BM516" s="7"/>
      <c r="BN516" s="7"/>
      <c r="BO516" s="4"/>
      <c r="BP516" s="8"/>
      <c r="BQ516" s="4"/>
      <c r="BR516" s="8"/>
      <c r="BS516" s="7"/>
      <c r="BT516" s="7"/>
      <c r="BU516" s="2" t="s">
        <v>109</v>
      </c>
      <c r="BV516" s="2" t="s">
        <v>97</v>
      </c>
      <c r="BW516" s="2" t="s">
        <v>122</v>
      </c>
      <c r="BX516" s="2" t="s">
        <v>225</v>
      </c>
      <c r="BY516" s="2" t="s">
        <v>112</v>
      </c>
      <c r="BZ516" s="2" t="s">
        <v>100</v>
      </c>
    </row>
    <row r="517">
      <c r="A517" s="2" t="s">
        <v>2027</v>
      </c>
      <c r="B517" s="2" t="s">
        <v>87</v>
      </c>
      <c r="C517" s="2" t="s">
        <v>88</v>
      </c>
      <c r="D517" s="2" t="s">
        <v>89</v>
      </c>
      <c r="E517" s="2" t="s">
        <v>1944</v>
      </c>
      <c r="F517" s="2" t="s">
        <v>2013</v>
      </c>
      <c r="G517" s="2" t="s">
        <v>2014</v>
      </c>
      <c r="H517" s="2" t="s">
        <v>2015</v>
      </c>
      <c r="I517" s="2" t="s">
        <v>1948</v>
      </c>
      <c r="J517" s="2" t="s">
        <v>124</v>
      </c>
      <c r="K517" s="2" t="s">
        <v>1572</v>
      </c>
      <c r="L517" s="3">
        <v>107.8</v>
      </c>
      <c r="M517" s="3">
        <v>113.18</v>
      </c>
      <c r="N517" s="3">
        <v>219.99</v>
      </c>
      <c r="O517" s="2" t="s">
        <v>97</v>
      </c>
      <c r="P517" s="2" t="s">
        <v>447</v>
      </c>
      <c r="Q517" s="2" t="s">
        <v>99</v>
      </c>
      <c r="R517" s="2" t="s">
        <v>100</v>
      </c>
      <c r="S517" s="2" t="s">
        <v>2025</v>
      </c>
      <c r="T517" s="2" t="s">
        <v>100</v>
      </c>
      <c r="U517" s="2" t="s">
        <v>1950</v>
      </c>
      <c r="V517" s="2" t="s">
        <v>608</v>
      </c>
      <c r="W517" s="2" t="s">
        <v>244</v>
      </c>
      <c r="X517" s="2" t="s">
        <v>285</v>
      </c>
      <c r="Y517" s="2" t="s">
        <v>131</v>
      </c>
      <c r="Z517" s="4">
        <v>133</v>
      </c>
      <c r="AA517" s="4">
        <f>=ROUNDDOWN(26.6,0)</f>
      </c>
      <c r="AB517" s="5">
        <v>5</v>
      </c>
      <c r="AC517" s="2" t="s">
        <v>1282</v>
      </c>
      <c r="AD517" s="4">
        <v>70</v>
      </c>
      <c r="AE517" s="4">
        <v>70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/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/>
      <c r="BJ517" s="4">
        <v>2</v>
      </c>
      <c r="BK517" s="8">
        <v>223.14</v>
      </c>
      <c r="BL517" s="2" t="s">
        <v>543</v>
      </c>
      <c r="BM517" s="7"/>
      <c r="BN517" s="7"/>
      <c r="BO517" s="4"/>
      <c r="BP517" s="8"/>
      <c r="BQ517" s="4"/>
      <c r="BR517" s="8"/>
      <c r="BS517" s="7"/>
      <c r="BT517" s="7"/>
      <c r="BU517" s="2" t="s">
        <v>109</v>
      </c>
      <c r="BV517" s="2" t="s">
        <v>97</v>
      </c>
      <c r="BW517" s="2" t="s">
        <v>122</v>
      </c>
      <c r="BX517" s="2" t="s">
        <v>2028</v>
      </c>
      <c r="BY517" s="2" t="s">
        <v>112</v>
      </c>
      <c r="BZ517" s="2" t="s">
        <v>100</v>
      </c>
    </row>
    <row r="518">
      <c r="A518" s="2" t="s">
        <v>2029</v>
      </c>
      <c r="B518" s="2" t="s">
        <v>87</v>
      </c>
      <c r="C518" s="2" t="s">
        <v>88</v>
      </c>
      <c r="D518" s="2" t="s">
        <v>89</v>
      </c>
      <c r="E518" s="2" t="s">
        <v>2030</v>
      </c>
      <c r="F518" s="2" t="s">
        <v>2031</v>
      </c>
      <c r="G518" s="2" t="s">
        <v>2032</v>
      </c>
      <c r="H518" s="2" t="s">
        <v>2033</v>
      </c>
      <c r="I518" s="2" t="s">
        <v>2034</v>
      </c>
      <c r="J518" s="2" t="s">
        <v>785</v>
      </c>
      <c r="K518" s="2" t="s">
        <v>213</v>
      </c>
      <c r="L518" s="3">
        <v>75.2</v>
      </c>
      <c r="M518" s="3">
        <v>78.96</v>
      </c>
      <c r="N518" s="3">
        <v>159.99</v>
      </c>
      <c r="O518" s="2" t="s">
        <v>97</v>
      </c>
      <c r="P518" s="2" t="s">
        <v>98</v>
      </c>
      <c r="Q518" s="2" t="s">
        <v>99</v>
      </c>
      <c r="R518" s="2" t="s">
        <v>100</v>
      </c>
      <c r="S518" s="2" t="s">
        <v>2035</v>
      </c>
      <c r="T518" s="2" t="s">
        <v>100</v>
      </c>
      <c r="U518" s="2" t="s">
        <v>1508</v>
      </c>
      <c r="V518" s="2" t="s">
        <v>645</v>
      </c>
      <c r="W518" s="2" t="s">
        <v>976</v>
      </c>
      <c r="X518" s="2" t="s">
        <v>1205</v>
      </c>
      <c r="Y518" s="2" t="s">
        <v>2036</v>
      </c>
      <c r="Z518" s="4">
        <v>364</v>
      </c>
      <c r="AA518" s="4">
        <f>=ROUNDDOWN(40.4444444444444,0)</f>
      </c>
      <c r="AB518" s="5">
        <v>9</v>
      </c>
      <c r="AC518" s="2" t="s">
        <v>100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>
        <v>1</v>
      </c>
      <c r="AW518" s="8">
        <v>90.17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/>
      <c r="BC518" s="4">
        <v>1</v>
      </c>
      <c r="BD518" s="8">
        <v>90.17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1</v>
      </c>
      <c r="BJ518" s="4">
        <v>9</v>
      </c>
      <c r="BK518" s="8">
        <v>658.14</v>
      </c>
      <c r="BL518" s="2" t="s">
        <v>1924</v>
      </c>
      <c r="BM518" s="7"/>
      <c r="BN518" s="7"/>
      <c r="BO518" s="4"/>
      <c r="BP518" s="8"/>
      <c r="BQ518" s="4"/>
      <c r="BR518" s="8"/>
      <c r="BS518" s="7"/>
      <c r="BT518" s="7"/>
      <c r="BU518" s="2" t="s">
        <v>109</v>
      </c>
      <c r="BV518" s="2" t="s">
        <v>97</v>
      </c>
      <c r="BW518" s="2" t="s">
        <v>326</v>
      </c>
      <c r="BX518" s="2" t="s">
        <v>2037</v>
      </c>
      <c r="BY518" s="2" t="s">
        <v>112</v>
      </c>
      <c r="BZ518" s="2" t="s">
        <v>100</v>
      </c>
    </row>
    <row r="519">
      <c r="A519" s="2" t="s">
        <v>2038</v>
      </c>
      <c r="B519" s="2" t="s">
        <v>87</v>
      </c>
      <c r="C519" s="2" t="s">
        <v>88</v>
      </c>
      <c r="D519" s="2" t="s">
        <v>89</v>
      </c>
      <c r="E519" s="2" t="s">
        <v>2030</v>
      </c>
      <c r="F519" s="2" t="s">
        <v>2031</v>
      </c>
      <c r="G519" s="2" t="s">
        <v>2032</v>
      </c>
      <c r="H519" s="2" t="s">
        <v>2033</v>
      </c>
      <c r="I519" s="2" t="s">
        <v>2034</v>
      </c>
      <c r="J519" s="2" t="s">
        <v>795</v>
      </c>
      <c r="K519" s="2" t="s">
        <v>213</v>
      </c>
      <c r="L519" s="3">
        <v>84.6</v>
      </c>
      <c r="M519" s="3">
        <v>88.83</v>
      </c>
      <c r="N519" s="3">
        <v>179.99</v>
      </c>
      <c r="O519" s="2" t="s">
        <v>97</v>
      </c>
      <c r="P519" s="2" t="s">
        <v>98</v>
      </c>
      <c r="Q519" s="2" t="s">
        <v>99</v>
      </c>
      <c r="R519" s="2" t="s">
        <v>100</v>
      </c>
      <c r="S519" s="2" t="s">
        <v>2035</v>
      </c>
      <c r="T519" s="2" t="s">
        <v>100</v>
      </c>
      <c r="U519" s="2" t="s">
        <v>1508</v>
      </c>
      <c r="V519" s="2" t="s">
        <v>645</v>
      </c>
      <c r="W519" s="2" t="s">
        <v>976</v>
      </c>
      <c r="X519" s="2" t="s">
        <v>1205</v>
      </c>
      <c r="Y519" s="2" t="s">
        <v>2036</v>
      </c>
      <c r="Z519" s="4">
        <v>268</v>
      </c>
      <c r="AA519" s="4">
        <f>=ROUNDDOWN(33.5,0)</f>
      </c>
      <c r="AB519" s="5">
        <v>8</v>
      </c>
      <c r="AC519" s="2" t="s">
        <v>100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1</v>
      </c>
      <c r="AQ519" s="8">
        <v>90.17</v>
      </c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1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 t="s">
        <v>100</v>
      </c>
      <c r="BJ519" s="4">
        <v>9</v>
      </c>
      <c r="BK519" s="8">
        <v>779.07</v>
      </c>
      <c r="BL519" s="2" t="s">
        <v>2039</v>
      </c>
      <c r="BM519" s="7">
        <v>0.1111</v>
      </c>
      <c r="BN519" s="7">
        <v>0.1157</v>
      </c>
      <c r="BO519" s="4">
        <v>1</v>
      </c>
      <c r="BP519" s="8">
        <v>90.17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326</v>
      </c>
      <c r="BX519" s="2" t="s">
        <v>2040</v>
      </c>
      <c r="BY519" s="2" t="s">
        <v>112</v>
      </c>
      <c r="BZ519" s="2" t="s">
        <v>100</v>
      </c>
    </row>
    <row r="520">
      <c r="A520" s="2" t="s">
        <v>2041</v>
      </c>
      <c r="B520" s="2" t="s">
        <v>87</v>
      </c>
      <c r="C520" s="2" t="s">
        <v>88</v>
      </c>
      <c r="D520" s="2" t="s">
        <v>89</v>
      </c>
      <c r="E520" s="2" t="s">
        <v>2030</v>
      </c>
      <c r="F520" s="2" t="s">
        <v>2042</v>
      </c>
      <c r="G520" s="2" t="s">
        <v>2043</v>
      </c>
      <c r="H520" s="2" t="s">
        <v>2044</v>
      </c>
      <c r="I520" s="2" t="s">
        <v>2045</v>
      </c>
      <c r="J520" s="2" t="s">
        <v>785</v>
      </c>
      <c r="K520" s="2" t="s">
        <v>1834</v>
      </c>
      <c r="L520" s="3">
        <v>75.2</v>
      </c>
      <c r="M520" s="3">
        <v>78.96</v>
      </c>
      <c r="N520" s="3">
        <v>159.99</v>
      </c>
      <c r="O520" s="2" t="s">
        <v>97</v>
      </c>
      <c r="P520" s="2" t="s">
        <v>98</v>
      </c>
      <c r="Q520" s="2" t="s">
        <v>99</v>
      </c>
      <c r="R520" s="2" t="s">
        <v>100</v>
      </c>
      <c r="S520" s="2" t="s">
        <v>2046</v>
      </c>
      <c r="T520" s="2" t="s">
        <v>100</v>
      </c>
      <c r="U520" s="2" t="s">
        <v>1508</v>
      </c>
      <c r="V520" s="2" t="s">
        <v>734</v>
      </c>
      <c r="W520" s="2" t="s">
        <v>646</v>
      </c>
      <c r="X520" s="2" t="s">
        <v>647</v>
      </c>
      <c r="Y520" s="2" t="s">
        <v>2047</v>
      </c>
      <c r="Z520" s="4">
        <v>243</v>
      </c>
      <c r="AA520" s="4">
        <f>=ROUNDDOWN(30.375,0)</f>
      </c>
      <c r="AB520" s="5">
        <v>8</v>
      </c>
      <c r="AC520" s="2" t="s">
        <v>559</v>
      </c>
      <c r="AD520" s="4">
        <v>130</v>
      </c>
      <c r="AE520" s="4">
        <v>180</v>
      </c>
      <c r="AF520" s="6">
        <v>69</v>
      </c>
      <c r="AG520" s="6">
        <v>77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>
        <v>1</v>
      </c>
      <c r="AW520" s="8">
        <v>90.17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/>
      <c r="BC520" s="4">
        <v>1</v>
      </c>
      <c r="BD520" s="8">
        <v>90.17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>
        <v>1</v>
      </c>
      <c r="BJ520" s="4">
        <v>4</v>
      </c>
      <c r="BK520" s="8">
        <v>332.32</v>
      </c>
      <c r="BL520" s="2" t="s">
        <v>625</v>
      </c>
      <c r="BM520" s="7"/>
      <c r="BN520" s="7"/>
      <c r="BO520" s="4"/>
      <c r="BP520" s="8"/>
      <c r="BQ520" s="4"/>
      <c r="BR520" s="8"/>
      <c r="BS520" s="7"/>
      <c r="BT520" s="7"/>
      <c r="BU520" s="2" t="s">
        <v>109</v>
      </c>
      <c r="BV520" s="2" t="s">
        <v>97</v>
      </c>
      <c r="BW520" s="2" t="s">
        <v>326</v>
      </c>
      <c r="BX520" s="2" t="s">
        <v>2048</v>
      </c>
      <c r="BY520" s="2" t="s">
        <v>112</v>
      </c>
      <c r="BZ520" s="2" t="s">
        <v>100</v>
      </c>
    </row>
    <row r="521">
      <c r="A521" s="2" t="s">
        <v>2049</v>
      </c>
      <c r="B521" s="2" t="s">
        <v>87</v>
      </c>
      <c r="C521" s="2" t="s">
        <v>88</v>
      </c>
      <c r="D521" s="2" t="s">
        <v>89</v>
      </c>
      <c r="E521" s="2" t="s">
        <v>2030</v>
      </c>
      <c r="F521" s="2" t="s">
        <v>2042</v>
      </c>
      <c r="G521" s="2" t="s">
        <v>2043</v>
      </c>
      <c r="H521" s="2" t="s">
        <v>2044</v>
      </c>
      <c r="I521" s="2" t="s">
        <v>2045</v>
      </c>
      <c r="J521" s="2" t="s">
        <v>795</v>
      </c>
      <c r="K521" s="2" t="s">
        <v>1834</v>
      </c>
      <c r="L521" s="3">
        <v>84.6</v>
      </c>
      <c r="M521" s="3">
        <v>88.83</v>
      </c>
      <c r="N521" s="3">
        <v>179.99</v>
      </c>
      <c r="O521" s="2" t="s">
        <v>97</v>
      </c>
      <c r="P521" s="2" t="s">
        <v>98</v>
      </c>
      <c r="Q521" s="2" t="s">
        <v>99</v>
      </c>
      <c r="R521" s="2" t="s">
        <v>100</v>
      </c>
      <c r="S521" s="2" t="s">
        <v>2046</v>
      </c>
      <c r="T521" s="2" t="s">
        <v>100</v>
      </c>
      <c r="U521" s="2" t="s">
        <v>1508</v>
      </c>
      <c r="V521" s="2" t="s">
        <v>734</v>
      </c>
      <c r="W521" s="2" t="s">
        <v>646</v>
      </c>
      <c r="X521" s="2" t="s">
        <v>647</v>
      </c>
      <c r="Y521" s="2" t="s">
        <v>2047</v>
      </c>
      <c r="Z521" s="4">
        <v>399</v>
      </c>
      <c r="AA521" s="4">
        <f>=ROUNDDOWN(36.2727272727273,0)</f>
      </c>
      <c r="AB521" s="5">
        <v>11</v>
      </c>
      <c r="AC521" s="2" t="s">
        <v>559</v>
      </c>
      <c r="AD521" s="4">
        <v>50</v>
      </c>
      <c r="AE521" s="4">
        <v>100</v>
      </c>
      <c r="AF521" s="6">
        <v>69</v>
      </c>
      <c r="AG521" s="6">
        <v>77</v>
      </c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>
        <v>1</v>
      </c>
      <c r="AQ521" s="8">
        <v>90.17</v>
      </c>
      <c r="AR521" s="4"/>
      <c r="AS521" s="8"/>
      <c r="AT521" s="7"/>
      <c r="AU521" s="7"/>
      <c r="AV521" s="4" t="s">
        <v>100</v>
      </c>
      <c r="AW521" s="8" t="s">
        <v>100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1</v>
      </c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 t="s">
        <v>100</v>
      </c>
      <c r="BJ521" s="4">
        <v>12</v>
      </c>
      <c r="BK521" s="8">
        <v>1048.12</v>
      </c>
      <c r="BL521" s="2" t="s">
        <v>2050</v>
      </c>
      <c r="BM521" s="7">
        <v>0.0833</v>
      </c>
      <c r="BN521" s="7">
        <v>0.086</v>
      </c>
      <c r="BO521" s="4">
        <v>1</v>
      </c>
      <c r="BP521" s="8">
        <v>90.17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326</v>
      </c>
      <c r="BX521" s="2" t="s">
        <v>1360</v>
      </c>
      <c r="BY521" s="2" t="s">
        <v>112</v>
      </c>
      <c r="BZ521" s="2" t="s">
        <v>100</v>
      </c>
    </row>
    <row r="522">
      <c r="A522" s="2" t="s">
        <v>2051</v>
      </c>
      <c r="B522" s="2" t="s">
        <v>87</v>
      </c>
      <c r="C522" s="2" t="s">
        <v>88</v>
      </c>
      <c r="D522" s="2" t="s">
        <v>89</v>
      </c>
      <c r="E522" s="2" t="s">
        <v>2030</v>
      </c>
      <c r="F522" s="2" t="s">
        <v>2052</v>
      </c>
      <c r="G522" s="2" t="s">
        <v>2053</v>
      </c>
      <c r="H522" s="2" t="s">
        <v>669</v>
      </c>
      <c r="I522" s="2" t="s">
        <v>2054</v>
      </c>
      <c r="J522" s="2" t="s">
        <v>785</v>
      </c>
      <c r="K522" s="2" t="s">
        <v>1834</v>
      </c>
      <c r="L522" s="3">
        <v>72.33</v>
      </c>
      <c r="M522" s="3">
        <v>75.94</v>
      </c>
      <c r="N522" s="3">
        <v>159.99</v>
      </c>
      <c r="O522" s="2" t="s">
        <v>473</v>
      </c>
      <c r="P522" s="2" t="s">
        <v>447</v>
      </c>
      <c r="Q522" s="2" t="s">
        <v>99</v>
      </c>
      <c r="R522" s="2" t="s">
        <v>100</v>
      </c>
      <c r="S522" s="2" t="s">
        <v>2055</v>
      </c>
      <c r="T522" s="2" t="s">
        <v>359</v>
      </c>
      <c r="U522" s="2" t="s">
        <v>1508</v>
      </c>
      <c r="V522" s="2" t="s">
        <v>645</v>
      </c>
      <c r="W522" s="2" t="s">
        <v>646</v>
      </c>
      <c r="X522" s="2" t="s">
        <v>898</v>
      </c>
      <c r="Y522" s="2" t="s">
        <v>2056</v>
      </c>
      <c r="Z522" s="4">
        <v>638</v>
      </c>
      <c r="AA522" s="4">
        <f>=ROUNDDOWN(66.4583333333333,0)</f>
      </c>
      <c r="AB522" s="5">
        <v>9.6</v>
      </c>
      <c r="AC522" s="2" t="s">
        <v>100</v>
      </c>
      <c r="AD522" s="4"/>
      <c r="AE522" s="4"/>
      <c r="AF522" s="6">
        <v>69</v>
      </c>
      <c r="AG522" s="6"/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>
        <v>1</v>
      </c>
      <c r="AQ522" s="8">
        <v>79.74</v>
      </c>
      <c r="AR522" s="4"/>
      <c r="AS522" s="8"/>
      <c r="AT522" s="7"/>
      <c r="AU522" s="7"/>
      <c r="AV522" s="4">
        <v>1</v>
      </c>
      <c r="AW522" s="8">
        <v>79.74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>
        <v>1</v>
      </c>
      <c r="BC522" s="4">
        <v>1</v>
      </c>
      <c r="BD522" s="8">
        <v>79.74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>
        <v>1</v>
      </c>
      <c r="BJ522" s="4">
        <v>15</v>
      </c>
      <c r="BK522" s="8">
        <v>731.69</v>
      </c>
      <c r="BL522" s="2" t="s">
        <v>2057</v>
      </c>
      <c r="BM522" s="7">
        <v>0.0667</v>
      </c>
      <c r="BN522" s="7">
        <v>0.109</v>
      </c>
      <c r="BO522" s="4">
        <v>1</v>
      </c>
      <c r="BP522" s="8">
        <v>79.74</v>
      </c>
      <c r="BQ522" s="4"/>
      <c r="BR522" s="8"/>
      <c r="BS522" s="7"/>
      <c r="BT522" s="7"/>
      <c r="BU522" s="2" t="s">
        <v>109</v>
      </c>
      <c r="BV522" s="2" t="s">
        <v>97</v>
      </c>
      <c r="BW522" s="2" t="s">
        <v>270</v>
      </c>
      <c r="BX522" s="2" t="s">
        <v>2058</v>
      </c>
      <c r="BY522" s="2" t="s">
        <v>112</v>
      </c>
      <c r="BZ522" s="2" t="s">
        <v>100</v>
      </c>
    </row>
    <row r="523">
      <c r="A523" s="2" t="s">
        <v>2059</v>
      </c>
      <c r="B523" s="2" t="s">
        <v>87</v>
      </c>
      <c r="C523" s="2" t="s">
        <v>88</v>
      </c>
      <c r="D523" s="2" t="s">
        <v>89</v>
      </c>
      <c r="E523" s="2" t="s">
        <v>2030</v>
      </c>
      <c r="F523" s="2" t="s">
        <v>2052</v>
      </c>
      <c r="G523" s="2" t="s">
        <v>2053</v>
      </c>
      <c r="H523" s="2" t="s">
        <v>669</v>
      </c>
      <c r="I523" s="2" t="s">
        <v>2054</v>
      </c>
      <c r="J523" s="2" t="s">
        <v>795</v>
      </c>
      <c r="K523" s="2" t="s">
        <v>1834</v>
      </c>
      <c r="L523" s="3">
        <v>82.67</v>
      </c>
      <c r="M523" s="3">
        <v>86.8</v>
      </c>
      <c r="N523" s="3">
        <v>179.99</v>
      </c>
      <c r="O523" s="2" t="s">
        <v>473</v>
      </c>
      <c r="P523" s="2" t="s">
        <v>447</v>
      </c>
      <c r="Q523" s="2" t="s">
        <v>99</v>
      </c>
      <c r="R523" s="2" t="s">
        <v>100</v>
      </c>
      <c r="S523" s="2" t="s">
        <v>2055</v>
      </c>
      <c r="T523" s="2" t="s">
        <v>359</v>
      </c>
      <c r="U523" s="2" t="s">
        <v>1508</v>
      </c>
      <c r="V523" s="2" t="s">
        <v>645</v>
      </c>
      <c r="W523" s="2" t="s">
        <v>646</v>
      </c>
      <c r="X523" s="2" t="s">
        <v>898</v>
      </c>
      <c r="Y523" s="2" t="s">
        <v>2056</v>
      </c>
      <c r="Z523" s="4">
        <v>210</v>
      </c>
      <c r="AA523" s="4">
        <f>=ROUNDDOWN(35,0)</f>
      </c>
      <c r="AB523" s="5">
        <v>6</v>
      </c>
      <c r="AC523" s="2" t="s">
        <v>100</v>
      </c>
      <c r="AD523" s="4"/>
      <c r="AE523" s="4"/>
      <c r="AF523" s="6">
        <v>69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/>
      <c r="AQ523" s="8"/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>
        <v>8</v>
      </c>
      <c r="BK523" s="8">
        <v>497.03</v>
      </c>
      <c r="BL523" s="2" t="s">
        <v>2060</v>
      </c>
      <c r="BM523" s="7"/>
      <c r="BN523" s="7"/>
      <c r="BO523" s="4"/>
      <c r="BP523" s="8"/>
      <c r="BQ523" s="4"/>
      <c r="BR523" s="8"/>
      <c r="BS523" s="7"/>
      <c r="BT523" s="7"/>
      <c r="BU523" s="2" t="s">
        <v>109</v>
      </c>
      <c r="BV523" s="2" t="s">
        <v>97</v>
      </c>
      <c r="BW523" s="2" t="s">
        <v>270</v>
      </c>
      <c r="BX523" s="2" t="s">
        <v>2005</v>
      </c>
      <c r="BY523" s="2" t="s">
        <v>112</v>
      </c>
      <c r="BZ523" s="2" t="s">
        <v>100</v>
      </c>
    </row>
    <row r="524">
      <c r="A524" s="2" t="s">
        <v>2061</v>
      </c>
      <c r="B524" s="2" t="s">
        <v>87</v>
      </c>
      <c r="C524" s="2" t="s">
        <v>88</v>
      </c>
      <c r="D524" s="2" t="s">
        <v>89</v>
      </c>
      <c r="E524" s="2" t="s">
        <v>2030</v>
      </c>
      <c r="F524" s="2" t="s">
        <v>2062</v>
      </c>
      <c r="G524" s="2" t="s">
        <v>2063</v>
      </c>
      <c r="H524" s="2" t="s">
        <v>2064</v>
      </c>
      <c r="I524" s="2" t="s">
        <v>2065</v>
      </c>
      <c r="J524" s="2" t="s">
        <v>785</v>
      </c>
      <c r="K524" s="2" t="s">
        <v>198</v>
      </c>
      <c r="L524" s="3">
        <v>57.6</v>
      </c>
      <c r="M524" s="3">
        <v>60.47</v>
      </c>
      <c r="N524" s="3">
        <v>119.99</v>
      </c>
      <c r="O524" s="2" t="s">
        <v>97</v>
      </c>
      <c r="P524" s="2" t="s">
        <v>587</v>
      </c>
      <c r="Q524" s="2" t="s">
        <v>99</v>
      </c>
      <c r="R524" s="2" t="s">
        <v>100</v>
      </c>
      <c r="S524" s="2" t="s">
        <v>2066</v>
      </c>
      <c r="T524" s="2" t="s">
        <v>100</v>
      </c>
      <c r="U524" s="2" t="s">
        <v>1508</v>
      </c>
      <c r="V524" s="2" t="s">
        <v>645</v>
      </c>
      <c r="W524" s="2" t="s">
        <v>976</v>
      </c>
      <c r="X524" s="2" t="s">
        <v>1483</v>
      </c>
      <c r="Y524" s="2" t="s">
        <v>2067</v>
      </c>
      <c r="Z524" s="4">
        <v>265</v>
      </c>
      <c r="AA524" s="4">
        <f>=ROUNDDOWN(33.125,0)</f>
      </c>
      <c r="AB524" s="5">
        <v>8</v>
      </c>
      <c r="AC524" s="2" t="s">
        <v>695</v>
      </c>
      <c r="AD524" s="4">
        <v>119</v>
      </c>
      <c r="AE524" s="4">
        <v>149</v>
      </c>
      <c r="AF524" s="6">
        <v>65</v>
      </c>
      <c r="AG524" s="6">
        <v>73</v>
      </c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/>
      <c r="AQ524" s="8"/>
      <c r="AR524" s="4"/>
      <c r="AS524" s="8"/>
      <c r="AT524" s="7"/>
      <c r="AU524" s="7"/>
      <c r="AV524" s="4">
        <v>1</v>
      </c>
      <c r="AW524" s="8">
        <v>67.63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/>
      <c r="BC524" s="4">
        <v>1</v>
      </c>
      <c r="BD524" s="8">
        <v>67.63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>
        <v>1</v>
      </c>
      <c r="BJ524" s="4">
        <v>5</v>
      </c>
      <c r="BK524" s="8">
        <v>299.67</v>
      </c>
      <c r="BL524" s="2" t="s">
        <v>2068</v>
      </c>
      <c r="BM524" s="7"/>
      <c r="BN524" s="7"/>
      <c r="BO524" s="4"/>
      <c r="BP524" s="8"/>
      <c r="BQ524" s="4"/>
      <c r="BR524" s="8"/>
      <c r="BS524" s="7"/>
      <c r="BT524" s="7"/>
      <c r="BU524" s="2" t="s">
        <v>109</v>
      </c>
      <c r="BV524" s="2" t="s">
        <v>97</v>
      </c>
      <c r="BW524" s="2" t="s">
        <v>1159</v>
      </c>
      <c r="BX524" s="2" t="s">
        <v>2069</v>
      </c>
      <c r="BY524" s="2" t="s">
        <v>112</v>
      </c>
      <c r="BZ524" s="2" t="s">
        <v>100</v>
      </c>
    </row>
    <row r="525">
      <c r="A525" s="2" t="s">
        <v>2070</v>
      </c>
      <c r="B525" s="2" t="s">
        <v>87</v>
      </c>
      <c r="C525" s="2" t="s">
        <v>88</v>
      </c>
      <c r="D525" s="2" t="s">
        <v>89</v>
      </c>
      <c r="E525" s="2" t="s">
        <v>2030</v>
      </c>
      <c r="F525" s="2" t="s">
        <v>2062</v>
      </c>
      <c r="G525" s="2" t="s">
        <v>2063</v>
      </c>
      <c r="H525" s="2" t="s">
        <v>2064</v>
      </c>
      <c r="I525" s="2" t="s">
        <v>2065</v>
      </c>
      <c r="J525" s="2" t="s">
        <v>795</v>
      </c>
      <c r="K525" s="2" t="s">
        <v>198</v>
      </c>
      <c r="L525" s="3">
        <v>62.4</v>
      </c>
      <c r="M525" s="3">
        <v>65.51</v>
      </c>
      <c r="N525" s="3">
        <v>129.99</v>
      </c>
      <c r="O525" s="2" t="s">
        <v>97</v>
      </c>
      <c r="P525" s="2" t="s">
        <v>587</v>
      </c>
      <c r="Q525" s="2" t="s">
        <v>99</v>
      </c>
      <c r="R525" s="2" t="s">
        <v>100</v>
      </c>
      <c r="S525" s="2" t="s">
        <v>2066</v>
      </c>
      <c r="T525" s="2" t="s">
        <v>100</v>
      </c>
      <c r="U525" s="2" t="s">
        <v>1508</v>
      </c>
      <c r="V525" s="2" t="s">
        <v>645</v>
      </c>
      <c r="W525" s="2" t="s">
        <v>976</v>
      </c>
      <c r="X525" s="2" t="s">
        <v>1483</v>
      </c>
      <c r="Y525" s="2" t="s">
        <v>2067</v>
      </c>
      <c r="Z525" s="4">
        <v>131</v>
      </c>
      <c r="AA525" s="4">
        <f>=ROUNDDOWN(24.2592592592593,0)</f>
      </c>
      <c r="AB525" s="5">
        <v>5.4</v>
      </c>
      <c r="AC525" s="2" t="s">
        <v>695</v>
      </c>
      <c r="AD525" s="4">
        <v>77</v>
      </c>
      <c r="AE525" s="4">
        <v>117</v>
      </c>
      <c r="AF525" s="6">
        <v>65</v>
      </c>
      <c r="AG525" s="6">
        <v>73</v>
      </c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>
        <v>1</v>
      </c>
      <c r="AQ525" s="8">
        <v>67.63</v>
      </c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>
        <v>1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 t="s">
        <v>100</v>
      </c>
      <c r="BJ525" s="4">
        <v>8</v>
      </c>
      <c r="BK525" s="8">
        <v>544.74</v>
      </c>
      <c r="BL525" s="2" t="s">
        <v>2071</v>
      </c>
      <c r="BM525" s="7">
        <v>0.125</v>
      </c>
      <c r="BN525" s="7">
        <v>0.1242</v>
      </c>
      <c r="BO525" s="4">
        <v>1</v>
      </c>
      <c r="BP525" s="8">
        <v>67.63</v>
      </c>
      <c r="BQ525" s="4"/>
      <c r="BR525" s="8"/>
      <c r="BS525" s="7"/>
      <c r="BT525" s="7"/>
      <c r="BU525" s="2" t="s">
        <v>109</v>
      </c>
      <c r="BV525" s="2" t="s">
        <v>97</v>
      </c>
      <c r="BW525" s="2" t="s">
        <v>2072</v>
      </c>
      <c r="BX525" s="2" t="s">
        <v>2073</v>
      </c>
      <c r="BY525" s="2" t="s">
        <v>112</v>
      </c>
      <c r="BZ525" s="2" t="s">
        <v>100</v>
      </c>
    </row>
    <row r="526">
      <c r="A526" s="2" t="s">
        <v>2074</v>
      </c>
      <c r="B526" s="2" t="s">
        <v>87</v>
      </c>
      <c r="C526" s="2" t="s">
        <v>88</v>
      </c>
      <c r="D526" s="2" t="s">
        <v>89</v>
      </c>
      <c r="E526" s="2" t="s">
        <v>2030</v>
      </c>
      <c r="F526" s="2" t="s">
        <v>2075</v>
      </c>
      <c r="G526" s="2" t="s">
        <v>2076</v>
      </c>
      <c r="H526" s="2" t="s">
        <v>2077</v>
      </c>
      <c r="I526" s="2" t="s">
        <v>2078</v>
      </c>
      <c r="J526" s="2" t="s">
        <v>785</v>
      </c>
      <c r="K526" s="2" t="s">
        <v>1834</v>
      </c>
      <c r="L526" s="3">
        <v>73.6</v>
      </c>
      <c r="M526" s="3">
        <v>77.28</v>
      </c>
      <c r="N526" s="3">
        <v>159.99</v>
      </c>
      <c r="O526" s="2" t="s">
        <v>97</v>
      </c>
      <c r="P526" s="2" t="s">
        <v>98</v>
      </c>
      <c r="Q526" s="2" t="s">
        <v>99</v>
      </c>
      <c r="R526" s="2" t="s">
        <v>100</v>
      </c>
      <c r="S526" s="2" t="s">
        <v>2079</v>
      </c>
      <c r="T526" s="2" t="s">
        <v>100</v>
      </c>
      <c r="U526" s="2" t="s">
        <v>1508</v>
      </c>
      <c r="V526" s="2" t="s">
        <v>551</v>
      </c>
      <c r="W526" s="2" t="s">
        <v>551</v>
      </c>
      <c r="X526" s="2" t="s">
        <v>563</v>
      </c>
      <c r="Y526" s="2" t="s">
        <v>1491</v>
      </c>
      <c r="Z526" s="4">
        <v>261</v>
      </c>
      <c r="AA526" s="4">
        <f>=ROUNDDOWN(17.4,0)</f>
      </c>
      <c r="AB526" s="5">
        <v>15</v>
      </c>
      <c r="AC526" s="2" t="s">
        <v>2080</v>
      </c>
      <c r="AD526" s="4">
        <v>80</v>
      </c>
      <c r="AE526" s="4">
        <v>290</v>
      </c>
      <c r="AF526" s="6">
        <v>69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/>
      <c r="BJ526" s="4">
        <v>6</v>
      </c>
      <c r="BK526" s="8">
        <v>484.78</v>
      </c>
      <c r="BL526" s="2" t="s">
        <v>2081</v>
      </c>
      <c r="BM526" s="7"/>
      <c r="BN526" s="7"/>
      <c r="BO526" s="4"/>
      <c r="BP526" s="8"/>
      <c r="BQ526" s="4"/>
      <c r="BR526" s="8"/>
      <c r="BS526" s="7"/>
      <c r="BT526" s="7"/>
      <c r="BU526" s="2" t="s">
        <v>109</v>
      </c>
      <c r="BV526" s="2" t="s">
        <v>97</v>
      </c>
      <c r="BW526" s="2" t="s">
        <v>266</v>
      </c>
      <c r="BX526" s="2" t="s">
        <v>2082</v>
      </c>
      <c r="BY526" s="2" t="s">
        <v>112</v>
      </c>
      <c r="BZ526" s="2" t="s">
        <v>100</v>
      </c>
    </row>
    <row r="527">
      <c r="A527" s="2" t="s">
        <v>2083</v>
      </c>
      <c r="B527" s="2" t="s">
        <v>87</v>
      </c>
      <c r="C527" s="2" t="s">
        <v>88</v>
      </c>
      <c r="D527" s="2" t="s">
        <v>89</v>
      </c>
      <c r="E527" s="2" t="s">
        <v>2030</v>
      </c>
      <c r="F527" s="2" t="s">
        <v>2075</v>
      </c>
      <c r="G527" s="2" t="s">
        <v>2076</v>
      </c>
      <c r="H527" s="2" t="s">
        <v>2077</v>
      </c>
      <c r="I527" s="2" t="s">
        <v>2078</v>
      </c>
      <c r="J527" s="2" t="s">
        <v>795</v>
      </c>
      <c r="K527" s="2" t="s">
        <v>1834</v>
      </c>
      <c r="L527" s="3">
        <v>84.6</v>
      </c>
      <c r="M527" s="3">
        <v>88.83</v>
      </c>
      <c r="N527" s="3">
        <v>179.99</v>
      </c>
      <c r="O527" s="2" t="s">
        <v>97</v>
      </c>
      <c r="P527" s="2" t="s">
        <v>98</v>
      </c>
      <c r="Q527" s="2" t="s">
        <v>99</v>
      </c>
      <c r="R527" s="2" t="s">
        <v>100</v>
      </c>
      <c r="S527" s="2" t="s">
        <v>2079</v>
      </c>
      <c r="T527" s="2" t="s">
        <v>100</v>
      </c>
      <c r="U527" s="2" t="s">
        <v>1508</v>
      </c>
      <c r="V527" s="2" t="s">
        <v>551</v>
      </c>
      <c r="W527" s="2" t="s">
        <v>551</v>
      </c>
      <c r="X527" s="2" t="s">
        <v>563</v>
      </c>
      <c r="Y527" s="2" t="s">
        <v>1491</v>
      </c>
      <c r="Z527" s="4">
        <v>411</v>
      </c>
      <c r="AA527" s="4">
        <f>=ROUNDDOWN(27.4,0)</f>
      </c>
      <c r="AB527" s="5">
        <v>15</v>
      </c>
      <c r="AC527" s="2" t="s">
        <v>680</v>
      </c>
      <c r="AD527" s="4">
        <v>80</v>
      </c>
      <c r="AE527" s="4">
        <v>310</v>
      </c>
      <c r="AF527" s="6">
        <v>69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/>
      <c r="BJ527" s="4">
        <v>8</v>
      </c>
      <c r="BK527" s="8">
        <v>770.62</v>
      </c>
      <c r="BL527" s="2" t="s">
        <v>2084</v>
      </c>
      <c r="BM527" s="7"/>
      <c r="BN527" s="7"/>
      <c r="BO527" s="4"/>
      <c r="BP527" s="8"/>
      <c r="BQ527" s="4"/>
      <c r="BR527" s="8"/>
      <c r="BS527" s="7"/>
      <c r="BT527" s="7"/>
      <c r="BU527" s="2" t="s">
        <v>109</v>
      </c>
      <c r="BV527" s="2" t="s">
        <v>97</v>
      </c>
      <c r="BW527" s="2" t="s">
        <v>266</v>
      </c>
      <c r="BX527" s="2" t="s">
        <v>1902</v>
      </c>
      <c r="BY527" s="2" t="s">
        <v>112</v>
      </c>
      <c r="BZ527" s="2" t="s">
        <v>100</v>
      </c>
    </row>
    <row r="528">
      <c r="A528" s="2" t="s">
        <v>2085</v>
      </c>
      <c r="B528" s="2" t="s">
        <v>87</v>
      </c>
      <c r="C528" s="2" t="s">
        <v>88</v>
      </c>
      <c r="D528" s="2" t="s">
        <v>89</v>
      </c>
      <c r="E528" s="2" t="s">
        <v>2030</v>
      </c>
      <c r="F528" s="2" t="s">
        <v>2086</v>
      </c>
      <c r="G528" s="2" t="s">
        <v>2087</v>
      </c>
      <c r="H528" s="2" t="s">
        <v>2088</v>
      </c>
      <c r="I528" s="2" t="s">
        <v>2089</v>
      </c>
      <c r="J528" s="2" t="s">
        <v>785</v>
      </c>
      <c r="K528" s="2" t="s">
        <v>253</v>
      </c>
      <c r="L528" s="3">
        <v>41.14</v>
      </c>
      <c r="M528" s="3">
        <v>43.2</v>
      </c>
      <c r="N528" s="3">
        <v>89.99</v>
      </c>
      <c r="O528" s="2" t="s">
        <v>97</v>
      </c>
      <c r="P528" s="2" t="s">
        <v>1216</v>
      </c>
      <c r="Q528" s="2" t="s">
        <v>99</v>
      </c>
      <c r="R528" s="2" t="s">
        <v>100</v>
      </c>
      <c r="S528" s="2" t="s">
        <v>2090</v>
      </c>
      <c r="T528" s="2" t="s">
        <v>359</v>
      </c>
      <c r="U528" s="2" t="s">
        <v>1508</v>
      </c>
      <c r="V528" s="2" t="s">
        <v>677</v>
      </c>
      <c r="W528" s="2" t="s">
        <v>976</v>
      </c>
      <c r="X528" s="2" t="s">
        <v>788</v>
      </c>
      <c r="Y528" s="2" t="s">
        <v>2091</v>
      </c>
      <c r="Z528" s="4">
        <v>336</v>
      </c>
      <c r="AA528" s="4">
        <f>=ROUNDDOWN(56,0)</f>
      </c>
      <c r="AB528" s="5">
        <v>6</v>
      </c>
      <c r="AC528" s="2" t="s">
        <v>100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/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/>
      <c r="BJ528" s="4">
        <v>2</v>
      </c>
      <c r="BK528" s="8">
        <v>93.3</v>
      </c>
      <c r="BL528" s="2" t="s">
        <v>1077</v>
      </c>
      <c r="BM528" s="7"/>
      <c r="BN528" s="7"/>
      <c r="BO528" s="4"/>
      <c r="BP528" s="8"/>
      <c r="BQ528" s="4"/>
      <c r="BR528" s="8"/>
      <c r="BS528" s="7"/>
      <c r="BT528" s="7"/>
      <c r="BU528" s="2" t="s">
        <v>109</v>
      </c>
      <c r="BV528" s="2" t="s">
        <v>97</v>
      </c>
      <c r="BW528" s="2" t="s">
        <v>808</v>
      </c>
      <c r="BX528" s="2" t="s">
        <v>100</v>
      </c>
      <c r="BY528" s="2" t="s">
        <v>112</v>
      </c>
      <c r="BZ528" s="2" t="s">
        <v>100</v>
      </c>
    </row>
    <row r="529">
      <c r="A529" s="2" t="s">
        <v>2092</v>
      </c>
      <c r="B529" s="2" t="s">
        <v>87</v>
      </c>
      <c r="C529" s="2" t="s">
        <v>88</v>
      </c>
      <c r="D529" s="2" t="s">
        <v>89</v>
      </c>
      <c r="E529" s="2" t="s">
        <v>2030</v>
      </c>
      <c r="F529" s="2" t="s">
        <v>2086</v>
      </c>
      <c r="G529" s="2" t="s">
        <v>2087</v>
      </c>
      <c r="H529" s="2" t="s">
        <v>2088</v>
      </c>
      <c r="I529" s="2" t="s">
        <v>2089</v>
      </c>
      <c r="J529" s="2" t="s">
        <v>795</v>
      </c>
      <c r="K529" s="2" t="s">
        <v>253</v>
      </c>
      <c r="L529" s="3">
        <v>45.71</v>
      </c>
      <c r="M529" s="3">
        <v>48</v>
      </c>
      <c r="N529" s="3">
        <v>99.99</v>
      </c>
      <c r="O529" s="2" t="s">
        <v>97</v>
      </c>
      <c r="P529" s="2" t="s">
        <v>1216</v>
      </c>
      <c r="Q529" s="2" t="s">
        <v>99</v>
      </c>
      <c r="R529" s="2" t="s">
        <v>100</v>
      </c>
      <c r="S529" s="2" t="s">
        <v>2090</v>
      </c>
      <c r="T529" s="2" t="s">
        <v>359</v>
      </c>
      <c r="U529" s="2" t="s">
        <v>1508</v>
      </c>
      <c r="V529" s="2" t="s">
        <v>677</v>
      </c>
      <c r="W529" s="2" t="s">
        <v>976</v>
      </c>
      <c r="X529" s="2" t="s">
        <v>788</v>
      </c>
      <c r="Y529" s="2" t="s">
        <v>2093</v>
      </c>
      <c r="Z529" s="4">
        <v>399</v>
      </c>
      <c r="AA529" s="4">
        <f>=ROUNDDOWN(39.9,0)</f>
      </c>
      <c r="AB529" s="5">
        <v>10</v>
      </c>
      <c r="AC529" s="2" t="s">
        <v>100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/>
      <c r="AQ529" s="8"/>
      <c r="AR529" s="4"/>
      <c r="AS529" s="8"/>
      <c r="AT529" s="7"/>
      <c r="AU529" s="7"/>
      <c r="AV529" s="4" t="s">
        <v>100</v>
      </c>
      <c r="AW529" s="8" t="s">
        <v>100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/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/>
      <c r="BJ529" s="4">
        <v>2</v>
      </c>
      <c r="BK529" s="8">
        <v>103.68</v>
      </c>
      <c r="BL529" s="2" t="s">
        <v>715</v>
      </c>
      <c r="BM529" s="7"/>
      <c r="BN529" s="7"/>
      <c r="BO529" s="4"/>
      <c r="BP529" s="8"/>
      <c r="BQ529" s="4"/>
      <c r="BR529" s="8"/>
      <c r="BS529" s="7"/>
      <c r="BT529" s="7"/>
      <c r="BU529" s="2" t="s">
        <v>109</v>
      </c>
      <c r="BV529" s="2" t="s">
        <v>97</v>
      </c>
      <c r="BW529" s="2" t="s">
        <v>1569</v>
      </c>
      <c r="BX529" s="2" t="s">
        <v>100</v>
      </c>
      <c r="BY529" s="2" t="s">
        <v>112</v>
      </c>
      <c r="BZ529" s="2" t="s">
        <v>100</v>
      </c>
    </row>
    <row r="530">
      <c r="A530" s="2" t="s">
        <v>2094</v>
      </c>
      <c r="B530" s="2" t="s">
        <v>87</v>
      </c>
      <c r="C530" s="2" t="s">
        <v>88</v>
      </c>
      <c r="D530" s="2" t="s">
        <v>89</v>
      </c>
      <c r="E530" s="2" t="s">
        <v>2030</v>
      </c>
      <c r="F530" s="2" t="s">
        <v>2095</v>
      </c>
      <c r="G530" s="2" t="s">
        <v>2096</v>
      </c>
      <c r="H530" s="2" t="s">
        <v>2097</v>
      </c>
      <c r="I530" s="2" t="s">
        <v>2098</v>
      </c>
      <c r="J530" s="2" t="s">
        <v>785</v>
      </c>
      <c r="K530" s="2" t="s">
        <v>2099</v>
      </c>
      <c r="L530" s="3">
        <v>41.14</v>
      </c>
      <c r="M530" s="3">
        <v>43.2</v>
      </c>
      <c r="N530" s="3">
        <v>89.99</v>
      </c>
      <c r="O530" s="2" t="s">
        <v>97</v>
      </c>
      <c r="P530" s="2" t="s">
        <v>1216</v>
      </c>
      <c r="Q530" s="2" t="s">
        <v>99</v>
      </c>
      <c r="R530" s="2" t="s">
        <v>100</v>
      </c>
      <c r="S530" s="2" t="s">
        <v>2100</v>
      </c>
      <c r="T530" s="2" t="s">
        <v>359</v>
      </c>
      <c r="U530" s="2" t="s">
        <v>1508</v>
      </c>
      <c r="V530" s="2" t="s">
        <v>677</v>
      </c>
      <c r="W530" s="2" t="s">
        <v>2101</v>
      </c>
      <c r="X530" s="2" t="s">
        <v>105</v>
      </c>
      <c r="Y530" s="2" t="s">
        <v>2102</v>
      </c>
      <c r="Z530" s="4">
        <v>197</v>
      </c>
      <c r="AA530" s="4">
        <f>=ROUNDDOWN(28.1428571428571,0)</f>
      </c>
      <c r="AB530" s="5">
        <v>7</v>
      </c>
      <c r="AC530" s="2" t="s">
        <v>100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/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/>
      <c r="BJ530" s="4">
        <v>3</v>
      </c>
      <c r="BK530" s="8">
        <v>178.15</v>
      </c>
      <c r="BL530" s="2" t="s">
        <v>2103</v>
      </c>
      <c r="BM530" s="7"/>
      <c r="BN530" s="7"/>
      <c r="BO530" s="4"/>
      <c r="BP530" s="8"/>
      <c r="BQ530" s="4"/>
      <c r="BR530" s="8"/>
      <c r="BS530" s="7"/>
      <c r="BT530" s="7"/>
      <c r="BU530" s="2" t="s">
        <v>109</v>
      </c>
      <c r="BV530" s="2" t="s">
        <v>97</v>
      </c>
      <c r="BW530" s="2" t="s">
        <v>1132</v>
      </c>
      <c r="BX530" s="2" t="s">
        <v>2104</v>
      </c>
      <c r="BY530" s="2" t="s">
        <v>112</v>
      </c>
      <c r="BZ530" s="2" t="s">
        <v>100</v>
      </c>
    </row>
    <row r="531">
      <c r="A531" s="2" t="s">
        <v>2105</v>
      </c>
      <c r="B531" s="2" t="s">
        <v>87</v>
      </c>
      <c r="C531" s="2" t="s">
        <v>88</v>
      </c>
      <c r="D531" s="2" t="s">
        <v>89</v>
      </c>
      <c r="E531" s="2" t="s">
        <v>2030</v>
      </c>
      <c r="F531" s="2" t="s">
        <v>2095</v>
      </c>
      <c r="G531" s="2" t="s">
        <v>2096</v>
      </c>
      <c r="H531" s="2" t="s">
        <v>2097</v>
      </c>
      <c r="I531" s="2" t="s">
        <v>2098</v>
      </c>
      <c r="J531" s="2" t="s">
        <v>795</v>
      </c>
      <c r="K531" s="2" t="s">
        <v>2099</v>
      </c>
      <c r="L531" s="3">
        <v>45.71</v>
      </c>
      <c r="M531" s="3">
        <v>48</v>
      </c>
      <c r="N531" s="3">
        <v>99.99</v>
      </c>
      <c r="O531" s="2" t="s">
        <v>97</v>
      </c>
      <c r="P531" s="2" t="s">
        <v>1216</v>
      </c>
      <c r="Q531" s="2" t="s">
        <v>99</v>
      </c>
      <c r="R531" s="2" t="s">
        <v>100</v>
      </c>
      <c r="S531" s="2" t="s">
        <v>2100</v>
      </c>
      <c r="T531" s="2" t="s">
        <v>359</v>
      </c>
      <c r="U531" s="2" t="s">
        <v>1508</v>
      </c>
      <c r="V531" s="2" t="s">
        <v>677</v>
      </c>
      <c r="W531" s="2" t="s">
        <v>2101</v>
      </c>
      <c r="X531" s="2" t="s">
        <v>105</v>
      </c>
      <c r="Y531" s="2" t="s">
        <v>2102</v>
      </c>
      <c r="Z531" s="4">
        <v>175</v>
      </c>
      <c r="AA531" s="4">
        <f>=ROUNDDOWN(25,0)</f>
      </c>
      <c r="AB531" s="5">
        <v>7</v>
      </c>
      <c r="AC531" s="2" t="s">
        <v>100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/>
      <c r="AQ531" s="8"/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/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/>
      <c r="BJ531" s="4">
        <v>2</v>
      </c>
      <c r="BK531" s="8">
        <v>100.8</v>
      </c>
      <c r="BL531" s="2" t="s">
        <v>210</v>
      </c>
      <c r="BM531" s="7"/>
      <c r="BN531" s="7"/>
      <c r="BO531" s="4"/>
      <c r="BP531" s="8"/>
      <c r="BQ531" s="4"/>
      <c r="BR531" s="8"/>
      <c r="BS531" s="7"/>
      <c r="BT531" s="7"/>
      <c r="BU531" s="2" t="s">
        <v>109</v>
      </c>
      <c r="BV531" s="2" t="s">
        <v>97</v>
      </c>
      <c r="BW531" s="2" t="s">
        <v>1132</v>
      </c>
      <c r="BX531" s="2" t="s">
        <v>797</v>
      </c>
      <c r="BY531" s="2" t="s">
        <v>112</v>
      </c>
      <c r="BZ531" s="2" t="s">
        <v>100</v>
      </c>
    </row>
    <row r="532">
      <c r="A532" s="2" t="s">
        <v>2106</v>
      </c>
      <c r="B532" s="2" t="s">
        <v>87</v>
      </c>
      <c r="C532" s="2" t="s">
        <v>88</v>
      </c>
      <c r="D532" s="2" t="s">
        <v>89</v>
      </c>
      <c r="E532" s="2" t="s">
        <v>2030</v>
      </c>
      <c r="F532" s="2" t="s">
        <v>2107</v>
      </c>
      <c r="G532" s="2" t="s">
        <v>2108</v>
      </c>
      <c r="H532" s="2" t="s">
        <v>2109</v>
      </c>
      <c r="I532" s="2" t="s">
        <v>2110</v>
      </c>
      <c r="J532" s="2" t="s">
        <v>785</v>
      </c>
      <c r="K532" s="2" t="s">
        <v>146</v>
      </c>
      <c r="L532" s="3">
        <v>45.71</v>
      </c>
      <c r="M532" s="3">
        <v>48</v>
      </c>
      <c r="N532" s="3">
        <v>99.99</v>
      </c>
      <c r="O532" s="2" t="s">
        <v>97</v>
      </c>
      <c r="P532" s="2" t="s">
        <v>1216</v>
      </c>
      <c r="Q532" s="2" t="s">
        <v>99</v>
      </c>
      <c r="R532" s="2" t="s">
        <v>100</v>
      </c>
      <c r="S532" s="2" t="s">
        <v>2111</v>
      </c>
      <c r="T532" s="2" t="s">
        <v>787</v>
      </c>
      <c r="U532" s="2" t="s">
        <v>1508</v>
      </c>
      <c r="V532" s="2" t="s">
        <v>645</v>
      </c>
      <c r="W532" s="2" t="s">
        <v>646</v>
      </c>
      <c r="X532" s="2" t="s">
        <v>345</v>
      </c>
      <c r="Y532" s="2" t="s">
        <v>2112</v>
      </c>
      <c r="Z532" s="4">
        <v>243</v>
      </c>
      <c r="AA532" s="4">
        <f>=ROUNDDOWN(607.5,0)</f>
      </c>
      <c r="AB532" s="5">
        <v>0.4</v>
      </c>
      <c r="AC532" s="2" t="s">
        <v>2113</v>
      </c>
      <c r="AD532" s="4">
        <v>250</v>
      </c>
      <c r="AE532" s="4">
        <v>250</v>
      </c>
      <c r="AF532" s="6">
        <v>69</v>
      </c>
      <c r="AG532" s="6"/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/>
      <c r="AQ532" s="8"/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/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/>
      <c r="BJ532" s="4"/>
      <c r="BK532" s="8"/>
      <c r="BL532" s="2" t="s">
        <v>100</v>
      </c>
      <c r="BM532" s="7"/>
      <c r="BN532" s="7"/>
      <c r="BO532" s="4"/>
      <c r="BP532" s="8"/>
      <c r="BQ532" s="4"/>
      <c r="BR532" s="8"/>
      <c r="BS532" s="7"/>
      <c r="BT532" s="7"/>
      <c r="BU532" s="2" t="s">
        <v>109</v>
      </c>
      <c r="BV532" s="2" t="s">
        <v>97</v>
      </c>
      <c r="BW532" s="2" t="s">
        <v>1221</v>
      </c>
      <c r="BX532" s="2" t="s">
        <v>100</v>
      </c>
      <c r="BY532" s="2" t="s">
        <v>112</v>
      </c>
      <c r="BZ532" s="2" t="s">
        <v>100</v>
      </c>
    </row>
    <row r="533">
      <c r="A533" s="2" t="s">
        <v>2114</v>
      </c>
      <c r="B533" s="2" t="s">
        <v>87</v>
      </c>
      <c r="C533" s="2" t="s">
        <v>88</v>
      </c>
      <c r="D533" s="2" t="s">
        <v>89</v>
      </c>
      <c r="E533" s="2" t="s">
        <v>2030</v>
      </c>
      <c r="F533" s="2" t="s">
        <v>2107</v>
      </c>
      <c r="G533" s="2" t="s">
        <v>2108</v>
      </c>
      <c r="H533" s="2" t="s">
        <v>2109</v>
      </c>
      <c r="I533" s="2" t="s">
        <v>2110</v>
      </c>
      <c r="J533" s="2" t="s">
        <v>795</v>
      </c>
      <c r="K533" s="2" t="s">
        <v>146</v>
      </c>
      <c r="L533" s="3">
        <v>50.28</v>
      </c>
      <c r="M533" s="3">
        <v>52.79</v>
      </c>
      <c r="N533" s="3">
        <v>109.99</v>
      </c>
      <c r="O533" s="2" t="s">
        <v>97</v>
      </c>
      <c r="P533" s="2" t="s">
        <v>1216</v>
      </c>
      <c r="Q533" s="2" t="s">
        <v>99</v>
      </c>
      <c r="R533" s="2" t="s">
        <v>100</v>
      </c>
      <c r="S533" s="2" t="s">
        <v>2111</v>
      </c>
      <c r="T533" s="2" t="s">
        <v>787</v>
      </c>
      <c r="U533" s="2" t="s">
        <v>1508</v>
      </c>
      <c r="V533" s="2" t="s">
        <v>645</v>
      </c>
      <c r="W533" s="2" t="s">
        <v>646</v>
      </c>
      <c r="X533" s="2" t="s">
        <v>345</v>
      </c>
      <c r="Y533" s="2" t="s">
        <v>2112</v>
      </c>
      <c r="Z533" s="4">
        <v>146</v>
      </c>
      <c r="AA533" s="4">
        <f>=ROUNDDOWN(104.285714285714,0)</f>
      </c>
      <c r="AB533" s="5">
        <v>1.4</v>
      </c>
      <c r="AC533" s="2" t="s">
        <v>2113</v>
      </c>
      <c r="AD533" s="4">
        <v>150</v>
      </c>
      <c r="AE533" s="4">
        <v>150</v>
      </c>
      <c r="AF533" s="6">
        <v>69</v>
      </c>
      <c r="AG533" s="6"/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/>
      <c r="AQ533" s="8"/>
      <c r="AR533" s="4"/>
      <c r="AS533" s="8"/>
      <c r="AT533" s="7"/>
      <c r="AU533" s="7"/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/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/>
      <c r="BJ533" s="4">
        <v>1</v>
      </c>
      <c r="BK533" s="8">
        <v>57.02</v>
      </c>
      <c r="BL533" s="2" t="s">
        <v>2115</v>
      </c>
      <c r="BM533" s="7"/>
      <c r="BN533" s="7"/>
      <c r="BO533" s="4"/>
      <c r="BP533" s="8"/>
      <c r="BQ533" s="4"/>
      <c r="BR533" s="8"/>
      <c r="BS533" s="7"/>
      <c r="BT533" s="7"/>
      <c r="BU533" s="2" t="s">
        <v>109</v>
      </c>
      <c r="BV533" s="2" t="s">
        <v>97</v>
      </c>
      <c r="BW533" s="2" t="s">
        <v>1221</v>
      </c>
      <c r="BX533" s="2" t="s">
        <v>100</v>
      </c>
      <c r="BY533" s="2" t="s">
        <v>112</v>
      </c>
      <c r="BZ533" s="2" t="s">
        <v>100</v>
      </c>
    </row>
    <row r="534">
      <c r="A534" s="2" t="s">
        <v>2116</v>
      </c>
      <c r="B534" s="2" t="s">
        <v>87</v>
      </c>
      <c r="C534" s="2" t="s">
        <v>88</v>
      </c>
      <c r="D534" s="2" t="s">
        <v>89</v>
      </c>
      <c r="E534" s="2" t="s">
        <v>2030</v>
      </c>
      <c r="F534" s="2" t="s">
        <v>2107</v>
      </c>
      <c r="G534" s="2" t="s">
        <v>2108</v>
      </c>
      <c r="H534" s="2" t="s">
        <v>2109</v>
      </c>
      <c r="I534" s="2" t="s">
        <v>2110</v>
      </c>
      <c r="J534" s="2" t="s">
        <v>785</v>
      </c>
      <c r="K534" s="2" t="s">
        <v>213</v>
      </c>
      <c r="L534" s="3">
        <v>45.71</v>
      </c>
      <c r="M534" s="3">
        <v>48</v>
      </c>
      <c r="N534" s="3">
        <v>99.99</v>
      </c>
      <c r="O534" s="2" t="s">
        <v>97</v>
      </c>
      <c r="P534" s="2" t="s">
        <v>1216</v>
      </c>
      <c r="Q534" s="2" t="s">
        <v>99</v>
      </c>
      <c r="R534" s="2" t="s">
        <v>100</v>
      </c>
      <c r="S534" s="2" t="s">
        <v>2117</v>
      </c>
      <c r="T534" s="2" t="s">
        <v>787</v>
      </c>
      <c r="U534" s="2" t="s">
        <v>1508</v>
      </c>
      <c r="V534" s="2" t="s">
        <v>645</v>
      </c>
      <c r="W534" s="2" t="s">
        <v>646</v>
      </c>
      <c r="X534" s="2" t="s">
        <v>345</v>
      </c>
      <c r="Y534" s="2" t="s">
        <v>2112</v>
      </c>
      <c r="Z534" s="4">
        <v>233</v>
      </c>
      <c r="AA534" s="4">
        <f>=ROUNDDOWN(122.631578947368,0)</f>
      </c>
      <c r="AB534" s="5">
        <v>1.9</v>
      </c>
      <c r="AC534" s="2" t="s">
        <v>2113</v>
      </c>
      <c r="AD534" s="4">
        <v>250</v>
      </c>
      <c r="AE534" s="4">
        <v>250</v>
      </c>
      <c r="AF534" s="6">
        <v>69</v>
      </c>
      <c r="AG534" s="6"/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/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/>
      <c r="BJ534" s="4">
        <v>1</v>
      </c>
      <c r="BK534" s="8">
        <v>50.4</v>
      </c>
      <c r="BL534" s="2" t="s">
        <v>210</v>
      </c>
      <c r="BM534" s="7"/>
      <c r="BN534" s="7"/>
      <c r="BO534" s="4"/>
      <c r="BP534" s="8"/>
      <c r="BQ534" s="4"/>
      <c r="BR534" s="8"/>
      <c r="BS534" s="7"/>
      <c r="BT534" s="7"/>
      <c r="BU534" s="2" t="s">
        <v>109</v>
      </c>
      <c r="BV534" s="2" t="s">
        <v>97</v>
      </c>
      <c r="BW534" s="2" t="s">
        <v>1221</v>
      </c>
      <c r="BX534" s="2" t="s">
        <v>100</v>
      </c>
      <c r="BY534" s="2" t="s">
        <v>112</v>
      </c>
      <c r="BZ534" s="2" t="s">
        <v>100</v>
      </c>
    </row>
    <row r="535">
      <c r="A535" s="2" t="s">
        <v>2118</v>
      </c>
      <c r="B535" s="2" t="s">
        <v>87</v>
      </c>
      <c r="C535" s="2" t="s">
        <v>88</v>
      </c>
      <c r="D535" s="2" t="s">
        <v>89</v>
      </c>
      <c r="E535" s="2" t="s">
        <v>2030</v>
      </c>
      <c r="F535" s="2" t="s">
        <v>2107</v>
      </c>
      <c r="G535" s="2" t="s">
        <v>2108</v>
      </c>
      <c r="H535" s="2" t="s">
        <v>2109</v>
      </c>
      <c r="I535" s="2" t="s">
        <v>2110</v>
      </c>
      <c r="J535" s="2" t="s">
        <v>795</v>
      </c>
      <c r="K535" s="2" t="s">
        <v>213</v>
      </c>
      <c r="L535" s="3">
        <v>50.28</v>
      </c>
      <c r="M535" s="3">
        <v>52.79</v>
      </c>
      <c r="N535" s="3">
        <v>109.99</v>
      </c>
      <c r="O535" s="2" t="s">
        <v>97</v>
      </c>
      <c r="P535" s="2" t="s">
        <v>1216</v>
      </c>
      <c r="Q535" s="2" t="s">
        <v>99</v>
      </c>
      <c r="R535" s="2" t="s">
        <v>100</v>
      </c>
      <c r="S535" s="2" t="s">
        <v>2117</v>
      </c>
      <c r="T535" s="2" t="s">
        <v>787</v>
      </c>
      <c r="U535" s="2" t="s">
        <v>1508</v>
      </c>
      <c r="V535" s="2" t="s">
        <v>645</v>
      </c>
      <c r="W535" s="2" t="s">
        <v>646</v>
      </c>
      <c r="X535" s="2" t="s">
        <v>345</v>
      </c>
      <c r="Y535" s="2" t="s">
        <v>2112</v>
      </c>
      <c r="Z535" s="4">
        <v>139</v>
      </c>
      <c r="AA535" s="4">
        <f>=ROUNDDOWN(77.2222222222222,0)</f>
      </c>
      <c r="AB535" s="5">
        <v>1.8</v>
      </c>
      <c r="AC535" s="2" t="s">
        <v>2113</v>
      </c>
      <c r="AD535" s="4">
        <v>150</v>
      </c>
      <c r="AE535" s="4">
        <v>150</v>
      </c>
      <c r="AF535" s="6">
        <v>69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/>
      <c r="BJ535" s="4">
        <v>2</v>
      </c>
      <c r="BK535" s="8">
        <v>130.01</v>
      </c>
      <c r="BL535" s="2" t="s">
        <v>2119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97</v>
      </c>
      <c r="BW535" s="2" t="s">
        <v>1221</v>
      </c>
      <c r="BX535" s="2" t="s">
        <v>100</v>
      </c>
      <c r="BY535" s="2" t="s">
        <v>112</v>
      </c>
      <c r="BZ535" s="2" t="s">
        <v>100</v>
      </c>
    </row>
    <row r="536">
      <c r="A536" s="2" t="s">
        <v>2120</v>
      </c>
      <c r="B536" s="2" t="s">
        <v>87</v>
      </c>
      <c r="C536" s="2" t="s">
        <v>88</v>
      </c>
      <c r="D536" s="2" t="s">
        <v>89</v>
      </c>
      <c r="E536" s="2" t="s">
        <v>2030</v>
      </c>
      <c r="F536" s="2" t="s">
        <v>1513</v>
      </c>
      <c r="G536" s="2" t="s">
        <v>2121</v>
      </c>
      <c r="H536" s="2" t="s">
        <v>2122</v>
      </c>
      <c r="I536" s="2" t="s">
        <v>2123</v>
      </c>
      <c r="J536" s="2" t="s">
        <v>785</v>
      </c>
      <c r="K536" s="2" t="s">
        <v>2124</v>
      </c>
      <c r="L536" s="3">
        <v>36.57</v>
      </c>
      <c r="M536" s="3">
        <v>38.4</v>
      </c>
      <c r="N536" s="3">
        <v>79.99</v>
      </c>
      <c r="O536" s="2" t="s">
        <v>97</v>
      </c>
      <c r="P536" s="2" t="s">
        <v>1216</v>
      </c>
      <c r="Q536" s="2" t="s">
        <v>99</v>
      </c>
      <c r="R536" s="2" t="s">
        <v>100</v>
      </c>
      <c r="S536" s="2" t="s">
        <v>2125</v>
      </c>
      <c r="T536" s="2" t="s">
        <v>1218</v>
      </c>
      <c r="U536" s="2" t="s">
        <v>1508</v>
      </c>
      <c r="V536" s="2" t="s">
        <v>608</v>
      </c>
      <c r="W536" s="2" t="s">
        <v>646</v>
      </c>
      <c r="X536" s="2" t="s">
        <v>788</v>
      </c>
      <c r="Y536" s="2" t="s">
        <v>2126</v>
      </c>
      <c r="Z536" s="4">
        <v>172</v>
      </c>
      <c r="AA536" s="4">
        <f>=ROUNDDOWN(43,0)</f>
      </c>
      <c r="AB536" s="5">
        <v>4</v>
      </c>
      <c r="AC536" s="2" t="s">
        <v>100</v>
      </c>
      <c r="AD536" s="4"/>
      <c r="AE536" s="4"/>
      <c r="AF536" s="6">
        <v>64</v>
      </c>
      <c r="AG536" s="6"/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/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/>
      <c r="BJ536" s="4">
        <v>2</v>
      </c>
      <c r="BK536" s="8">
        <v>81.79</v>
      </c>
      <c r="BL536" s="2" t="s">
        <v>2127</v>
      </c>
      <c r="BM536" s="7"/>
      <c r="BN536" s="7"/>
      <c r="BO536" s="4"/>
      <c r="BP536" s="8"/>
      <c r="BQ536" s="4"/>
      <c r="BR536" s="8"/>
      <c r="BS536" s="7"/>
      <c r="BT536" s="7"/>
      <c r="BU536" s="2" t="s">
        <v>109</v>
      </c>
      <c r="BV536" s="2" t="s">
        <v>97</v>
      </c>
      <c r="BW536" s="2" t="s">
        <v>1132</v>
      </c>
      <c r="BX536" s="2" t="s">
        <v>793</v>
      </c>
      <c r="BY536" s="2" t="s">
        <v>112</v>
      </c>
      <c r="BZ536" s="2" t="s">
        <v>100</v>
      </c>
    </row>
    <row r="537">
      <c r="A537" s="2" t="s">
        <v>2128</v>
      </c>
      <c r="B537" s="2" t="s">
        <v>87</v>
      </c>
      <c r="C537" s="2" t="s">
        <v>88</v>
      </c>
      <c r="D537" s="2" t="s">
        <v>89</v>
      </c>
      <c r="E537" s="2" t="s">
        <v>2030</v>
      </c>
      <c r="F537" s="2" t="s">
        <v>1513</v>
      </c>
      <c r="G537" s="2" t="s">
        <v>2121</v>
      </c>
      <c r="H537" s="2" t="s">
        <v>2122</v>
      </c>
      <c r="I537" s="2" t="s">
        <v>2123</v>
      </c>
      <c r="J537" s="2" t="s">
        <v>795</v>
      </c>
      <c r="K537" s="2" t="s">
        <v>2124</v>
      </c>
      <c r="L537" s="3">
        <v>41.14</v>
      </c>
      <c r="M537" s="3">
        <v>43.2</v>
      </c>
      <c r="N537" s="3">
        <v>89.99</v>
      </c>
      <c r="O537" s="2" t="s">
        <v>97</v>
      </c>
      <c r="P537" s="2" t="s">
        <v>1216</v>
      </c>
      <c r="Q537" s="2" t="s">
        <v>99</v>
      </c>
      <c r="R537" s="2" t="s">
        <v>100</v>
      </c>
      <c r="S537" s="2" t="s">
        <v>2125</v>
      </c>
      <c r="T537" s="2" t="s">
        <v>1218</v>
      </c>
      <c r="U537" s="2" t="s">
        <v>1508</v>
      </c>
      <c r="V537" s="2" t="s">
        <v>608</v>
      </c>
      <c r="W537" s="2" t="s">
        <v>646</v>
      </c>
      <c r="X537" s="2" t="s">
        <v>788</v>
      </c>
      <c r="Y537" s="2" t="s">
        <v>2129</v>
      </c>
      <c r="Z537" s="4">
        <v>282</v>
      </c>
      <c r="AA537" s="4">
        <f>=ROUNDDOWN(47,0)</f>
      </c>
      <c r="AB537" s="5">
        <v>6</v>
      </c>
      <c r="AC537" s="2" t="s">
        <v>100</v>
      </c>
      <c r="AD537" s="4"/>
      <c r="AE537" s="4"/>
      <c r="AF537" s="6">
        <v>64</v>
      </c>
      <c r="AG537" s="6"/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/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/>
      <c r="BJ537" s="4">
        <v>1</v>
      </c>
      <c r="BK537" s="8">
        <v>36.72</v>
      </c>
      <c r="BL537" s="2" t="s">
        <v>133</v>
      </c>
      <c r="BM537" s="7"/>
      <c r="BN537" s="7"/>
      <c r="BO537" s="4"/>
      <c r="BP537" s="8"/>
      <c r="BQ537" s="4"/>
      <c r="BR537" s="8"/>
      <c r="BS537" s="7"/>
      <c r="BT537" s="7"/>
      <c r="BU537" s="2" t="s">
        <v>109</v>
      </c>
      <c r="BV537" s="2" t="s">
        <v>97</v>
      </c>
      <c r="BW537" s="2" t="s">
        <v>1132</v>
      </c>
      <c r="BX537" s="2" t="s">
        <v>2130</v>
      </c>
      <c r="BY537" s="2" t="s">
        <v>112</v>
      </c>
      <c r="BZ537" s="2" t="s">
        <v>100</v>
      </c>
    </row>
    <row r="538">
      <c r="A538" s="2" t="s">
        <v>2131</v>
      </c>
      <c r="B538" s="2" t="s">
        <v>87</v>
      </c>
      <c r="C538" s="2" t="s">
        <v>88</v>
      </c>
      <c r="D538" s="2" t="s">
        <v>89</v>
      </c>
      <c r="E538" s="2" t="s">
        <v>2030</v>
      </c>
      <c r="F538" s="2" t="s">
        <v>2132</v>
      </c>
      <c r="G538" s="2" t="s">
        <v>2133</v>
      </c>
      <c r="H538" s="2" t="s">
        <v>2134</v>
      </c>
      <c r="I538" s="2" t="s">
        <v>2135</v>
      </c>
      <c r="J538" s="2" t="s">
        <v>785</v>
      </c>
      <c r="K538" s="2" t="s">
        <v>96</v>
      </c>
      <c r="L538" s="3">
        <v>73.6</v>
      </c>
      <c r="M538" s="3">
        <v>77.28</v>
      </c>
      <c r="N538" s="3">
        <v>159.99</v>
      </c>
      <c r="O538" s="2" t="s">
        <v>97</v>
      </c>
      <c r="P538" s="2" t="s">
        <v>98</v>
      </c>
      <c r="Q538" s="2" t="s">
        <v>99</v>
      </c>
      <c r="R538" s="2" t="s">
        <v>100</v>
      </c>
      <c r="S538" s="2" t="s">
        <v>2136</v>
      </c>
      <c r="T538" s="2" t="s">
        <v>359</v>
      </c>
      <c r="U538" s="2" t="s">
        <v>1508</v>
      </c>
      <c r="V538" s="2" t="s">
        <v>608</v>
      </c>
      <c r="W538" s="2" t="s">
        <v>646</v>
      </c>
      <c r="X538" s="2" t="s">
        <v>2137</v>
      </c>
      <c r="Y538" s="2" t="s">
        <v>2138</v>
      </c>
      <c r="Z538" s="4">
        <v>326</v>
      </c>
      <c r="AA538" s="4">
        <f>=ROUNDDOWN(25.0769230769231,0)</f>
      </c>
      <c r="AB538" s="5">
        <v>13</v>
      </c>
      <c r="AC538" s="2" t="s">
        <v>2139</v>
      </c>
      <c r="AD538" s="4">
        <v>50</v>
      </c>
      <c r="AE538" s="4">
        <v>430</v>
      </c>
      <c r="AF538" s="6">
        <v>71</v>
      </c>
      <c r="AG538" s="6">
        <v>79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/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/>
      <c r="BJ538" s="4">
        <v>18</v>
      </c>
      <c r="BK538" s="8">
        <v>1333.95</v>
      </c>
      <c r="BL538" s="2" t="s">
        <v>2140</v>
      </c>
      <c r="BM538" s="7"/>
      <c r="BN538" s="7"/>
      <c r="BO538" s="4"/>
      <c r="BP538" s="8"/>
      <c r="BQ538" s="4"/>
      <c r="BR538" s="8"/>
      <c r="BS538" s="7"/>
      <c r="BT538" s="7"/>
      <c r="BU538" s="2" t="s">
        <v>109</v>
      </c>
      <c r="BV538" s="2" t="s">
        <v>97</v>
      </c>
      <c r="BW538" s="2" t="s">
        <v>122</v>
      </c>
      <c r="BX538" s="2" t="s">
        <v>1842</v>
      </c>
      <c r="BY538" s="2" t="s">
        <v>112</v>
      </c>
      <c r="BZ538" s="2" t="s">
        <v>100</v>
      </c>
    </row>
    <row r="539">
      <c r="A539" s="2" t="s">
        <v>2141</v>
      </c>
      <c r="B539" s="2" t="s">
        <v>87</v>
      </c>
      <c r="C539" s="2" t="s">
        <v>88</v>
      </c>
      <c r="D539" s="2" t="s">
        <v>89</v>
      </c>
      <c r="E539" s="2" t="s">
        <v>2030</v>
      </c>
      <c r="F539" s="2" t="s">
        <v>2132</v>
      </c>
      <c r="G539" s="2" t="s">
        <v>2133</v>
      </c>
      <c r="H539" s="2" t="s">
        <v>2134</v>
      </c>
      <c r="I539" s="2" t="s">
        <v>2135</v>
      </c>
      <c r="J539" s="2" t="s">
        <v>795</v>
      </c>
      <c r="K539" s="2" t="s">
        <v>96</v>
      </c>
      <c r="L539" s="3">
        <v>84.6</v>
      </c>
      <c r="M539" s="3">
        <v>88.83</v>
      </c>
      <c r="N539" s="3">
        <v>179.99</v>
      </c>
      <c r="O539" s="2" t="s">
        <v>97</v>
      </c>
      <c r="P539" s="2" t="s">
        <v>98</v>
      </c>
      <c r="Q539" s="2" t="s">
        <v>99</v>
      </c>
      <c r="R539" s="2" t="s">
        <v>100</v>
      </c>
      <c r="S539" s="2" t="s">
        <v>2136</v>
      </c>
      <c r="T539" s="2" t="s">
        <v>359</v>
      </c>
      <c r="U539" s="2" t="s">
        <v>1508</v>
      </c>
      <c r="V539" s="2" t="s">
        <v>608</v>
      </c>
      <c r="W539" s="2" t="s">
        <v>646</v>
      </c>
      <c r="X539" s="2" t="s">
        <v>2137</v>
      </c>
      <c r="Y539" s="2" t="s">
        <v>2138</v>
      </c>
      <c r="Z539" s="4">
        <v>277</v>
      </c>
      <c r="AA539" s="4">
        <f>=ROUNDDOWN(34.625,0)</f>
      </c>
      <c r="AB539" s="5">
        <v>8</v>
      </c>
      <c r="AC539" s="2" t="s">
        <v>2139</v>
      </c>
      <c r="AD539" s="4">
        <v>30</v>
      </c>
      <c r="AE539" s="4">
        <v>260</v>
      </c>
      <c r="AF539" s="6">
        <v>71</v>
      </c>
      <c r="AG539" s="6">
        <v>79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/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/>
      <c r="BJ539" s="4">
        <v>5</v>
      </c>
      <c r="BK539" s="8">
        <v>349.74</v>
      </c>
      <c r="BL539" s="2" t="s">
        <v>2142</v>
      </c>
      <c r="BM539" s="7"/>
      <c r="BN539" s="7"/>
      <c r="BO539" s="4"/>
      <c r="BP539" s="8"/>
      <c r="BQ539" s="4"/>
      <c r="BR539" s="8"/>
      <c r="BS539" s="7"/>
      <c r="BT539" s="7"/>
      <c r="BU539" s="2" t="s">
        <v>109</v>
      </c>
      <c r="BV539" s="2" t="s">
        <v>97</v>
      </c>
      <c r="BW539" s="2" t="s">
        <v>122</v>
      </c>
      <c r="BX539" s="2" t="s">
        <v>2143</v>
      </c>
      <c r="BY539" s="2" t="s">
        <v>112</v>
      </c>
      <c r="BZ539" s="2" t="s">
        <v>100</v>
      </c>
    </row>
    <row r="540">
      <c r="A540" s="2" t="s">
        <v>2144</v>
      </c>
      <c r="B540" s="2" t="s">
        <v>87</v>
      </c>
      <c r="C540" s="2" t="s">
        <v>88</v>
      </c>
      <c r="D540" s="2" t="s">
        <v>89</v>
      </c>
      <c r="E540" s="2" t="s">
        <v>2030</v>
      </c>
      <c r="F540" s="2" t="s">
        <v>2132</v>
      </c>
      <c r="G540" s="2" t="s">
        <v>2133</v>
      </c>
      <c r="H540" s="2" t="s">
        <v>2134</v>
      </c>
      <c r="I540" s="2" t="s">
        <v>2135</v>
      </c>
      <c r="J540" s="2" t="s">
        <v>785</v>
      </c>
      <c r="K540" s="2" t="s">
        <v>146</v>
      </c>
      <c r="L540" s="3">
        <v>73.6</v>
      </c>
      <c r="M540" s="3">
        <v>77.28</v>
      </c>
      <c r="N540" s="3">
        <v>159.99</v>
      </c>
      <c r="O540" s="2" t="s">
        <v>97</v>
      </c>
      <c r="P540" s="2" t="s">
        <v>98</v>
      </c>
      <c r="Q540" s="2" t="s">
        <v>99</v>
      </c>
      <c r="R540" s="2" t="s">
        <v>100</v>
      </c>
      <c r="S540" s="2" t="s">
        <v>2145</v>
      </c>
      <c r="T540" s="2" t="s">
        <v>359</v>
      </c>
      <c r="U540" s="2" t="s">
        <v>1508</v>
      </c>
      <c r="V540" s="2" t="s">
        <v>608</v>
      </c>
      <c r="W540" s="2" t="s">
        <v>646</v>
      </c>
      <c r="X540" s="2" t="s">
        <v>2137</v>
      </c>
      <c r="Y540" s="2" t="s">
        <v>2138</v>
      </c>
      <c r="Z540" s="4">
        <v>359</v>
      </c>
      <c r="AA540" s="4">
        <f>=ROUNDDOWN(44.875,0)</f>
      </c>
      <c r="AB540" s="5">
        <v>8</v>
      </c>
      <c r="AC540" s="2" t="s">
        <v>2139</v>
      </c>
      <c r="AD540" s="4">
        <v>40</v>
      </c>
      <c r="AE540" s="4">
        <v>260</v>
      </c>
      <c r="AF540" s="6">
        <v>71</v>
      </c>
      <c r="AG540" s="6">
        <v>79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 t="s">
        <v>100</v>
      </c>
      <c r="AW540" s="8" t="s">
        <v>100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/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/>
      <c r="BJ540" s="4">
        <v>3</v>
      </c>
      <c r="BK540" s="8">
        <v>249.61</v>
      </c>
      <c r="BL540" s="2" t="s">
        <v>927</v>
      </c>
      <c r="BM540" s="7"/>
      <c r="BN540" s="7"/>
      <c r="BO540" s="4"/>
      <c r="BP540" s="8"/>
      <c r="BQ540" s="4"/>
      <c r="BR540" s="8"/>
      <c r="BS540" s="7"/>
      <c r="BT540" s="7"/>
      <c r="BU540" s="2" t="s">
        <v>109</v>
      </c>
      <c r="BV540" s="2" t="s">
        <v>97</v>
      </c>
      <c r="BW540" s="2" t="s">
        <v>122</v>
      </c>
      <c r="BX540" s="2" t="s">
        <v>634</v>
      </c>
      <c r="BY540" s="2" t="s">
        <v>112</v>
      </c>
      <c r="BZ540" s="2" t="s">
        <v>100</v>
      </c>
    </row>
    <row r="541">
      <c r="A541" s="2" t="s">
        <v>2146</v>
      </c>
      <c r="B541" s="2" t="s">
        <v>87</v>
      </c>
      <c r="C541" s="2" t="s">
        <v>88</v>
      </c>
      <c r="D541" s="2" t="s">
        <v>89</v>
      </c>
      <c r="E541" s="2" t="s">
        <v>2030</v>
      </c>
      <c r="F541" s="2" t="s">
        <v>2132</v>
      </c>
      <c r="G541" s="2" t="s">
        <v>2133</v>
      </c>
      <c r="H541" s="2" t="s">
        <v>2134</v>
      </c>
      <c r="I541" s="2" t="s">
        <v>2135</v>
      </c>
      <c r="J541" s="2" t="s">
        <v>795</v>
      </c>
      <c r="K541" s="2" t="s">
        <v>146</v>
      </c>
      <c r="L541" s="3">
        <v>84.6</v>
      </c>
      <c r="M541" s="3">
        <v>88.83</v>
      </c>
      <c r="N541" s="3">
        <v>179.99</v>
      </c>
      <c r="O541" s="2" t="s">
        <v>97</v>
      </c>
      <c r="P541" s="2" t="s">
        <v>98</v>
      </c>
      <c r="Q541" s="2" t="s">
        <v>99</v>
      </c>
      <c r="R541" s="2" t="s">
        <v>100</v>
      </c>
      <c r="S541" s="2" t="s">
        <v>2145</v>
      </c>
      <c r="T541" s="2" t="s">
        <v>359</v>
      </c>
      <c r="U541" s="2" t="s">
        <v>1508</v>
      </c>
      <c r="V541" s="2" t="s">
        <v>608</v>
      </c>
      <c r="W541" s="2" t="s">
        <v>646</v>
      </c>
      <c r="X541" s="2" t="s">
        <v>2137</v>
      </c>
      <c r="Y541" s="2" t="s">
        <v>2138</v>
      </c>
      <c r="Z541" s="4">
        <v>551</v>
      </c>
      <c r="AA541" s="4">
        <f>=ROUNDDOWN(45.9166666666667,0)</f>
      </c>
      <c r="AB541" s="5">
        <v>12</v>
      </c>
      <c r="AC541" s="2" t="s">
        <v>2139</v>
      </c>
      <c r="AD541" s="4">
        <v>90</v>
      </c>
      <c r="AE541" s="4">
        <v>380</v>
      </c>
      <c r="AF541" s="6">
        <v>71</v>
      </c>
      <c r="AG541" s="6">
        <v>79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/>
      <c r="AQ541" s="8"/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/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/>
      <c r="BJ541" s="4">
        <v>16</v>
      </c>
      <c r="BK541" s="8">
        <v>1390</v>
      </c>
      <c r="BL541" s="2" t="s">
        <v>2060</v>
      </c>
      <c r="BM541" s="7"/>
      <c r="BN541" s="7"/>
      <c r="BO541" s="4"/>
      <c r="BP541" s="8"/>
      <c r="BQ541" s="4"/>
      <c r="BR541" s="8"/>
      <c r="BS541" s="7"/>
      <c r="BT541" s="7"/>
      <c r="BU541" s="2" t="s">
        <v>109</v>
      </c>
      <c r="BV541" s="2" t="s">
        <v>97</v>
      </c>
      <c r="BW541" s="2" t="s">
        <v>122</v>
      </c>
      <c r="BX541" s="2" t="s">
        <v>1009</v>
      </c>
      <c r="BY541" s="2" t="s">
        <v>112</v>
      </c>
      <c r="BZ541" s="2" t="s">
        <v>100</v>
      </c>
    </row>
    <row r="542">
      <c r="A542" s="2" t="s">
        <v>2147</v>
      </c>
      <c r="B542" s="2" t="s">
        <v>87</v>
      </c>
      <c r="C542" s="2" t="s">
        <v>88</v>
      </c>
      <c r="D542" s="2" t="s">
        <v>89</v>
      </c>
      <c r="E542" s="2" t="s">
        <v>2030</v>
      </c>
      <c r="F542" s="2" t="s">
        <v>2132</v>
      </c>
      <c r="G542" s="2" t="s">
        <v>2133</v>
      </c>
      <c r="H542" s="2" t="s">
        <v>2134</v>
      </c>
      <c r="I542" s="2" t="s">
        <v>2148</v>
      </c>
      <c r="J542" s="2" t="s">
        <v>673</v>
      </c>
      <c r="K542" s="2" t="s">
        <v>1834</v>
      </c>
      <c r="L542" s="3">
        <v>58.5</v>
      </c>
      <c r="M542" s="3">
        <v>61.42</v>
      </c>
      <c r="N542" s="3">
        <v>129.99</v>
      </c>
      <c r="O542" s="2" t="s">
        <v>97</v>
      </c>
      <c r="P542" s="2" t="s">
        <v>242</v>
      </c>
      <c r="Q542" s="2" t="s">
        <v>99</v>
      </c>
      <c r="R542" s="2" t="s">
        <v>100</v>
      </c>
      <c r="S542" s="2" t="s">
        <v>2149</v>
      </c>
      <c r="T542" s="2" t="s">
        <v>100</v>
      </c>
      <c r="U542" s="2" t="s">
        <v>2150</v>
      </c>
      <c r="V542" s="2" t="s">
        <v>608</v>
      </c>
      <c r="W542" s="2" t="s">
        <v>646</v>
      </c>
      <c r="X542" s="2" t="s">
        <v>2137</v>
      </c>
      <c r="Y542" s="2" t="s">
        <v>2151</v>
      </c>
      <c r="Z542" s="4">
        <v>929</v>
      </c>
      <c r="AA542" s="4">
        <f>=ROUNDDOWN(132.714285714286,0)</f>
      </c>
      <c r="AB542" s="5">
        <v>7</v>
      </c>
      <c r="AC542" s="2" t="s">
        <v>100</v>
      </c>
      <c r="AD542" s="4"/>
      <c r="AE542" s="4"/>
      <c r="AF542" s="6">
        <v>71</v>
      </c>
      <c r="AG542" s="6">
        <v>79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/>
      <c r="BJ542" s="4">
        <v>12</v>
      </c>
      <c r="BK542" s="8">
        <v>773.01</v>
      </c>
      <c r="BL542" s="2" t="s">
        <v>760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97</v>
      </c>
      <c r="BW542" s="2" t="s">
        <v>110</v>
      </c>
      <c r="BX542" s="2" t="s">
        <v>967</v>
      </c>
      <c r="BY542" s="2" t="s">
        <v>112</v>
      </c>
      <c r="BZ542" s="2" t="s">
        <v>100</v>
      </c>
    </row>
    <row r="543">
      <c r="A543" s="2" t="s">
        <v>2152</v>
      </c>
      <c r="B543" s="2" t="s">
        <v>87</v>
      </c>
      <c r="C543" s="2" t="s">
        <v>88</v>
      </c>
      <c r="D543" s="2" t="s">
        <v>89</v>
      </c>
      <c r="E543" s="2" t="s">
        <v>2030</v>
      </c>
      <c r="F543" s="2" t="s">
        <v>2132</v>
      </c>
      <c r="G543" s="2" t="s">
        <v>2133</v>
      </c>
      <c r="H543" s="2" t="s">
        <v>2134</v>
      </c>
      <c r="I543" s="2" t="s">
        <v>2135</v>
      </c>
      <c r="J543" s="2" t="s">
        <v>785</v>
      </c>
      <c r="K543" s="2" t="s">
        <v>1834</v>
      </c>
      <c r="L543" s="3">
        <v>73.6</v>
      </c>
      <c r="M543" s="3">
        <v>77.28</v>
      </c>
      <c r="N543" s="3">
        <v>159.99</v>
      </c>
      <c r="O543" s="2" t="s">
        <v>97</v>
      </c>
      <c r="P543" s="2" t="s">
        <v>242</v>
      </c>
      <c r="Q543" s="2" t="s">
        <v>99</v>
      </c>
      <c r="R543" s="2" t="s">
        <v>100</v>
      </c>
      <c r="S543" s="2" t="s">
        <v>2149</v>
      </c>
      <c r="T543" s="2" t="s">
        <v>359</v>
      </c>
      <c r="U543" s="2" t="s">
        <v>1508</v>
      </c>
      <c r="V543" s="2" t="s">
        <v>608</v>
      </c>
      <c r="W543" s="2" t="s">
        <v>646</v>
      </c>
      <c r="X543" s="2" t="s">
        <v>2137</v>
      </c>
      <c r="Y543" s="2" t="s">
        <v>2138</v>
      </c>
      <c r="Z543" s="4">
        <v>1100</v>
      </c>
      <c r="AA543" s="4">
        <f>=ROUNDDOWN(36.6666666666667,0)</f>
      </c>
      <c r="AB543" s="5">
        <v>30</v>
      </c>
      <c r="AC543" s="2" t="s">
        <v>1377</v>
      </c>
      <c r="AD543" s="4">
        <v>160</v>
      </c>
      <c r="AE543" s="4">
        <v>440</v>
      </c>
      <c r="AF543" s="6">
        <v>71</v>
      </c>
      <c r="AG543" s="6">
        <v>79</v>
      </c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100</v>
      </c>
      <c r="AW543" s="8" t="s">
        <v>100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/>
      <c r="BJ543" s="4">
        <v>28</v>
      </c>
      <c r="BK543" s="8">
        <v>2211.03</v>
      </c>
      <c r="BL543" s="2" t="s">
        <v>1271</v>
      </c>
      <c r="BM543" s="7"/>
      <c r="BN543" s="7"/>
      <c r="BO543" s="4"/>
      <c r="BP543" s="8"/>
      <c r="BQ543" s="4"/>
      <c r="BR543" s="8"/>
      <c r="BS543" s="7"/>
      <c r="BT543" s="7"/>
      <c r="BU543" s="2" t="s">
        <v>109</v>
      </c>
      <c r="BV543" s="2" t="s">
        <v>97</v>
      </c>
      <c r="BW543" s="2" t="s">
        <v>122</v>
      </c>
      <c r="BX543" s="2" t="s">
        <v>1385</v>
      </c>
      <c r="BY543" s="2" t="s">
        <v>112</v>
      </c>
      <c r="BZ543" s="2" t="s">
        <v>100</v>
      </c>
    </row>
    <row r="544">
      <c r="A544" s="2" t="s">
        <v>2153</v>
      </c>
      <c r="B544" s="2" t="s">
        <v>87</v>
      </c>
      <c r="C544" s="2" t="s">
        <v>88</v>
      </c>
      <c r="D544" s="2" t="s">
        <v>89</v>
      </c>
      <c r="E544" s="2" t="s">
        <v>2030</v>
      </c>
      <c r="F544" s="2" t="s">
        <v>2132</v>
      </c>
      <c r="G544" s="2" t="s">
        <v>2133</v>
      </c>
      <c r="H544" s="2" t="s">
        <v>2134</v>
      </c>
      <c r="I544" s="2" t="s">
        <v>2135</v>
      </c>
      <c r="J544" s="2" t="s">
        <v>795</v>
      </c>
      <c r="K544" s="2" t="s">
        <v>1834</v>
      </c>
      <c r="L544" s="3">
        <v>84.6</v>
      </c>
      <c r="M544" s="3">
        <v>88.83</v>
      </c>
      <c r="N544" s="3">
        <v>179.99</v>
      </c>
      <c r="O544" s="2" t="s">
        <v>97</v>
      </c>
      <c r="P544" s="2" t="s">
        <v>242</v>
      </c>
      <c r="Q544" s="2" t="s">
        <v>99</v>
      </c>
      <c r="R544" s="2" t="s">
        <v>100</v>
      </c>
      <c r="S544" s="2" t="s">
        <v>2149</v>
      </c>
      <c r="T544" s="2" t="s">
        <v>359</v>
      </c>
      <c r="U544" s="2" t="s">
        <v>1508</v>
      </c>
      <c r="V544" s="2" t="s">
        <v>608</v>
      </c>
      <c r="W544" s="2" t="s">
        <v>646</v>
      </c>
      <c r="X544" s="2" t="s">
        <v>2137</v>
      </c>
      <c r="Y544" s="2" t="s">
        <v>2138</v>
      </c>
      <c r="Z544" s="4">
        <v>1723</v>
      </c>
      <c r="AA544" s="4">
        <f>=ROUNDDOWN(49.2285714285714,0)</f>
      </c>
      <c r="AB544" s="5">
        <v>35</v>
      </c>
      <c r="AC544" s="2" t="s">
        <v>648</v>
      </c>
      <c r="AD544" s="4">
        <v>190</v>
      </c>
      <c r="AE544" s="4">
        <v>440</v>
      </c>
      <c r="AF544" s="6">
        <v>71</v>
      </c>
      <c r="AG544" s="6">
        <v>79</v>
      </c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/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/>
      <c r="BJ544" s="4">
        <v>22</v>
      </c>
      <c r="BK544" s="8">
        <v>1963.6</v>
      </c>
      <c r="BL544" s="2" t="s">
        <v>2154</v>
      </c>
      <c r="BM544" s="7"/>
      <c r="BN544" s="7"/>
      <c r="BO544" s="4"/>
      <c r="BP544" s="8"/>
      <c r="BQ544" s="4"/>
      <c r="BR544" s="8"/>
      <c r="BS544" s="7"/>
      <c r="BT544" s="7"/>
      <c r="BU544" s="2" t="s">
        <v>109</v>
      </c>
      <c r="BV544" s="2" t="s">
        <v>97</v>
      </c>
      <c r="BW544" s="2" t="s">
        <v>122</v>
      </c>
      <c r="BX544" s="2" t="s">
        <v>173</v>
      </c>
      <c r="BY544" s="2" t="s">
        <v>112</v>
      </c>
      <c r="BZ544" s="2" t="s">
        <v>100</v>
      </c>
    </row>
    <row r="545">
      <c r="A545" s="2" t="s">
        <v>2155</v>
      </c>
      <c r="B545" s="2" t="s">
        <v>87</v>
      </c>
      <c r="C545" s="2" t="s">
        <v>88</v>
      </c>
      <c r="D545" s="2" t="s">
        <v>89</v>
      </c>
      <c r="E545" s="2" t="s">
        <v>2030</v>
      </c>
      <c r="F545" s="2" t="s">
        <v>2132</v>
      </c>
      <c r="G545" s="2" t="s">
        <v>2133</v>
      </c>
      <c r="H545" s="2" t="s">
        <v>2134</v>
      </c>
      <c r="I545" s="2" t="s">
        <v>2156</v>
      </c>
      <c r="J545" s="2" t="s">
        <v>785</v>
      </c>
      <c r="K545" s="2" t="s">
        <v>175</v>
      </c>
      <c r="L545" s="3">
        <v>73.6</v>
      </c>
      <c r="M545" s="3">
        <v>77.28</v>
      </c>
      <c r="N545" s="3">
        <v>159.99</v>
      </c>
      <c r="O545" s="2" t="s">
        <v>97</v>
      </c>
      <c r="P545" s="2" t="s">
        <v>242</v>
      </c>
      <c r="Q545" s="2" t="s">
        <v>99</v>
      </c>
      <c r="R545" s="2" t="s">
        <v>100</v>
      </c>
      <c r="S545" s="2" t="s">
        <v>2157</v>
      </c>
      <c r="T545" s="2" t="s">
        <v>359</v>
      </c>
      <c r="U545" s="2" t="s">
        <v>1508</v>
      </c>
      <c r="V545" s="2" t="s">
        <v>608</v>
      </c>
      <c r="W545" s="2" t="s">
        <v>646</v>
      </c>
      <c r="X545" s="2" t="s">
        <v>2137</v>
      </c>
      <c r="Y545" s="2" t="s">
        <v>2158</v>
      </c>
      <c r="Z545" s="4">
        <v>495</v>
      </c>
      <c r="AA545" s="4">
        <f>=ROUNDDOWN(41.25,0)</f>
      </c>
      <c r="AB545" s="5">
        <v>12</v>
      </c>
      <c r="AC545" s="2" t="s">
        <v>680</v>
      </c>
      <c r="AD545" s="4">
        <v>70</v>
      </c>
      <c r="AE545" s="4">
        <v>350</v>
      </c>
      <c r="AF545" s="6">
        <v>71</v>
      </c>
      <c r="AG545" s="6">
        <v>79</v>
      </c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/>
      <c r="BJ545" s="4">
        <v>4</v>
      </c>
      <c r="BK545" s="8">
        <v>324.99</v>
      </c>
      <c r="BL545" s="2" t="s">
        <v>1495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110</v>
      </c>
      <c r="BX545" s="2" t="s">
        <v>2159</v>
      </c>
      <c r="BY545" s="2" t="s">
        <v>112</v>
      </c>
      <c r="BZ545" s="2" t="s">
        <v>100</v>
      </c>
    </row>
    <row r="546">
      <c r="A546" s="2" t="s">
        <v>2160</v>
      </c>
      <c r="B546" s="2" t="s">
        <v>87</v>
      </c>
      <c r="C546" s="2" t="s">
        <v>88</v>
      </c>
      <c r="D546" s="2" t="s">
        <v>89</v>
      </c>
      <c r="E546" s="2" t="s">
        <v>2030</v>
      </c>
      <c r="F546" s="2" t="s">
        <v>2132</v>
      </c>
      <c r="G546" s="2" t="s">
        <v>2133</v>
      </c>
      <c r="H546" s="2" t="s">
        <v>2134</v>
      </c>
      <c r="I546" s="2" t="s">
        <v>2156</v>
      </c>
      <c r="J546" s="2" t="s">
        <v>795</v>
      </c>
      <c r="K546" s="2" t="s">
        <v>175</v>
      </c>
      <c r="L546" s="3">
        <v>84.6</v>
      </c>
      <c r="M546" s="3">
        <v>88.83</v>
      </c>
      <c r="N546" s="3">
        <v>179.99</v>
      </c>
      <c r="O546" s="2" t="s">
        <v>97</v>
      </c>
      <c r="P546" s="2" t="s">
        <v>242</v>
      </c>
      <c r="Q546" s="2" t="s">
        <v>99</v>
      </c>
      <c r="R546" s="2" t="s">
        <v>100</v>
      </c>
      <c r="S546" s="2" t="s">
        <v>2157</v>
      </c>
      <c r="T546" s="2" t="s">
        <v>359</v>
      </c>
      <c r="U546" s="2" t="s">
        <v>1508</v>
      </c>
      <c r="V546" s="2" t="s">
        <v>608</v>
      </c>
      <c r="W546" s="2" t="s">
        <v>646</v>
      </c>
      <c r="X546" s="2" t="s">
        <v>2137</v>
      </c>
      <c r="Y546" s="2" t="s">
        <v>2158</v>
      </c>
      <c r="Z546" s="4">
        <v>954</v>
      </c>
      <c r="AA546" s="4">
        <f>=ROUNDDOWN(47.7,0)</f>
      </c>
      <c r="AB546" s="5">
        <v>20</v>
      </c>
      <c r="AC546" s="2" t="s">
        <v>680</v>
      </c>
      <c r="AD546" s="4">
        <v>230</v>
      </c>
      <c r="AE546" s="4">
        <v>669</v>
      </c>
      <c r="AF546" s="6">
        <v>71</v>
      </c>
      <c r="AG546" s="6">
        <v>79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100</v>
      </c>
      <c r="AW546" s="8" t="s">
        <v>100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/>
      <c r="BJ546" s="4">
        <v>12</v>
      </c>
      <c r="BK546" s="8">
        <v>998.9</v>
      </c>
      <c r="BL546" s="2" t="s">
        <v>2161</v>
      </c>
      <c r="BM546" s="7"/>
      <c r="BN546" s="7"/>
      <c r="BO546" s="4"/>
      <c r="BP546" s="8"/>
      <c r="BQ546" s="4"/>
      <c r="BR546" s="8"/>
      <c r="BS546" s="7"/>
      <c r="BT546" s="7"/>
      <c r="BU546" s="2" t="s">
        <v>109</v>
      </c>
      <c r="BV546" s="2" t="s">
        <v>97</v>
      </c>
      <c r="BW546" s="2" t="s">
        <v>110</v>
      </c>
      <c r="BX546" s="2" t="s">
        <v>2162</v>
      </c>
      <c r="BY546" s="2" t="s">
        <v>112</v>
      </c>
      <c r="BZ546" s="2" t="s">
        <v>100</v>
      </c>
    </row>
    <row r="547">
      <c r="A547" s="2" t="s">
        <v>2163</v>
      </c>
      <c r="B547" s="2" t="s">
        <v>87</v>
      </c>
      <c r="C547" s="2" t="s">
        <v>88</v>
      </c>
      <c r="D547" s="2" t="s">
        <v>89</v>
      </c>
      <c r="E547" s="2" t="s">
        <v>2030</v>
      </c>
      <c r="F547" s="2" t="s">
        <v>2164</v>
      </c>
      <c r="G547" s="2" t="s">
        <v>2165</v>
      </c>
      <c r="H547" s="2" t="s">
        <v>2166</v>
      </c>
      <c r="I547" s="2" t="s">
        <v>2167</v>
      </c>
      <c r="J547" s="2" t="s">
        <v>785</v>
      </c>
      <c r="K547" s="2" t="s">
        <v>2168</v>
      </c>
      <c r="L547" s="3">
        <v>36.57</v>
      </c>
      <c r="M547" s="3">
        <v>38.4</v>
      </c>
      <c r="N547" s="3">
        <v>79.99</v>
      </c>
      <c r="O547" s="2" t="s">
        <v>97</v>
      </c>
      <c r="P547" s="2" t="s">
        <v>1216</v>
      </c>
      <c r="Q547" s="2" t="s">
        <v>99</v>
      </c>
      <c r="R547" s="2" t="s">
        <v>100</v>
      </c>
      <c r="S547" s="2" t="s">
        <v>2169</v>
      </c>
      <c r="T547" s="2" t="s">
        <v>359</v>
      </c>
      <c r="U547" s="2" t="s">
        <v>1508</v>
      </c>
      <c r="V547" s="2" t="s">
        <v>677</v>
      </c>
      <c r="W547" s="2" t="s">
        <v>646</v>
      </c>
      <c r="X547" s="2" t="s">
        <v>105</v>
      </c>
      <c r="Y547" s="2" t="s">
        <v>792</v>
      </c>
      <c r="Z547" s="4">
        <v>336</v>
      </c>
      <c r="AA547" s="4">
        <f>=ROUNDDOWN(48,0)</f>
      </c>
      <c r="AB547" s="5">
        <v>7</v>
      </c>
      <c r="AC547" s="2" t="s">
        <v>100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/>
      <c r="BJ547" s="4">
        <v>5</v>
      </c>
      <c r="BK547" s="8">
        <v>200.44</v>
      </c>
      <c r="BL547" s="2" t="s">
        <v>2170</v>
      </c>
      <c r="BM547" s="7"/>
      <c r="BN547" s="7"/>
      <c r="BO547" s="4"/>
      <c r="BP547" s="8"/>
      <c r="BQ547" s="4"/>
      <c r="BR547" s="8"/>
      <c r="BS547" s="7"/>
      <c r="BT547" s="7"/>
      <c r="BU547" s="2" t="s">
        <v>109</v>
      </c>
      <c r="BV547" s="2" t="s">
        <v>97</v>
      </c>
      <c r="BW547" s="2" t="s">
        <v>807</v>
      </c>
      <c r="BX547" s="2" t="s">
        <v>2171</v>
      </c>
      <c r="BY547" s="2" t="s">
        <v>112</v>
      </c>
      <c r="BZ547" s="2" t="s">
        <v>100</v>
      </c>
    </row>
    <row r="548">
      <c r="A548" s="2" t="s">
        <v>2172</v>
      </c>
      <c r="B548" s="2" t="s">
        <v>87</v>
      </c>
      <c r="C548" s="2" t="s">
        <v>88</v>
      </c>
      <c r="D548" s="2" t="s">
        <v>89</v>
      </c>
      <c r="E548" s="2" t="s">
        <v>2030</v>
      </c>
      <c r="F548" s="2" t="s">
        <v>2164</v>
      </c>
      <c r="G548" s="2" t="s">
        <v>2165</v>
      </c>
      <c r="H548" s="2" t="s">
        <v>2166</v>
      </c>
      <c r="I548" s="2" t="s">
        <v>2167</v>
      </c>
      <c r="J548" s="2" t="s">
        <v>795</v>
      </c>
      <c r="K548" s="2" t="s">
        <v>2168</v>
      </c>
      <c r="L548" s="3">
        <v>41.14</v>
      </c>
      <c r="M548" s="3">
        <v>43.2</v>
      </c>
      <c r="N548" s="3">
        <v>89.99</v>
      </c>
      <c r="O548" s="2" t="s">
        <v>97</v>
      </c>
      <c r="P548" s="2" t="s">
        <v>1216</v>
      </c>
      <c r="Q548" s="2" t="s">
        <v>99</v>
      </c>
      <c r="R548" s="2" t="s">
        <v>100</v>
      </c>
      <c r="S548" s="2" t="s">
        <v>2169</v>
      </c>
      <c r="T548" s="2" t="s">
        <v>359</v>
      </c>
      <c r="U548" s="2" t="s">
        <v>1508</v>
      </c>
      <c r="V548" s="2" t="s">
        <v>677</v>
      </c>
      <c r="W548" s="2" t="s">
        <v>646</v>
      </c>
      <c r="X548" s="2" t="s">
        <v>105</v>
      </c>
      <c r="Y548" s="2" t="s">
        <v>2173</v>
      </c>
      <c r="Z548" s="4">
        <v>171</v>
      </c>
      <c r="AA548" s="4">
        <f>=ROUNDDOWN(24.4285714285714,0)</f>
      </c>
      <c r="AB548" s="5">
        <v>7</v>
      </c>
      <c r="AC548" s="2" t="s">
        <v>100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/>
      <c r="BJ548" s="4">
        <v>5</v>
      </c>
      <c r="BK548" s="8">
        <v>229.38</v>
      </c>
      <c r="BL548" s="2" t="s">
        <v>1643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97</v>
      </c>
      <c r="BW548" s="2" t="s">
        <v>2174</v>
      </c>
      <c r="BX548" s="2" t="s">
        <v>2175</v>
      </c>
      <c r="BY548" s="2" t="s">
        <v>112</v>
      </c>
      <c r="BZ548" s="2" t="s">
        <v>100</v>
      </c>
    </row>
    <row r="549">
      <c r="A549" s="2" t="s">
        <v>2176</v>
      </c>
      <c r="B549" s="2" t="s">
        <v>87</v>
      </c>
      <c r="C549" s="2" t="s">
        <v>88</v>
      </c>
      <c r="D549" s="2" t="s">
        <v>89</v>
      </c>
      <c r="E549" s="2" t="s">
        <v>2030</v>
      </c>
      <c r="F549" s="2" t="s">
        <v>2177</v>
      </c>
      <c r="G549" s="2" t="s">
        <v>2178</v>
      </c>
      <c r="H549" s="2" t="s">
        <v>2179</v>
      </c>
      <c r="I549" s="2" t="s">
        <v>2180</v>
      </c>
      <c r="J549" s="2" t="s">
        <v>785</v>
      </c>
      <c r="K549" s="2" t="s">
        <v>198</v>
      </c>
      <c r="L549" s="3">
        <v>47.61</v>
      </c>
      <c r="M549" s="3">
        <v>49.99</v>
      </c>
      <c r="N549" s="3">
        <v>99.99</v>
      </c>
      <c r="O549" s="2" t="s">
        <v>97</v>
      </c>
      <c r="P549" s="2" t="s">
        <v>1216</v>
      </c>
      <c r="Q549" s="2" t="s">
        <v>99</v>
      </c>
      <c r="R549" s="2" t="s">
        <v>100</v>
      </c>
      <c r="S549" s="2" t="s">
        <v>2181</v>
      </c>
      <c r="T549" s="2" t="s">
        <v>1218</v>
      </c>
      <c r="U549" s="2" t="s">
        <v>1508</v>
      </c>
      <c r="V549" s="2" t="s">
        <v>608</v>
      </c>
      <c r="W549" s="2" t="s">
        <v>345</v>
      </c>
      <c r="X549" s="2" t="s">
        <v>646</v>
      </c>
      <c r="Y549" s="2" t="s">
        <v>2182</v>
      </c>
      <c r="Z549" s="4">
        <v>405</v>
      </c>
      <c r="AA549" s="4">
        <f>=ROUNDDOWN(36.8181818181818,0)</f>
      </c>
      <c r="AB549" s="5">
        <v>11</v>
      </c>
      <c r="AC549" s="2" t="s">
        <v>100</v>
      </c>
      <c r="AD549" s="4"/>
      <c r="AE549" s="4"/>
      <c r="AF549" s="6">
        <v>64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100</v>
      </c>
      <c r="AW549" s="8" t="s">
        <v>100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/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/>
      <c r="BJ549" s="4">
        <v>1</v>
      </c>
      <c r="BK549" s="8">
        <v>42.49</v>
      </c>
      <c r="BL549" s="2" t="s">
        <v>133</v>
      </c>
      <c r="BM549" s="7"/>
      <c r="BN549" s="7"/>
      <c r="BO549" s="4"/>
      <c r="BP549" s="8"/>
      <c r="BQ549" s="4"/>
      <c r="BR549" s="8"/>
      <c r="BS549" s="7"/>
      <c r="BT549" s="7"/>
      <c r="BU549" s="2" t="s">
        <v>109</v>
      </c>
      <c r="BV549" s="2" t="s">
        <v>97</v>
      </c>
      <c r="BW549" s="2" t="s">
        <v>2183</v>
      </c>
      <c r="BX549" s="2" t="s">
        <v>2175</v>
      </c>
      <c r="BY549" s="2" t="s">
        <v>112</v>
      </c>
      <c r="BZ549" s="2" t="s">
        <v>100</v>
      </c>
    </row>
    <row r="550">
      <c r="A550" s="2" t="s">
        <v>2184</v>
      </c>
      <c r="B550" s="2" t="s">
        <v>87</v>
      </c>
      <c r="C550" s="2" t="s">
        <v>88</v>
      </c>
      <c r="D550" s="2" t="s">
        <v>89</v>
      </c>
      <c r="E550" s="2" t="s">
        <v>2030</v>
      </c>
      <c r="F550" s="2" t="s">
        <v>2177</v>
      </c>
      <c r="G550" s="2" t="s">
        <v>2178</v>
      </c>
      <c r="H550" s="2" t="s">
        <v>2179</v>
      </c>
      <c r="I550" s="2" t="s">
        <v>2180</v>
      </c>
      <c r="J550" s="2" t="s">
        <v>795</v>
      </c>
      <c r="K550" s="2" t="s">
        <v>198</v>
      </c>
      <c r="L550" s="3">
        <v>57.14</v>
      </c>
      <c r="M550" s="3">
        <v>60</v>
      </c>
      <c r="N550" s="3">
        <v>119.99</v>
      </c>
      <c r="O550" s="2" t="s">
        <v>97</v>
      </c>
      <c r="P550" s="2" t="s">
        <v>1216</v>
      </c>
      <c r="Q550" s="2" t="s">
        <v>99</v>
      </c>
      <c r="R550" s="2" t="s">
        <v>100</v>
      </c>
      <c r="S550" s="2" t="s">
        <v>2181</v>
      </c>
      <c r="T550" s="2" t="s">
        <v>1218</v>
      </c>
      <c r="U550" s="2" t="s">
        <v>1508</v>
      </c>
      <c r="V550" s="2" t="s">
        <v>608</v>
      </c>
      <c r="W550" s="2" t="s">
        <v>345</v>
      </c>
      <c r="X550" s="2" t="s">
        <v>646</v>
      </c>
      <c r="Y550" s="2" t="s">
        <v>2182</v>
      </c>
      <c r="Z550" s="4">
        <v>523</v>
      </c>
      <c r="AA550" s="4">
        <f>=ROUNDDOWN(37.3571428571429,0)</f>
      </c>
      <c r="AB550" s="5">
        <v>14</v>
      </c>
      <c r="AC550" s="2" t="s">
        <v>100</v>
      </c>
      <c r="AD550" s="4"/>
      <c r="AE550" s="4"/>
      <c r="AF550" s="6">
        <v>64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/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/>
      <c r="BJ550" s="4">
        <v>1</v>
      </c>
      <c r="BK550" s="8">
        <v>64.8</v>
      </c>
      <c r="BL550" s="2" t="s">
        <v>715</v>
      </c>
      <c r="BM550" s="7"/>
      <c r="BN550" s="7"/>
      <c r="BO550" s="4"/>
      <c r="BP550" s="8"/>
      <c r="BQ550" s="4"/>
      <c r="BR550" s="8"/>
      <c r="BS550" s="7"/>
      <c r="BT550" s="7"/>
      <c r="BU550" s="2" t="s">
        <v>109</v>
      </c>
      <c r="BV550" s="2" t="s">
        <v>97</v>
      </c>
      <c r="BW550" s="2" t="s">
        <v>2183</v>
      </c>
      <c r="BX550" s="2" t="s">
        <v>2175</v>
      </c>
      <c r="BY550" s="2" t="s">
        <v>112</v>
      </c>
      <c r="BZ550" s="2" t="s">
        <v>100</v>
      </c>
    </row>
    <row r="551">
      <c r="A551" s="2" t="s">
        <v>2185</v>
      </c>
      <c r="B551" s="2" t="s">
        <v>87</v>
      </c>
      <c r="C551" s="2" t="s">
        <v>88</v>
      </c>
      <c r="D551" s="2" t="s">
        <v>89</v>
      </c>
      <c r="E551" s="2" t="s">
        <v>2030</v>
      </c>
      <c r="F551" s="2" t="s">
        <v>2186</v>
      </c>
      <c r="G551" s="2" t="s">
        <v>2187</v>
      </c>
      <c r="H551" s="2" t="s">
        <v>2188</v>
      </c>
      <c r="I551" s="2" t="s">
        <v>2189</v>
      </c>
      <c r="J551" s="2" t="s">
        <v>785</v>
      </c>
      <c r="K551" s="2" t="s">
        <v>1834</v>
      </c>
      <c r="L551" s="3">
        <v>73.5</v>
      </c>
      <c r="M551" s="3">
        <v>77.17</v>
      </c>
      <c r="N551" s="3">
        <v>149.99</v>
      </c>
      <c r="O551" s="2" t="s">
        <v>97</v>
      </c>
      <c r="P551" s="2" t="s">
        <v>98</v>
      </c>
      <c r="Q551" s="2" t="s">
        <v>99</v>
      </c>
      <c r="R551" s="2" t="s">
        <v>100</v>
      </c>
      <c r="S551" s="2" t="s">
        <v>2190</v>
      </c>
      <c r="T551" s="2" t="s">
        <v>359</v>
      </c>
      <c r="U551" s="2" t="s">
        <v>1508</v>
      </c>
      <c r="V551" s="2" t="s">
        <v>677</v>
      </c>
      <c r="W551" s="2" t="s">
        <v>646</v>
      </c>
      <c r="X551" s="2" t="s">
        <v>2191</v>
      </c>
      <c r="Y551" s="2" t="s">
        <v>2192</v>
      </c>
      <c r="Z551" s="4">
        <v>233</v>
      </c>
      <c r="AA551" s="4">
        <f>=ROUNDDOWN(29.125,0)</f>
      </c>
      <c r="AB551" s="5">
        <v>8</v>
      </c>
      <c r="AC551" s="2" t="s">
        <v>860</v>
      </c>
      <c r="AD551" s="4">
        <v>80</v>
      </c>
      <c r="AE551" s="4">
        <v>80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/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/>
      <c r="BJ551" s="4">
        <v>5</v>
      </c>
      <c r="BK551" s="8">
        <v>386.2</v>
      </c>
      <c r="BL551" s="2" t="s">
        <v>919</v>
      </c>
      <c r="BM551" s="7"/>
      <c r="BN551" s="7"/>
      <c r="BO551" s="4"/>
      <c r="BP551" s="8"/>
      <c r="BQ551" s="4"/>
      <c r="BR551" s="8"/>
      <c r="BS551" s="7"/>
      <c r="BT551" s="7"/>
      <c r="BU551" s="2" t="s">
        <v>109</v>
      </c>
      <c r="BV551" s="2" t="s">
        <v>97</v>
      </c>
      <c r="BW551" s="2" t="s">
        <v>566</v>
      </c>
      <c r="BX551" s="2" t="s">
        <v>2193</v>
      </c>
      <c r="BY551" s="2" t="s">
        <v>112</v>
      </c>
      <c r="BZ551" s="2" t="s">
        <v>100</v>
      </c>
    </row>
    <row r="552">
      <c r="A552" s="2" t="s">
        <v>2194</v>
      </c>
      <c r="B552" s="2" t="s">
        <v>87</v>
      </c>
      <c r="C552" s="2" t="s">
        <v>88</v>
      </c>
      <c r="D552" s="2" t="s">
        <v>89</v>
      </c>
      <c r="E552" s="2" t="s">
        <v>2030</v>
      </c>
      <c r="F552" s="2" t="s">
        <v>2186</v>
      </c>
      <c r="G552" s="2" t="s">
        <v>2187</v>
      </c>
      <c r="H552" s="2" t="s">
        <v>2188</v>
      </c>
      <c r="I552" s="2" t="s">
        <v>2189</v>
      </c>
      <c r="J552" s="2" t="s">
        <v>795</v>
      </c>
      <c r="K552" s="2" t="s">
        <v>1834</v>
      </c>
      <c r="L552" s="3">
        <v>83.3</v>
      </c>
      <c r="M552" s="3">
        <v>87.46</v>
      </c>
      <c r="N552" s="3">
        <v>169.99</v>
      </c>
      <c r="O552" s="2" t="s">
        <v>97</v>
      </c>
      <c r="P552" s="2" t="s">
        <v>98</v>
      </c>
      <c r="Q552" s="2" t="s">
        <v>99</v>
      </c>
      <c r="R552" s="2" t="s">
        <v>100</v>
      </c>
      <c r="S552" s="2" t="s">
        <v>2190</v>
      </c>
      <c r="T552" s="2" t="s">
        <v>359</v>
      </c>
      <c r="U552" s="2" t="s">
        <v>1508</v>
      </c>
      <c r="V552" s="2" t="s">
        <v>677</v>
      </c>
      <c r="W552" s="2" t="s">
        <v>646</v>
      </c>
      <c r="X552" s="2" t="s">
        <v>2191</v>
      </c>
      <c r="Y552" s="2" t="s">
        <v>2192</v>
      </c>
      <c r="Z552" s="4">
        <v>328</v>
      </c>
      <c r="AA552" s="4">
        <f>=ROUNDDOWN(41,0)</f>
      </c>
      <c r="AB552" s="5">
        <v>8</v>
      </c>
      <c r="AC552" s="2" t="s">
        <v>100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/>
      <c r="BJ552" s="4">
        <v>5</v>
      </c>
      <c r="BK552" s="8">
        <v>470.55</v>
      </c>
      <c r="BL552" s="2" t="s">
        <v>2195</v>
      </c>
      <c r="BM552" s="7"/>
      <c r="BN552" s="7"/>
      <c r="BO552" s="4"/>
      <c r="BP552" s="8"/>
      <c r="BQ552" s="4"/>
      <c r="BR552" s="8"/>
      <c r="BS552" s="7"/>
      <c r="BT552" s="7"/>
      <c r="BU552" s="2" t="s">
        <v>109</v>
      </c>
      <c r="BV552" s="2" t="s">
        <v>97</v>
      </c>
      <c r="BW552" s="2" t="s">
        <v>566</v>
      </c>
      <c r="BX552" s="2" t="s">
        <v>2196</v>
      </c>
      <c r="BY552" s="2" t="s">
        <v>112</v>
      </c>
      <c r="BZ552" s="2" t="s">
        <v>100</v>
      </c>
    </row>
    <row r="553">
      <c r="A553" s="2" t="s">
        <v>2197</v>
      </c>
      <c r="B553" s="2" t="s">
        <v>87</v>
      </c>
      <c r="C553" s="2" t="s">
        <v>88</v>
      </c>
      <c r="D553" s="2" t="s">
        <v>89</v>
      </c>
      <c r="E553" s="2" t="s">
        <v>2030</v>
      </c>
      <c r="F553" s="2" t="s">
        <v>2186</v>
      </c>
      <c r="G553" s="2" t="s">
        <v>2187</v>
      </c>
      <c r="H553" s="2" t="s">
        <v>2188</v>
      </c>
      <c r="I553" s="2" t="s">
        <v>2189</v>
      </c>
      <c r="J553" s="2" t="s">
        <v>785</v>
      </c>
      <c r="K553" s="2" t="s">
        <v>2198</v>
      </c>
      <c r="L553" s="3">
        <v>73.5</v>
      </c>
      <c r="M553" s="3">
        <v>77.17</v>
      </c>
      <c r="N553" s="3">
        <v>149.99</v>
      </c>
      <c r="O553" s="2" t="s">
        <v>97</v>
      </c>
      <c r="P553" s="2" t="s">
        <v>98</v>
      </c>
      <c r="Q553" s="2" t="s">
        <v>99</v>
      </c>
      <c r="R553" s="2" t="s">
        <v>100</v>
      </c>
      <c r="S553" s="2" t="s">
        <v>2199</v>
      </c>
      <c r="T553" s="2" t="s">
        <v>359</v>
      </c>
      <c r="U553" s="2" t="s">
        <v>1508</v>
      </c>
      <c r="V553" s="2" t="s">
        <v>677</v>
      </c>
      <c r="W553" s="2" t="s">
        <v>646</v>
      </c>
      <c r="X553" s="2" t="s">
        <v>2191</v>
      </c>
      <c r="Y553" s="2" t="s">
        <v>334</v>
      </c>
      <c r="Z553" s="4">
        <v>191</v>
      </c>
      <c r="AA553" s="4">
        <f>=ROUNDDOWN(21.2222222222222,0)</f>
      </c>
      <c r="AB553" s="5">
        <v>9</v>
      </c>
      <c r="AC553" s="2" t="s">
        <v>860</v>
      </c>
      <c r="AD553" s="4">
        <v>160</v>
      </c>
      <c r="AE553" s="4">
        <v>160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/>
      <c r="BJ553" s="4">
        <v>8</v>
      </c>
      <c r="BK553" s="8">
        <v>616.12</v>
      </c>
      <c r="BL553" s="2" t="s">
        <v>2200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97</v>
      </c>
      <c r="BW553" s="2" t="s">
        <v>266</v>
      </c>
      <c r="BX553" s="2" t="s">
        <v>2201</v>
      </c>
      <c r="BY553" s="2" t="s">
        <v>112</v>
      </c>
      <c r="BZ553" s="2" t="s">
        <v>100</v>
      </c>
    </row>
    <row r="554">
      <c r="A554" s="2" t="s">
        <v>2202</v>
      </c>
      <c r="B554" s="2" t="s">
        <v>87</v>
      </c>
      <c r="C554" s="2" t="s">
        <v>88</v>
      </c>
      <c r="D554" s="2" t="s">
        <v>89</v>
      </c>
      <c r="E554" s="2" t="s">
        <v>2030</v>
      </c>
      <c r="F554" s="2" t="s">
        <v>2186</v>
      </c>
      <c r="G554" s="2" t="s">
        <v>2187</v>
      </c>
      <c r="H554" s="2" t="s">
        <v>2188</v>
      </c>
      <c r="I554" s="2" t="s">
        <v>2189</v>
      </c>
      <c r="J554" s="2" t="s">
        <v>795</v>
      </c>
      <c r="K554" s="2" t="s">
        <v>2198</v>
      </c>
      <c r="L554" s="3">
        <v>83.3</v>
      </c>
      <c r="M554" s="3">
        <v>87.46</v>
      </c>
      <c r="N554" s="3">
        <v>169.99</v>
      </c>
      <c r="O554" s="2" t="s">
        <v>97</v>
      </c>
      <c r="P554" s="2" t="s">
        <v>98</v>
      </c>
      <c r="Q554" s="2" t="s">
        <v>99</v>
      </c>
      <c r="R554" s="2" t="s">
        <v>100</v>
      </c>
      <c r="S554" s="2" t="s">
        <v>2199</v>
      </c>
      <c r="T554" s="2" t="s">
        <v>359</v>
      </c>
      <c r="U554" s="2" t="s">
        <v>1508</v>
      </c>
      <c r="V554" s="2" t="s">
        <v>677</v>
      </c>
      <c r="W554" s="2" t="s">
        <v>646</v>
      </c>
      <c r="X554" s="2" t="s">
        <v>2191</v>
      </c>
      <c r="Y554" s="2" t="s">
        <v>334</v>
      </c>
      <c r="Z554" s="4">
        <v>195</v>
      </c>
      <c r="AA554" s="4">
        <f>=ROUNDDOWN(21.6666666666667,0)</f>
      </c>
      <c r="AB554" s="5">
        <v>9</v>
      </c>
      <c r="AC554" s="2" t="s">
        <v>860</v>
      </c>
      <c r="AD554" s="4">
        <v>140</v>
      </c>
      <c r="AE554" s="4">
        <v>140</v>
      </c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/>
      <c r="AQ554" s="8"/>
      <c r="AR554" s="4"/>
      <c r="AS554" s="8"/>
      <c r="AT554" s="7"/>
      <c r="AU554" s="7"/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/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/>
      <c r="BJ554" s="4">
        <v>10</v>
      </c>
      <c r="BK554" s="8">
        <v>902.22</v>
      </c>
      <c r="BL554" s="2" t="s">
        <v>2200</v>
      </c>
      <c r="BM554" s="7"/>
      <c r="BN554" s="7"/>
      <c r="BO554" s="4"/>
      <c r="BP554" s="8"/>
      <c r="BQ554" s="4"/>
      <c r="BR554" s="8"/>
      <c r="BS554" s="7"/>
      <c r="BT554" s="7"/>
      <c r="BU554" s="2" t="s">
        <v>109</v>
      </c>
      <c r="BV554" s="2" t="s">
        <v>97</v>
      </c>
      <c r="BW554" s="2" t="s">
        <v>266</v>
      </c>
      <c r="BX554" s="2" t="s">
        <v>1933</v>
      </c>
      <c r="BY554" s="2" t="s">
        <v>112</v>
      </c>
      <c r="BZ554" s="2" t="s">
        <v>100</v>
      </c>
    </row>
    <row r="555">
      <c r="A555" s="2" t="s">
        <v>2203</v>
      </c>
      <c r="B555" s="2" t="s">
        <v>87</v>
      </c>
      <c r="C555" s="2" t="s">
        <v>88</v>
      </c>
      <c r="D555" s="2" t="s">
        <v>89</v>
      </c>
      <c r="E555" s="2" t="s">
        <v>2030</v>
      </c>
      <c r="F555" s="2" t="s">
        <v>2204</v>
      </c>
      <c r="G555" s="2" t="s">
        <v>2205</v>
      </c>
      <c r="H555" s="2" t="s">
        <v>2206</v>
      </c>
      <c r="I555" s="2" t="s">
        <v>2207</v>
      </c>
      <c r="J555" s="2" t="s">
        <v>785</v>
      </c>
      <c r="K555" s="2" t="s">
        <v>1834</v>
      </c>
      <c r="L555" s="3">
        <v>69.92</v>
      </c>
      <c r="M555" s="3">
        <v>73.42</v>
      </c>
      <c r="N555" s="3">
        <v>139.99</v>
      </c>
      <c r="O555" s="2" t="s">
        <v>97</v>
      </c>
      <c r="P555" s="2" t="s">
        <v>383</v>
      </c>
      <c r="Q555" s="2" t="s">
        <v>99</v>
      </c>
      <c r="R555" s="2" t="s">
        <v>100</v>
      </c>
      <c r="S555" s="2" t="s">
        <v>2208</v>
      </c>
      <c r="T555" s="2" t="s">
        <v>359</v>
      </c>
      <c r="U555" s="2" t="s">
        <v>1508</v>
      </c>
      <c r="V555" s="2" t="s">
        <v>284</v>
      </c>
      <c r="W555" s="2" t="s">
        <v>646</v>
      </c>
      <c r="X555" s="2" t="s">
        <v>647</v>
      </c>
      <c r="Y555" s="2" t="s">
        <v>2209</v>
      </c>
      <c r="Z555" s="4">
        <v>749</v>
      </c>
      <c r="AA555" s="4">
        <f>=ROUNDDOWN(34.0454545454545,0)</f>
      </c>
      <c r="AB555" s="5">
        <v>22</v>
      </c>
      <c r="AC555" s="2" t="s">
        <v>680</v>
      </c>
      <c r="AD555" s="4">
        <v>185</v>
      </c>
      <c r="AE555" s="4">
        <v>555</v>
      </c>
      <c r="AF555" s="6">
        <v>71</v>
      </c>
      <c r="AG555" s="6">
        <v>79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/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/>
      <c r="BJ555" s="4">
        <v>22</v>
      </c>
      <c r="BK555" s="8">
        <v>1695.01</v>
      </c>
      <c r="BL555" s="2" t="s">
        <v>1447</v>
      </c>
      <c r="BM555" s="7"/>
      <c r="BN555" s="7"/>
      <c r="BO555" s="4"/>
      <c r="BP555" s="8"/>
      <c r="BQ555" s="4"/>
      <c r="BR555" s="8"/>
      <c r="BS555" s="7"/>
      <c r="BT555" s="7"/>
      <c r="BU555" s="2" t="s">
        <v>109</v>
      </c>
      <c r="BV555" s="2" t="s">
        <v>97</v>
      </c>
      <c r="BW555" s="2" t="s">
        <v>326</v>
      </c>
      <c r="BX555" s="2" t="s">
        <v>2210</v>
      </c>
      <c r="BY555" s="2" t="s">
        <v>112</v>
      </c>
      <c r="BZ555" s="2" t="s">
        <v>100</v>
      </c>
    </row>
    <row r="556">
      <c r="A556" s="2" t="s">
        <v>2211</v>
      </c>
      <c r="B556" s="2" t="s">
        <v>87</v>
      </c>
      <c r="C556" s="2" t="s">
        <v>88</v>
      </c>
      <c r="D556" s="2" t="s">
        <v>89</v>
      </c>
      <c r="E556" s="2" t="s">
        <v>2030</v>
      </c>
      <c r="F556" s="2" t="s">
        <v>2204</v>
      </c>
      <c r="G556" s="2" t="s">
        <v>2205</v>
      </c>
      <c r="H556" s="2" t="s">
        <v>2206</v>
      </c>
      <c r="I556" s="2" t="s">
        <v>2207</v>
      </c>
      <c r="J556" s="2" t="s">
        <v>795</v>
      </c>
      <c r="K556" s="2" t="s">
        <v>1834</v>
      </c>
      <c r="L556" s="3">
        <v>82.07</v>
      </c>
      <c r="M556" s="3">
        <v>86.17</v>
      </c>
      <c r="N556" s="3">
        <v>159.99</v>
      </c>
      <c r="O556" s="2" t="s">
        <v>97</v>
      </c>
      <c r="P556" s="2" t="s">
        <v>383</v>
      </c>
      <c r="Q556" s="2" t="s">
        <v>99</v>
      </c>
      <c r="R556" s="2" t="s">
        <v>100</v>
      </c>
      <c r="S556" s="2" t="s">
        <v>2208</v>
      </c>
      <c r="T556" s="2" t="s">
        <v>359</v>
      </c>
      <c r="U556" s="2" t="s">
        <v>1508</v>
      </c>
      <c r="V556" s="2" t="s">
        <v>284</v>
      </c>
      <c r="W556" s="2" t="s">
        <v>646</v>
      </c>
      <c r="X556" s="2" t="s">
        <v>647</v>
      </c>
      <c r="Y556" s="2" t="s">
        <v>2209</v>
      </c>
      <c r="Z556" s="4">
        <v>1128</v>
      </c>
      <c r="AA556" s="4">
        <f>=ROUNDDOWN(41.7777777777778,0)</f>
      </c>
      <c r="AB556" s="5">
        <v>27</v>
      </c>
      <c r="AC556" s="2" t="s">
        <v>2212</v>
      </c>
      <c r="AD556" s="4">
        <v>90</v>
      </c>
      <c r="AE556" s="4">
        <v>510</v>
      </c>
      <c r="AF556" s="6">
        <v>71</v>
      </c>
      <c r="AG556" s="6">
        <v>79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/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/>
      <c r="BJ556" s="4">
        <v>17</v>
      </c>
      <c r="BK556" s="8">
        <v>1415.91</v>
      </c>
      <c r="BL556" s="2" t="s">
        <v>2213</v>
      </c>
      <c r="BM556" s="7"/>
      <c r="BN556" s="7"/>
      <c r="BO556" s="4"/>
      <c r="BP556" s="8"/>
      <c r="BQ556" s="4"/>
      <c r="BR556" s="8"/>
      <c r="BS556" s="7"/>
      <c r="BT556" s="7"/>
      <c r="BU556" s="2" t="s">
        <v>109</v>
      </c>
      <c r="BV556" s="2" t="s">
        <v>97</v>
      </c>
      <c r="BW556" s="2" t="s">
        <v>326</v>
      </c>
      <c r="BX556" s="2" t="s">
        <v>1245</v>
      </c>
      <c r="BY556" s="2" t="s">
        <v>112</v>
      </c>
      <c r="BZ556" s="2" t="s">
        <v>100</v>
      </c>
    </row>
    <row r="557">
      <c r="A557" s="2" t="s">
        <v>2214</v>
      </c>
      <c r="B557" s="2" t="s">
        <v>87</v>
      </c>
      <c r="C557" s="2" t="s">
        <v>88</v>
      </c>
      <c r="D557" s="2" t="s">
        <v>89</v>
      </c>
      <c r="E557" s="2" t="s">
        <v>2030</v>
      </c>
      <c r="F557" s="2" t="s">
        <v>2204</v>
      </c>
      <c r="G557" s="2" t="s">
        <v>2205</v>
      </c>
      <c r="H557" s="2" t="s">
        <v>2206</v>
      </c>
      <c r="I557" s="2" t="s">
        <v>2215</v>
      </c>
      <c r="J557" s="2" t="s">
        <v>785</v>
      </c>
      <c r="K557" s="2" t="s">
        <v>175</v>
      </c>
      <c r="L557" s="3">
        <v>69.92</v>
      </c>
      <c r="M557" s="3">
        <v>73.42</v>
      </c>
      <c r="N557" s="3">
        <v>139.99</v>
      </c>
      <c r="O557" s="2" t="s">
        <v>97</v>
      </c>
      <c r="P557" s="2" t="s">
        <v>98</v>
      </c>
      <c r="Q557" s="2" t="s">
        <v>99</v>
      </c>
      <c r="R557" s="2" t="s">
        <v>100</v>
      </c>
      <c r="S557" s="2" t="s">
        <v>2216</v>
      </c>
      <c r="T557" s="2" t="s">
        <v>100</v>
      </c>
      <c r="U557" s="2" t="s">
        <v>1508</v>
      </c>
      <c r="V557" s="2" t="s">
        <v>284</v>
      </c>
      <c r="W557" s="2" t="s">
        <v>646</v>
      </c>
      <c r="X557" s="2" t="s">
        <v>647</v>
      </c>
      <c r="Y557" s="2" t="s">
        <v>2217</v>
      </c>
      <c r="Z557" s="4">
        <v>244</v>
      </c>
      <c r="AA557" s="4">
        <f>=ROUNDDOWN(22.1818181818182,0)</f>
      </c>
      <c r="AB557" s="5">
        <v>11</v>
      </c>
      <c r="AC557" s="2" t="s">
        <v>2080</v>
      </c>
      <c r="AD557" s="4">
        <v>220</v>
      </c>
      <c r="AE557" s="4">
        <v>550</v>
      </c>
      <c r="AF557" s="6">
        <v>71</v>
      </c>
      <c r="AG557" s="6">
        <v>79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/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/>
      <c r="BJ557" s="4">
        <v>2</v>
      </c>
      <c r="BK557" s="8">
        <v>133.18</v>
      </c>
      <c r="BL557" s="2" t="s">
        <v>391</v>
      </c>
      <c r="BM557" s="7"/>
      <c r="BN557" s="7"/>
      <c r="BO557" s="4"/>
      <c r="BP557" s="8"/>
      <c r="BQ557" s="4"/>
      <c r="BR557" s="8"/>
      <c r="BS557" s="7"/>
      <c r="BT557" s="7"/>
      <c r="BU557" s="2" t="s">
        <v>109</v>
      </c>
      <c r="BV557" s="2" t="s">
        <v>97</v>
      </c>
      <c r="BW557" s="2" t="s">
        <v>266</v>
      </c>
      <c r="BX557" s="2" t="s">
        <v>2201</v>
      </c>
      <c r="BY557" s="2" t="s">
        <v>112</v>
      </c>
      <c r="BZ557" s="2" t="s">
        <v>100</v>
      </c>
    </row>
    <row r="558">
      <c r="A558" s="2" t="s">
        <v>2218</v>
      </c>
      <c r="B558" s="2" t="s">
        <v>87</v>
      </c>
      <c r="C558" s="2" t="s">
        <v>88</v>
      </c>
      <c r="D558" s="2" t="s">
        <v>89</v>
      </c>
      <c r="E558" s="2" t="s">
        <v>2030</v>
      </c>
      <c r="F558" s="2" t="s">
        <v>2204</v>
      </c>
      <c r="G558" s="2" t="s">
        <v>2205</v>
      </c>
      <c r="H558" s="2" t="s">
        <v>2206</v>
      </c>
      <c r="I558" s="2" t="s">
        <v>2215</v>
      </c>
      <c r="J558" s="2" t="s">
        <v>795</v>
      </c>
      <c r="K558" s="2" t="s">
        <v>175</v>
      </c>
      <c r="L558" s="3">
        <v>82.07</v>
      </c>
      <c r="M558" s="3">
        <v>86.17</v>
      </c>
      <c r="N558" s="3">
        <v>159.99</v>
      </c>
      <c r="O558" s="2" t="s">
        <v>97</v>
      </c>
      <c r="P558" s="2" t="s">
        <v>98</v>
      </c>
      <c r="Q558" s="2" t="s">
        <v>99</v>
      </c>
      <c r="R558" s="2" t="s">
        <v>100</v>
      </c>
      <c r="S558" s="2" t="s">
        <v>2216</v>
      </c>
      <c r="T558" s="2" t="s">
        <v>100</v>
      </c>
      <c r="U558" s="2" t="s">
        <v>1508</v>
      </c>
      <c r="V558" s="2" t="s">
        <v>284</v>
      </c>
      <c r="W558" s="2" t="s">
        <v>646</v>
      </c>
      <c r="X558" s="2" t="s">
        <v>647</v>
      </c>
      <c r="Y558" s="2" t="s">
        <v>2158</v>
      </c>
      <c r="Z558" s="4">
        <v>558</v>
      </c>
      <c r="AA558" s="4">
        <f>=ROUNDDOWN(29.3684210526316,0)</f>
      </c>
      <c r="AB558" s="5">
        <v>19</v>
      </c>
      <c r="AC558" s="2" t="s">
        <v>2080</v>
      </c>
      <c r="AD558" s="4">
        <v>232</v>
      </c>
      <c r="AE558" s="4">
        <v>890</v>
      </c>
      <c r="AF558" s="6">
        <v>71</v>
      </c>
      <c r="AG558" s="6">
        <v>79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 t="s">
        <v>100</v>
      </c>
      <c r="AW558" s="8" t="s">
        <v>100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/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/>
      <c r="BJ558" s="4">
        <v>8</v>
      </c>
      <c r="BK558" s="8">
        <v>761.46</v>
      </c>
      <c r="BL558" s="2" t="s">
        <v>2219</v>
      </c>
      <c r="BM558" s="7"/>
      <c r="BN558" s="7"/>
      <c r="BO558" s="4"/>
      <c r="BP558" s="8"/>
      <c r="BQ558" s="4"/>
      <c r="BR558" s="8"/>
      <c r="BS558" s="7"/>
      <c r="BT558" s="7"/>
      <c r="BU558" s="2" t="s">
        <v>109</v>
      </c>
      <c r="BV558" s="2" t="s">
        <v>97</v>
      </c>
      <c r="BW558" s="2" t="s">
        <v>266</v>
      </c>
      <c r="BX558" s="2" t="s">
        <v>392</v>
      </c>
      <c r="BY558" s="2" t="s">
        <v>112</v>
      </c>
      <c r="BZ558" s="2" t="s">
        <v>100</v>
      </c>
    </row>
    <row r="559">
      <c r="A559" s="2" t="s">
        <v>2220</v>
      </c>
      <c r="B559" s="2" t="s">
        <v>87</v>
      </c>
      <c r="C559" s="2" t="s">
        <v>88</v>
      </c>
      <c r="D559" s="2" t="s">
        <v>89</v>
      </c>
      <c r="E559" s="2" t="s">
        <v>2030</v>
      </c>
      <c r="F559" s="2" t="s">
        <v>2221</v>
      </c>
      <c r="G559" s="2" t="s">
        <v>1522</v>
      </c>
      <c r="H559" s="2" t="s">
        <v>2222</v>
      </c>
      <c r="I559" s="2" t="s">
        <v>2223</v>
      </c>
      <c r="J559" s="2" t="s">
        <v>785</v>
      </c>
      <c r="K559" s="2" t="s">
        <v>2224</v>
      </c>
      <c r="L559" s="3">
        <v>75.2</v>
      </c>
      <c r="M559" s="3">
        <v>78.96</v>
      </c>
      <c r="N559" s="3">
        <v>159.99</v>
      </c>
      <c r="O559" s="2" t="s">
        <v>97</v>
      </c>
      <c r="P559" s="2" t="s">
        <v>98</v>
      </c>
      <c r="Q559" s="2" t="s">
        <v>99</v>
      </c>
      <c r="R559" s="2" t="s">
        <v>100</v>
      </c>
      <c r="S559" s="2" t="s">
        <v>2225</v>
      </c>
      <c r="T559" s="2" t="s">
        <v>359</v>
      </c>
      <c r="U559" s="2" t="s">
        <v>1508</v>
      </c>
      <c r="V559" s="2" t="s">
        <v>608</v>
      </c>
      <c r="W559" s="2" t="s">
        <v>1064</v>
      </c>
      <c r="X559" s="2" t="s">
        <v>563</v>
      </c>
      <c r="Y559" s="2" t="s">
        <v>1635</v>
      </c>
      <c r="Z559" s="4">
        <v>184</v>
      </c>
      <c r="AA559" s="4">
        <f>=ROUNDDOWN(16.7272727272727,0)</f>
      </c>
      <c r="AB559" s="5">
        <v>11</v>
      </c>
      <c r="AC559" s="2" t="s">
        <v>680</v>
      </c>
      <c r="AD559" s="4">
        <v>70</v>
      </c>
      <c r="AE559" s="4">
        <v>320</v>
      </c>
      <c r="AF559" s="6">
        <v>69</v>
      </c>
      <c r="AG559" s="6"/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/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/>
      <c r="BJ559" s="4">
        <v>12</v>
      </c>
      <c r="BK559" s="8">
        <v>953.06</v>
      </c>
      <c r="BL559" s="2" t="s">
        <v>2226</v>
      </c>
      <c r="BM559" s="7"/>
      <c r="BN559" s="7"/>
      <c r="BO559" s="4"/>
      <c r="BP559" s="8"/>
      <c r="BQ559" s="4"/>
      <c r="BR559" s="8"/>
      <c r="BS559" s="7"/>
      <c r="BT559" s="7"/>
      <c r="BU559" s="2" t="s">
        <v>109</v>
      </c>
      <c r="BV559" s="2" t="s">
        <v>97</v>
      </c>
      <c r="BW559" s="2" t="s">
        <v>266</v>
      </c>
      <c r="BX559" s="2" t="s">
        <v>1792</v>
      </c>
      <c r="BY559" s="2" t="s">
        <v>112</v>
      </c>
      <c r="BZ559" s="2" t="s">
        <v>100</v>
      </c>
    </row>
    <row r="560">
      <c r="A560" s="2" t="s">
        <v>2227</v>
      </c>
      <c r="B560" s="2" t="s">
        <v>87</v>
      </c>
      <c r="C560" s="2" t="s">
        <v>88</v>
      </c>
      <c r="D560" s="2" t="s">
        <v>89</v>
      </c>
      <c r="E560" s="2" t="s">
        <v>2030</v>
      </c>
      <c r="F560" s="2" t="s">
        <v>2221</v>
      </c>
      <c r="G560" s="2" t="s">
        <v>1522</v>
      </c>
      <c r="H560" s="2" t="s">
        <v>2222</v>
      </c>
      <c r="I560" s="2" t="s">
        <v>2223</v>
      </c>
      <c r="J560" s="2" t="s">
        <v>795</v>
      </c>
      <c r="K560" s="2" t="s">
        <v>2224</v>
      </c>
      <c r="L560" s="3">
        <v>86.4</v>
      </c>
      <c r="M560" s="3">
        <v>90.71</v>
      </c>
      <c r="N560" s="3">
        <v>179.99</v>
      </c>
      <c r="O560" s="2" t="s">
        <v>97</v>
      </c>
      <c r="P560" s="2" t="s">
        <v>98</v>
      </c>
      <c r="Q560" s="2" t="s">
        <v>99</v>
      </c>
      <c r="R560" s="2" t="s">
        <v>100</v>
      </c>
      <c r="S560" s="2" t="s">
        <v>2225</v>
      </c>
      <c r="T560" s="2" t="s">
        <v>359</v>
      </c>
      <c r="U560" s="2" t="s">
        <v>1508</v>
      </c>
      <c r="V560" s="2" t="s">
        <v>608</v>
      </c>
      <c r="W560" s="2" t="s">
        <v>1064</v>
      </c>
      <c r="X560" s="2" t="s">
        <v>563</v>
      </c>
      <c r="Y560" s="2" t="s">
        <v>1635</v>
      </c>
      <c r="Z560" s="4">
        <v>190</v>
      </c>
      <c r="AA560" s="4">
        <f>=ROUNDDOWN(9.04761904761905,0)</f>
      </c>
      <c r="AB560" s="5">
        <v>21</v>
      </c>
      <c r="AC560" s="2" t="s">
        <v>680</v>
      </c>
      <c r="AD560" s="4">
        <v>140</v>
      </c>
      <c r="AE560" s="4">
        <v>680</v>
      </c>
      <c r="AF560" s="6">
        <v>69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 t="s">
        <v>100</v>
      </c>
      <c r="AW560" s="8" t="s">
        <v>100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/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/>
      <c r="BJ560" s="4">
        <v>10</v>
      </c>
      <c r="BK560" s="8">
        <v>976.98</v>
      </c>
      <c r="BL560" s="2" t="s">
        <v>2228</v>
      </c>
      <c r="BM560" s="7"/>
      <c r="BN560" s="7"/>
      <c r="BO560" s="4"/>
      <c r="BP560" s="8"/>
      <c r="BQ560" s="4"/>
      <c r="BR560" s="8"/>
      <c r="BS560" s="7"/>
      <c r="BT560" s="7"/>
      <c r="BU560" s="2" t="s">
        <v>109</v>
      </c>
      <c r="BV560" s="2" t="s">
        <v>97</v>
      </c>
      <c r="BW560" s="2" t="s">
        <v>266</v>
      </c>
      <c r="BX560" s="2" t="s">
        <v>1997</v>
      </c>
      <c r="BY560" s="2" t="s">
        <v>112</v>
      </c>
      <c r="BZ560" s="2" t="s">
        <v>100</v>
      </c>
    </row>
    <row r="561">
      <c r="A561" s="2" t="s">
        <v>2229</v>
      </c>
      <c r="B561" s="2" t="s">
        <v>87</v>
      </c>
      <c r="C561" s="2" t="s">
        <v>88</v>
      </c>
      <c r="D561" s="2" t="s">
        <v>2230</v>
      </c>
      <c r="E561" s="2" t="s">
        <v>2231</v>
      </c>
      <c r="F561" s="2" t="s">
        <v>2232</v>
      </c>
      <c r="G561" s="2" t="s">
        <v>2233</v>
      </c>
      <c r="H561" s="2" t="s">
        <v>2234</v>
      </c>
      <c r="I561" s="2" t="s">
        <v>2235</v>
      </c>
      <c r="J561" s="2" t="s">
        <v>2236</v>
      </c>
      <c r="K561" s="2" t="s">
        <v>163</v>
      </c>
      <c r="L561" s="3">
        <v>32.39</v>
      </c>
      <c r="M561" s="3">
        <v>34.01</v>
      </c>
      <c r="N561" s="3">
        <v>64.99</v>
      </c>
      <c r="O561" s="2" t="s">
        <v>97</v>
      </c>
      <c r="P561" s="2" t="s">
        <v>242</v>
      </c>
      <c r="Q561" s="2" t="s">
        <v>99</v>
      </c>
      <c r="R561" s="2" t="s">
        <v>100</v>
      </c>
      <c r="S561" s="2" t="s">
        <v>2237</v>
      </c>
      <c r="T561" s="2" t="s">
        <v>100</v>
      </c>
      <c r="U561" s="2" t="s">
        <v>2150</v>
      </c>
      <c r="V561" s="2" t="s">
        <v>645</v>
      </c>
      <c r="W561" s="2" t="s">
        <v>104</v>
      </c>
      <c r="X561" s="2" t="s">
        <v>976</v>
      </c>
      <c r="Y561" s="2" t="s">
        <v>432</v>
      </c>
      <c r="Z561" s="4">
        <v>199</v>
      </c>
      <c r="AA561" s="4">
        <f>=ROUNDDOWN(15.3076923076923,0)</f>
      </c>
      <c r="AB561" s="5">
        <v>13</v>
      </c>
      <c r="AC561" s="2" t="s">
        <v>165</v>
      </c>
      <c r="AD561" s="4">
        <v>110</v>
      </c>
      <c r="AE561" s="4">
        <v>370</v>
      </c>
      <c r="AF561" s="6">
        <v>65</v>
      </c>
      <c r="AG561" s="6">
        <v>48</v>
      </c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>
        <v>6</v>
      </c>
      <c r="AW561" s="8">
        <v>338.82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/>
      <c r="BC561" s="4">
        <v>26</v>
      </c>
      <c r="BD561" s="8">
        <v>1614.11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>
        <v>0.2099</v>
      </c>
      <c r="BJ561" s="4">
        <v>7</v>
      </c>
      <c r="BK561" s="8">
        <v>234.64</v>
      </c>
      <c r="BL561" s="2" t="s">
        <v>1485</v>
      </c>
      <c r="BM561" s="7"/>
      <c r="BN561" s="7"/>
      <c r="BO561" s="4"/>
      <c r="BP561" s="8"/>
      <c r="BQ561" s="4"/>
      <c r="BR561" s="8"/>
      <c r="BS561" s="7"/>
      <c r="BT561" s="7"/>
      <c r="BU561" s="2" t="s">
        <v>109</v>
      </c>
      <c r="BV561" s="2" t="s">
        <v>97</v>
      </c>
      <c r="BW561" s="2" t="s">
        <v>2238</v>
      </c>
      <c r="BX561" s="2" t="s">
        <v>2239</v>
      </c>
      <c r="BY561" s="2" t="s">
        <v>112</v>
      </c>
      <c r="BZ561" s="2" t="s">
        <v>100</v>
      </c>
    </row>
    <row r="562">
      <c r="A562" s="2" t="s">
        <v>2240</v>
      </c>
      <c r="B562" s="2" t="s">
        <v>87</v>
      </c>
      <c r="C562" s="2" t="s">
        <v>88</v>
      </c>
      <c r="D562" s="2" t="s">
        <v>2230</v>
      </c>
      <c r="E562" s="2" t="s">
        <v>2231</v>
      </c>
      <c r="F562" s="2" t="s">
        <v>2232</v>
      </c>
      <c r="G562" s="2" t="s">
        <v>2233</v>
      </c>
      <c r="H562" s="2" t="s">
        <v>2234</v>
      </c>
      <c r="I562" s="2" t="s">
        <v>2235</v>
      </c>
      <c r="J562" s="2" t="s">
        <v>95</v>
      </c>
      <c r="K562" s="2" t="s">
        <v>163</v>
      </c>
      <c r="L562" s="3">
        <v>39.69</v>
      </c>
      <c r="M562" s="3">
        <v>41.67</v>
      </c>
      <c r="N562" s="3">
        <v>79.99</v>
      </c>
      <c r="O562" s="2" t="s">
        <v>97</v>
      </c>
      <c r="P562" s="2" t="s">
        <v>242</v>
      </c>
      <c r="Q562" s="2" t="s">
        <v>99</v>
      </c>
      <c r="R562" s="2" t="s">
        <v>100</v>
      </c>
      <c r="S562" s="2" t="s">
        <v>2237</v>
      </c>
      <c r="T562" s="2" t="s">
        <v>100</v>
      </c>
      <c r="U562" s="2" t="s">
        <v>1508</v>
      </c>
      <c r="V562" s="2" t="s">
        <v>645</v>
      </c>
      <c r="W562" s="2" t="s">
        <v>104</v>
      </c>
      <c r="X562" s="2" t="s">
        <v>976</v>
      </c>
      <c r="Y562" s="2" t="s">
        <v>432</v>
      </c>
      <c r="Z562" s="4">
        <v>154</v>
      </c>
      <c r="AA562" s="4">
        <f>=ROUNDDOWN(22,0)</f>
      </c>
      <c r="AB562" s="5">
        <v>7</v>
      </c>
      <c r="AC562" s="2" t="s">
        <v>107</v>
      </c>
      <c r="AD562" s="4">
        <v>30</v>
      </c>
      <c r="AE562" s="4">
        <v>160</v>
      </c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>
        <v>2</v>
      </c>
      <c r="AQ562" s="8">
        <v>93.94</v>
      </c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0.2773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 t="s">
        <v>100</v>
      </c>
      <c r="BJ562" s="4">
        <v>8</v>
      </c>
      <c r="BK562" s="8">
        <v>322.91</v>
      </c>
      <c r="BL562" s="2" t="s">
        <v>2241</v>
      </c>
      <c r="BM562" s="7">
        <v>0.25</v>
      </c>
      <c r="BN562" s="7">
        <v>0.2909</v>
      </c>
      <c r="BO562" s="4">
        <v>2</v>
      </c>
      <c r="BP562" s="8">
        <v>93.94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1159</v>
      </c>
      <c r="BX562" s="2" t="s">
        <v>500</v>
      </c>
      <c r="BY562" s="2" t="s">
        <v>112</v>
      </c>
      <c r="BZ562" s="2" t="s">
        <v>100</v>
      </c>
    </row>
    <row r="563">
      <c r="A563" s="2" t="s">
        <v>2242</v>
      </c>
      <c r="B563" s="2" t="s">
        <v>87</v>
      </c>
      <c r="C563" s="2" t="s">
        <v>88</v>
      </c>
      <c r="D563" s="2" t="s">
        <v>2230</v>
      </c>
      <c r="E563" s="2" t="s">
        <v>2231</v>
      </c>
      <c r="F563" s="2" t="s">
        <v>2232</v>
      </c>
      <c r="G563" s="2" t="s">
        <v>2233</v>
      </c>
      <c r="H563" s="2" t="s">
        <v>2234</v>
      </c>
      <c r="I563" s="2" t="s">
        <v>2235</v>
      </c>
      <c r="J563" s="2" t="s">
        <v>114</v>
      </c>
      <c r="K563" s="2" t="s">
        <v>163</v>
      </c>
      <c r="L563" s="3">
        <v>49.5</v>
      </c>
      <c r="M563" s="3">
        <v>51.98</v>
      </c>
      <c r="N563" s="3">
        <v>99.99</v>
      </c>
      <c r="O563" s="2" t="s">
        <v>97</v>
      </c>
      <c r="P563" s="2" t="s">
        <v>242</v>
      </c>
      <c r="Q563" s="2" t="s">
        <v>99</v>
      </c>
      <c r="R563" s="2" t="s">
        <v>100</v>
      </c>
      <c r="S563" s="2" t="s">
        <v>2243</v>
      </c>
      <c r="T563" s="2" t="s">
        <v>100</v>
      </c>
      <c r="U563" s="2" t="s">
        <v>1508</v>
      </c>
      <c r="V563" s="2" t="s">
        <v>645</v>
      </c>
      <c r="W563" s="2" t="s">
        <v>104</v>
      </c>
      <c r="X563" s="2" t="s">
        <v>976</v>
      </c>
      <c r="Y563" s="2" t="s">
        <v>131</v>
      </c>
      <c r="Z563" s="4">
        <v>273</v>
      </c>
      <c r="AA563" s="4">
        <f>=ROUNDDOWN(7.58333333333333,0)</f>
      </c>
      <c r="AB563" s="5">
        <v>36</v>
      </c>
      <c r="AC563" s="2" t="s">
        <v>165</v>
      </c>
      <c r="AD563" s="4">
        <v>80</v>
      </c>
      <c r="AE563" s="4">
        <v>1090</v>
      </c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>
        <v>3</v>
      </c>
      <c r="AQ563" s="8">
        <v>170.85</v>
      </c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>
        <v>0.5043</v>
      </c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26</v>
      </c>
      <c r="BK563" s="8">
        <v>1344.64</v>
      </c>
      <c r="BL563" s="2" t="s">
        <v>2244</v>
      </c>
      <c r="BM563" s="7">
        <v>0.1154</v>
      </c>
      <c r="BN563" s="7">
        <v>0.1271</v>
      </c>
      <c r="BO563" s="4">
        <v>3</v>
      </c>
      <c r="BP563" s="8">
        <v>170.85</v>
      </c>
      <c r="BQ563" s="4"/>
      <c r="BR563" s="8"/>
      <c r="BS563" s="7"/>
      <c r="BT563" s="7"/>
      <c r="BU563" s="2" t="s">
        <v>109</v>
      </c>
      <c r="BV563" s="2" t="s">
        <v>97</v>
      </c>
      <c r="BW563" s="2" t="s">
        <v>122</v>
      </c>
      <c r="BX563" s="2" t="s">
        <v>219</v>
      </c>
      <c r="BY563" s="2" t="s">
        <v>112</v>
      </c>
      <c r="BZ563" s="2" t="s">
        <v>100</v>
      </c>
    </row>
    <row r="564">
      <c r="A564" s="2" t="s">
        <v>2245</v>
      </c>
      <c r="B564" s="2" t="s">
        <v>87</v>
      </c>
      <c r="C564" s="2" t="s">
        <v>88</v>
      </c>
      <c r="D564" s="2" t="s">
        <v>2230</v>
      </c>
      <c r="E564" s="2" t="s">
        <v>2231</v>
      </c>
      <c r="F564" s="2" t="s">
        <v>2232</v>
      </c>
      <c r="G564" s="2" t="s">
        <v>2233</v>
      </c>
      <c r="H564" s="2" t="s">
        <v>2234</v>
      </c>
      <c r="I564" s="2" t="s">
        <v>2235</v>
      </c>
      <c r="J564" s="2" t="s">
        <v>120</v>
      </c>
      <c r="K564" s="2" t="s">
        <v>163</v>
      </c>
      <c r="L564" s="3">
        <v>64.25</v>
      </c>
      <c r="M564" s="3">
        <v>67.46</v>
      </c>
      <c r="N564" s="3">
        <v>129.99</v>
      </c>
      <c r="O564" s="2" t="s">
        <v>97</v>
      </c>
      <c r="P564" s="2" t="s">
        <v>242</v>
      </c>
      <c r="Q564" s="2" t="s">
        <v>99</v>
      </c>
      <c r="R564" s="2" t="s">
        <v>100</v>
      </c>
      <c r="S564" s="2" t="s">
        <v>2243</v>
      </c>
      <c r="T564" s="2" t="s">
        <v>100</v>
      </c>
      <c r="U564" s="2" t="s">
        <v>1508</v>
      </c>
      <c r="V564" s="2" t="s">
        <v>645</v>
      </c>
      <c r="W564" s="2" t="s">
        <v>104</v>
      </c>
      <c r="X564" s="2" t="s">
        <v>976</v>
      </c>
      <c r="Y564" s="2" t="s">
        <v>131</v>
      </c>
      <c r="Z564" s="4">
        <v>369</v>
      </c>
      <c r="AA564" s="4">
        <f>=ROUNDDOWN(9.46153846153846,0)</f>
      </c>
      <c r="AB564" s="5">
        <v>39</v>
      </c>
      <c r="AC564" s="2" t="s">
        <v>165</v>
      </c>
      <c r="AD564" s="4">
        <v>30</v>
      </c>
      <c r="AE564" s="4">
        <v>1120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1</v>
      </c>
      <c r="AQ564" s="8">
        <v>74.03</v>
      </c>
      <c r="AR564" s="4"/>
      <c r="AS564" s="8"/>
      <c r="AT564" s="7"/>
      <c r="AU564" s="7"/>
      <c r="AV564" s="4" t="s">
        <v>100</v>
      </c>
      <c r="AW564" s="8" t="s">
        <v>100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0.2185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 t="s">
        <v>100</v>
      </c>
      <c r="BJ564" s="4">
        <v>20</v>
      </c>
      <c r="BK564" s="8">
        <v>1315.8</v>
      </c>
      <c r="BL564" s="2" t="s">
        <v>2246</v>
      </c>
      <c r="BM564" s="7">
        <v>0.05</v>
      </c>
      <c r="BN564" s="7">
        <v>0.0563</v>
      </c>
      <c r="BO564" s="4">
        <v>1</v>
      </c>
      <c r="BP564" s="8">
        <v>74.03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122</v>
      </c>
      <c r="BX564" s="2" t="s">
        <v>222</v>
      </c>
      <c r="BY564" s="2" t="s">
        <v>112</v>
      </c>
      <c r="BZ564" s="2" t="s">
        <v>100</v>
      </c>
    </row>
    <row r="565">
      <c r="A565" s="2" t="s">
        <v>2247</v>
      </c>
      <c r="B565" s="2" t="s">
        <v>87</v>
      </c>
      <c r="C565" s="2" t="s">
        <v>88</v>
      </c>
      <c r="D565" s="2" t="s">
        <v>2230</v>
      </c>
      <c r="E565" s="2" t="s">
        <v>2231</v>
      </c>
      <c r="F565" s="2" t="s">
        <v>2232</v>
      </c>
      <c r="G565" s="2" t="s">
        <v>2233</v>
      </c>
      <c r="H565" s="2" t="s">
        <v>2234</v>
      </c>
      <c r="I565" s="2" t="s">
        <v>2235</v>
      </c>
      <c r="J565" s="2" t="s">
        <v>2236</v>
      </c>
      <c r="K565" s="2" t="s">
        <v>213</v>
      </c>
      <c r="L565" s="3">
        <v>32.39</v>
      </c>
      <c r="M565" s="3">
        <v>34.01</v>
      </c>
      <c r="N565" s="3">
        <v>64.99</v>
      </c>
      <c r="O565" s="2" t="s">
        <v>97</v>
      </c>
      <c r="P565" s="2" t="s">
        <v>242</v>
      </c>
      <c r="Q565" s="2" t="s">
        <v>99</v>
      </c>
      <c r="R565" s="2" t="s">
        <v>100</v>
      </c>
      <c r="S565" s="2" t="s">
        <v>2248</v>
      </c>
      <c r="T565" s="2" t="s">
        <v>100</v>
      </c>
      <c r="U565" s="2" t="s">
        <v>2150</v>
      </c>
      <c r="V565" s="2" t="s">
        <v>645</v>
      </c>
      <c r="W565" s="2" t="s">
        <v>104</v>
      </c>
      <c r="X565" s="2" t="s">
        <v>976</v>
      </c>
      <c r="Y565" s="2" t="s">
        <v>432</v>
      </c>
      <c r="Z565" s="4">
        <v>156</v>
      </c>
      <c r="AA565" s="4">
        <f>=ROUNDDOWN(10.4,0)</f>
      </c>
      <c r="AB565" s="5">
        <v>15</v>
      </c>
      <c r="AC565" s="2" t="s">
        <v>107</v>
      </c>
      <c r="AD565" s="4">
        <v>70</v>
      </c>
      <c r="AE565" s="4">
        <v>400</v>
      </c>
      <c r="AF565" s="6">
        <v>65</v>
      </c>
      <c r="AG565" s="6">
        <v>48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>
        <v>4</v>
      </c>
      <c r="AW565" s="8">
        <v>252.45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/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>
        <v>0.1564</v>
      </c>
      <c r="BJ565" s="4">
        <v>6</v>
      </c>
      <c r="BK565" s="8">
        <v>218.29</v>
      </c>
      <c r="BL565" s="2" t="s">
        <v>333</v>
      </c>
      <c r="BM565" s="7"/>
      <c r="BN565" s="7"/>
      <c r="BO565" s="4"/>
      <c r="BP565" s="8"/>
      <c r="BQ565" s="4"/>
      <c r="BR565" s="8"/>
      <c r="BS565" s="7"/>
      <c r="BT565" s="7"/>
      <c r="BU565" s="2" t="s">
        <v>109</v>
      </c>
      <c r="BV565" s="2" t="s">
        <v>97</v>
      </c>
      <c r="BW565" s="2" t="s">
        <v>1159</v>
      </c>
      <c r="BX565" s="2" t="s">
        <v>2249</v>
      </c>
      <c r="BY565" s="2" t="s">
        <v>112</v>
      </c>
      <c r="BZ565" s="2" t="s">
        <v>100</v>
      </c>
    </row>
    <row r="566">
      <c r="A566" s="2" t="s">
        <v>2250</v>
      </c>
      <c r="B566" s="2" t="s">
        <v>87</v>
      </c>
      <c r="C566" s="2" t="s">
        <v>88</v>
      </c>
      <c r="D566" s="2" t="s">
        <v>2230</v>
      </c>
      <c r="E566" s="2" t="s">
        <v>2231</v>
      </c>
      <c r="F566" s="2" t="s">
        <v>2232</v>
      </c>
      <c r="G566" s="2" t="s">
        <v>2233</v>
      </c>
      <c r="H566" s="2" t="s">
        <v>2234</v>
      </c>
      <c r="I566" s="2" t="s">
        <v>2235</v>
      </c>
      <c r="J566" s="2" t="s">
        <v>95</v>
      </c>
      <c r="K566" s="2" t="s">
        <v>213</v>
      </c>
      <c r="L566" s="3">
        <v>39.69</v>
      </c>
      <c r="M566" s="3">
        <v>41.67</v>
      </c>
      <c r="N566" s="3">
        <v>79.99</v>
      </c>
      <c r="O566" s="2" t="s">
        <v>97</v>
      </c>
      <c r="P566" s="2" t="s">
        <v>242</v>
      </c>
      <c r="Q566" s="2" t="s">
        <v>99</v>
      </c>
      <c r="R566" s="2" t="s">
        <v>100</v>
      </c>
      <c r="S566" s="2" t="s">
        <v>2248</v>
      </c>
      <c r="T566" s="2" t="s">
        <v>100</v>
      </c>
      <c r="U566" s="2" t="s">
        <v>1508</v>
      </c>
      <c r="V566" s="2" t="s">
        <v>645</v>
      </c>
      <c r="W566" s="2" t="s">
        <v>104</v>
      </c>
      <c r="X566" s="2" t="s">
        <v>976</v>
      </c>
      <c r="Y566" s="2" t="s">
        <v>432</v>
      </c>
      <c r="Z566" s="4">
        <v>88</v>
      </c>
      <c r="AA566" s="4">
        <f>=ROUNDDOWN(8,0)</f>
      </c>
      <c r="AB566" s="5">
        <v>11</v>
      </c>
      <c r="AC566" s="2" t="s">
        <v>165</v>
      </c>
      <c r="AD566" s="4">
        <v>40</v>
      </c>
      <c r="AE566" s="4">
        <v>350</v>
      </c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 t="s">
        <v>100</v>
      </c>
      <c r="AW566" s="8" t="s">
        <v>100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/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 t="s">
        <v>100</v>
      </c>
      <c r="BJ566" s="4">
        <v>2</v>
      </c>
      <c r="BK566" s="8">
        <v>83.27</v>
      </c>
      <c r="BL566" s="2" t="s">
        <v>1896</v>
      </c>
      <c r="BM566" s="7"/>
      <c r="BN566" s="7"/>
      <c r="BO566" s="4"/>
      <c r="BP566" s="8"/>
      <c r="BQ566" s="4"/>
      <c r="BR566" s="8"/>
      <c r="BS566" s="7"/>
      <c r="BT566" s="7"/>
      <c r="BU566" s="2" t="s">
        <v>109</v>
      </c>
      <c r="BV566" s="2" t="s">
        <v>97</v>
      </c>
      <c r="BW566" s="2" t="s">
        <v>1159</v>
      </c>
      <c r="BX566" s="2" t="s">
        <v>385</v>
      </c>
      <c r="BY566" s="2" t="s">
        <v>112</v>
      </c>
      <c r="BZ566" s="2" t="s">
        <v>100</v>
      </c>
    </row>
    <row r="567">
      <c r="A567" s="2" t="s">
        <v>2251</v>
      </c>
      <c r="B567" s="2" t="s">
        <v>87</v>
      </c>
      <c r="C567" s="2" t="s">
        <v>88</v>
      </c>
      <c r="D567" s="2" t="s">
        <v>2230</v>
      </c>
      <c r="E567" s="2" t="s">
        <v>2231</v>
      </c>
      <c r="F567" s="2" t="s">
        <v>2232</v>
      </c>
      <c r="G567" s="2" t="s">
        <v>2233</v>
      </c>
      <c r="H567" s="2" t="s">
        <v>2234</v>
      </c>
      <c r="I567" s="2" t="s">
        <v>2235</v>
      </c>
      <c r="J567" s="2" t="s">
        <v>114</v>
      </c>
      <c r="K567" s="2" t="s">
        <v>213</v>
      </c>
      <c r="L567" s="3">
        <v>49.5</v>
      </c>
      <c r="M567" s="3">
        <v>51.98</v>
      </c>
      <c r="N567" s="3">
        <v>99.99</v>
      </c>
      <c r="O567" s="2" t="s">
        <v>97</v>
      </c>
      <c r="P567" s="2" t="s">
        <v>242</v>
      </c>
      <c r="Q567" s="2" t="s">
        <v>99</v>
      </c>
      <c r="R567" s="2" t="s">
        <v>100</v>
      </c>
      <c r="S567" s="2" t="s">
        <v>2252</v>
      </c>
      <c r="T567" s="2" t="s">
        <v>100</v>
      </c>
      <c r="U567" s="2" t="s">
        <v>1508</v>
      </c>
      <c r="V567" s="2" t="s">
        <v>645</v>
      </c>
      <c r="W567" s="2" t="s">
        <v>104</v>
      </c>
      <c r="X567" s="2" t="s">
        <v>976</v>
      </c>
      <c r="Y567" s="2" t="s">
        <v>131</v>
      </c>
      <c r="Z567" s="4">
        <v>350</v>
      </c>
      <c r="AA567" s="4">
        <f>=ROUNDDOWN(9.21052631578947,0)</f>
      </c>
      <c r="AB567" s="5">
        <v>38</v>
      </c>
      <c r="AC567" s="2" t="s">
        <v>165</v>
      </c>
      <c r="AD567" s="4">
        <v>40</v>
      </c>
      <c r="AE567" s="4">
        <v>1050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3</v>
      </c>
      <c r="AQ567" s="8">
        <v>176.13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0.6977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23</v>
      </c>
      <c r="BK567" s="8">
        <v>1265.07</v>
      </c>
      <c r="BL567" s="2" t="s">
        <v>2253</v>
      </c>
      <c r="BM567" s="7">
        <v>0.1304</v>
      </c>
      <c r="BN567" s="7">
        <v>0.1392</v>
      </c>
      <c r="BO567" s="4">
        <v>3</v>
      </c>
      <c r="BP567" s="8">
        <v>176.13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2209</v>
      </c>
      <c r="BX567" s="2" t="s">
        <v>378</v>
      </c>
      <c r="BY567" s="2" t="s">
        <v>112</v>
      </c>
      <c r="BZ567" s="2" t="s">
        <v>100</v>
      </c>
    </row>
    <row r="568">
      <c r="A568" s="2" t="s">
        <v>2254</v>
      </c>
      <c r="B568" s="2" t="s">
        <v>87</v>
      </c>
      <c r="C568" s="2" t="s">
        <v>88</v>
      </c>
      <c r="D568" s="2" t="s">
        <v>2230</v>
      </c>
      <c r="E568" s="2" t="s">
        <v>2231</v>
      </c>
      <c r="F568" s="2" t="s">
        <v>2232</v>
      </c>
      <c r="G568" s="2" t="s">
        <v>2233</v>
      </c>
      <c r="H568" s="2" t="s">
        <v>2234</v>
      </c>
      <c r="I568" s="2" t="s">
        <v>2235</v>
      </c>
      <c r="J568" s="2" t="s">
        <v>120</v>
      </c>
      <c r="K568" s="2" t="s">
        <v>213</v>
      </c>
      <c r="L568" s="3">
        <v>64.25</v>
      </c>
      <c r="M568" s="3">
        <v>67.46</v>
      </c>
      <c r="N568" s="3">
        <v>129.99</v>
      </c>
      <c r="O568" s="2" t="s">
        <v>97</v>
      </c>
      <c r="P568" s="2" t="s">
        <v>242</v>
      </c>
      <c r="Q568" s="2" t="s">
        <v>99</v>
      </c>
      <c r="R568" s="2" t="s">
        <v>100</v>
      </c>
      <c r="S568" s="2" t="s">
        <v>2252</v>
      </c>
      <c r="T568" s="2" t="s">
        <v>100</v>
      </c>
      <c r="U568" s="2" t="s">
        <v>1508</v>
      </c>
      <c r="V568" s="2" t="s">
        <v>645</v>
      </c>
      <c r="W568" s="2" t="s">
        <v>104</v>
      </c>
      <c r="X568" s="2" t="s">
        <v>976</v>
      </c>
      <c r="Y568" s="2" t="s">
        <v>131</v>
      </c>
      <c r="Z568" s="4">
        <v>295</v>
      </c>
      <c r="AA568" s="4">
        <f>=ROUNDDOWN(6.14583333333333,0)</f>
      </c>
      <c r="AB568" s="5">
        <v>48</v>
      </c>
      <c r="AC568" s="2" t="s">
        <v>165</v>
      </c>
      <c r="AD568" s="4">
        <v>80</v>
      </c>
      <c r="AE568" s="4">
        <v>1460</v>
      </c>
      <c r="AF568" s="6">
        <v>65</v>
      </c>
      <c r="AG568" s="6">
        <v>48</v>
      </c>
      <c r="AH568" s="7">
        <v>0.7143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1</v>
      </c>
      <c r="AQ568" s="8">
        <v>76.32</v>
      </c>
      <c r="AR568" s="4"/>
      <c r="AS568" s="8"/>
      <c r="AT568" s="7"/>
      <c r="AU568" s="7"/>
      <c r="AV568" s="4" t="s">
        <v>100</v>
      </c>
      <c r="AW568" s="8" t="s">
        <v>100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0.3023</v>
      </c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 t="s">
        <v>100</v>
      </c>
      <c r="BJ568" s="4">
        <v>38</v>
      </c>
      <c r="BK568" s="8">
        <v>2591.68</v>
      </c>
      <c r="BL568" s="2" t="s">
        <v>2255</v>
      </c>
      <c r="BM568" s="7">
        <v>0.0263</v>
      </c>
      <c r="BN568" s="7">
        <v>0.0294</v>
      </c>
      <c r="BO568" s="4">
        <v>1</v>
      </c>
      <c r="BP568" s="8">
        <v>76.32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122</v>
      </c>
      <c r="BX568" s="2" t="s">
        <v>1620</v>
      </c>
      <c r="BY568" s="2" t="s">
        <v>112</v>
      </c>
      <c r="BZ568" s="2" t="s">
        <v>100</v>
      </c>
    </row>
    <row r="569">
      <c r="A569" s="2" t="s">
        <v>2256</v>
      </c>
      <c r="B569" s="2" t="s">
        <v>87</v>
      </c>
      <c r="C569" s="2" t="s">
        <v>88</v>
      </c>
      <c r="D569" s="2" t="s">
        <v>2230</v>
      </c>
      <c r="E569" s="2" t="s">
        <v>2231</v>
      </c>
      <c r="F569" s="2" t="s">
        <v>2232</v>
      </c>
      <c r="G569" s="2" t="s">
        <v>2233</v>
      </c>
      <c r="H569" s="2" t="s">
        <v>2234</v>
      </c>
      <c r="I569" s="2" t="s">
        <v>2235</v>
      </c>
      <c r="J569" s="2" t="s">
        <v>2236</v>
      </c>
      <c r="K569" s="2" t="s">
        <v>2257</v>
      </c>
      <c r="L569" s="3">
        <v>32.39</v>
      </c>
      <c r="M569" s="3">
        <v>34.01</v>
      </c>
      <c r="N569" s="3">
        <v>64.99</v>
      </c>
      <c r="O569" s="2" t="s">
        <v>97</v>
      </c>
      <c r="P569" s="2" t="s">
        <v>242</v>
      </c>
      <c r="Q569" s="2" t="s">
        <v>99</v>
      </c>
      <c r="R569" s="2" t="s">
        <v>100</v>
      </c>
      <c r="S569" s="2" t="s">
        <v>2258</v>
      </c>
      <c r="T569" s="2" t="s">
        <v>100</v>
      </c>
      <c r="U569" s="2" t="s">
        <v>2150</v>
      </c>
      <c r="V569" s="2" t="s">
        <v>645</v>
      </c>
      <c r="W569" s="2" t="s">
        <v>104</v>
      </c>
      <c r="X569" s="2" t="s">
        <v>976</v>
      </c>
      <c r="Y569" s="2" t="s">
        <v>131</v>
      </c>
      <c r="Z569" s="4">
        <v>188</v>
      </c>
      <c r="AA569" s="4">
        <f>=ROUNDDOWN(7.83333333333333,0)</f>
      </c>
      <c r="AB569" s="5">
        <v>24</v>
      </c>
      <c r="AC569" s="2" t="s">
        <v>165</v>
      </c>
      <c r="AD569" s="4">
        <v>30</v>
      </c>
      <c r="AE569" s="4">
        <v>700</v>
      </c>
      <c r="AF569" s="6">
        <v>65</v>
      </c>
      <c r="AG569" s="6">
        <v>48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>
        <v>2</v>
      </c>
      <c r="AQ569" s="8">
        <v>76.34</v>
      </c>
      <c r="AR569" s="4"/>
      <c r="AS569" s="8"/>
      <c r="AT569" s="7"/>
      <c r="AU569" s="7"/>
      <c r="AV569" s="4">
        <v>4</v>
      </c>
      <c r="AW569" s="8">
        <v>199.63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0.3824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>
        <v>0.1237</v>
      </c>
      <c r="BJ569" s="4">
        <v>14</v>
      </c>
      <c r="BK569" s="8">
        <v>510.05</v>
      </c>
      <c r="BL569" s="2" t="s">
        <v>2259</v>
      </c>
      <c r="BM569" s="7">
        <v>0.1429</v>
      </c>
      <c r="BN569" s="7">
        <v>0.1497</v>
      </c>
      <c r="BO569" s="4">
        <v>2</v>
      </c>
      <c r="BP569" s="8">
        <v>76.34</v>
      </c>
      <c r="BQ569" s="4"/>
      <c r="BR569" s="8"/>
      <c r="BS569" s="7"/>
      <c r="BT569" s="7"/>
      <c r="BU569" s="2" t="s">
        <v>109</v>
      </c>
      <c r="BV569" s="2" t="s">
        <v>97</v>
      </c>
      <c r="BW569" s="2" t="s">
        <v>201</v>
      </c>
      <c r="BX569" s="2" t="s">
        <v>2260</v>
      </c>
      <c r="BY569" s="2" t="s">
        <v>112</v>
      </c>
      <c r="BZ569" s="2" t="s">
        <v>100</v>
      </c>
    </row>
    <row r="570">
      <c r="A570" s="2" t="s">
        <v>2261</v>
      </c>
      <c r="B570" s="2" t="s">
        <v>87</v>
      </c>
      <c r="C570" s="2" t="s">
        <v>88</v>
      </c>
      <c r="D570" s="2" t="s">
        <v>2230</v>
      </c>
      <c r="E570" s="2" t="s">
        <v>2231</v>
      </c>
      <c r="F570" s="2" t="s">
        <v>2232</v>
      </c>
      <c r="G570" s="2" t="s">
        <v>2233</v>
      </c>
      <c r="H570" s="2" t="s">
        <v>2234</v>
      </c>
      <c r="I570" s="2" t="s">
        <v>2235</v>
      </c>
      <c r="J570" s="2" t="s">
        <v>95</v>
      </c>
      <c r="K570" s="2" t="s">
        <v>2257</v>
      </c>
      <c r="L570" s="3">
        <v>39.69</v>
      </c>
      <c r="M570" s="3">
        <v>41.67</v>
      </c>
      <c r="N570" s="3">
        <v>79.99</v>
      </c>
      <c r="O570" s="2" t="s">
        <v>97</v>
      </c>
      <c r="P570" s="2" t="s">
        <v>242</v>
      </c>
      <c r="Q570" s="2" t="s">
        <v>99</v>
      </c>
      <c r="R570" s="2" t="s">
        <v>100</v>
      </c>
      <c r="S570" s="2" t="s">
        <v>2258</v>
      </c>
      <c r="T570" s="2" t="s">
        <v>100</v>
      </c>
      <c r="U570" s="2" t="s">
        <v>1508</v>
      </c>
      <c r="V570" s="2" t="s">
        <v>645</v>
      </c>
      <c r="W570" s="2" t="s">
        <v>104</v>
      </c>
      <c r="X570" s="2" t="s">
        <v>976</v>
      </c>
      <c r="Y570" s="2" t="s">
        <v>131</v>
      </c>
      <c r="Z570" s="4">
        <v>210</v>
      </c>
      <c r="AA570" s="4">
        <f>=ROUNDDOWN(14,0)</f>
      </c>
      <c r="AB570" s="5">
        <v>15</v>
      </c>
      <c r="AC570" s="2" t="s">
        <v>194</v>
      </c>
      <c r="AD570" s="4">
        <v>80</v>
      </c>
      <c r="AE570" s="4">
        <v>340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1</v>
      </c>
      <c r="AQ570" s="8">
        <v>46.97</v>
      </c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0.2353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8</v>
      </c>
      <c r="BK570" s="8">
        <v>325.74</v>
      </c>
      <c r="BL570" s="2" t="s">
        <v>2262</v>
      </c>
      <c r="BM570" s="7">
        <v>0.125</v>
      </c>
      <c r="BN570" s="7">
        <v>0.1442</v>
      </c>
      <c r="BO570" s="4">
        <v>1</v>
      </c>
      <c r="BP570" s="8">
        <v>46.97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201</v>
      </c>
      <c r="BX570" s="2" t="s">
        <v>2263</v>
      </c>
      <c r="BY570" s="2" t="s">
        <v>112</v>
      </c>
      <c r="BZ570" s="2" t="s">
        <v>100</v>
      </c>
    </row>
    <row r="571">
      <c r="A571" s="2" t="s">
        <v>2264</v>
      </c>
      <c r="B571" s="2" t="s">
        <v>87</v>
      </c>
      <c r="C571" s="2" t="s">
        <v>88</v>
      </c>
      <c r="D571" s="2" t="s">
        <v>2230</v>
      </c>
      <c r="E571" s="2" t="s">
        <v>2231</v>
      </c>
      <c r="F571" s="2" t="s">
        <v>2232</v>
      </c>
      <c r="G571" s="2" t="s">
        <v>2233</v>
      </c>
      <c r="H571" s="2" t="s">
        <v>2234</v>
      </c>
      <c r="I571" s="2" t="s">
        <v>2235</v>
      </c>
      <c r="J571" s="2" t="s">
        <v>114</v>
      </c>
      <c r="K571" s="2" t="s">
        <v>2257</v>
      </c>
      <c r="L571" s="3">
        <v>49.5</v>
      </c>
      <c r="M571" s="3">
        <v>51.98</v>
      </c>
      <c r="N571" s="3">
        <v>99.99</v>
      </c>
      <c r="O571" s="2" t="s">
        <v>97</v>
      </c>
      <c r="P571" s="2" t="s">
        <v>242</v>
      </c>
      <c r="Q571" s="2" t="s">
        <v>99</v>
      </c>
      <c r="R571" s="2" t="s">
        <v>100</v>
      </c>
      <c r="S571" s="2" t="s">
        <v>2258</v>
      </c>
      <c r="T571" s="2" t="s">
        <v>100</v>
      </c>
      <c r="U571" s="2" t="s">
        <v>1508</v>
      </c>
      <c r="V571" s="2" t="s">
        <v>645</v>
      </c>
      <c r="W571" s="2" t="s">
        <v>104</v>
      </c>
      <c r="X571" s="2" t="s">
        <v>976</v>
      </c>
      <c r="Y571" s="2" t="s">
        <v>131</v>
      </c>
      <c r="Z571" s="4">
        <v>670</v>
      </c>
      <c r="AA571" s="4">
        <f>=ROUNDDOWN(9.85294117647059,0)</f>
      </c>
      <c r="AB571" s="5">
        <v>68</v>
      </c>
      <c r="AC571" s="2" t="s">
        <v>165</v>
      </c>
      <c r="AD571" s="4">
        <v>200</v>
      </c>
      <c r="AE571" s="4">
        <v>1940</v>
      </c>
      <c r="AF571" s="6">
        <v>65</v>
      </c>
      <c r="AG571" s="6">
        <v>48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/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32</v>
      </c>
      <c r="BK571" s="8">
        <v>1656.1</v>
      </c>
      <c r="BL571" s="2" t="s">
        <v>2265</v>
      </c>
      <c r="BM571" s="7"/>
      <c r="BN571" s="7"/>
      <c r="BO571" s="4"/>
      <c r="BP571" s="8"/>
      <c r="BQ571" s="4"/>
      <c r="BR571" s="8"/>
      <c r="BS571" s="7"/>
      <c r="BT571" s="7"/>
      <c r="BU571" s="2" t="s">
        <v>109</v>
      </c>
      <c r="BV571" s="2" t="s">
        <v>97</v>
      </c>
      <c r="BW571" s="2" t="s">
        <v>201</v>
      </c>
      <c r="BX571" s="2" t="s">
        <v>2260</v>
      </c>
      <c r="BY571" s="2" t="s">
        <v>112</v>
      </c>
      <c r="BZ571" s="2" t="s">
        <v>100</v>
      </c>
    </row>
    <row r="572">
      <c r="A572" s="2" t="s">
        <v>2266</v>
      </c>
      <c r="B572" s="2" t="s">
        <v>87</v>
      </c>
      <c r="C572" s="2" t="s">
        <v>88</v>
      </c>
      <c r="D572" s="2" t="s">
        <v>2230</v>
      </c>
      <c r="E572" s="2" t="s">
        <v>2231</v>
      </c>
      <c r="F572" s="2" t="s">
        <v>2232</v>
      </c>
      <c r="G572" s="2" t="s">
        <v>2233</v>
      </c>
      <c r="H572" s="2" t="s">
        <v>2234</v>
      </c>
      <c r="I572" s="2" t="s">
        <v>2235</v>
      </c>
      <c r="J572" s="2" t="s">
        <v>120</v>
      </c>
      <c r="K572" s="2" t="s">
        <v>2257</v>
      </c>
      <c r="L572" s="3">
        <v>64.25</v>
      </c>
      <c r="M572" s="3">
        <v>67.46</v>
      </c>
      <c r="N572" s="3">
        <v>129.99</v>
      </c>
      <c r="O572" s="2" t="s">
        <v>97</v>
      </c>
      <c r="P572" s="2" t="s">
        <v>242</v>
      </c>
      <c r="Q572" s="2" t="s">
        <v>99</v>
      </c>
      <c r="R572" s="2" t="s">
        <v>100</v>
      </c>
      <c r="S572" s="2" t="s">
        <v>2258</v>
      </c>
      <c r="T572" s="2" t="s">
        <v>100</v>
      </c>
      <c r="U572" s="2" t="s">
        <v>1508</v>
      </c>
      <c r="V572" s="2" t="s">
        <v>645</v>
      </c>
      <c r="W572" s="2" t="s">
        <v>104</v>
      </c>
      <c r="X572" s="2" t="s">
        <v>976</v>
      </c>
      <c r="Y572" s="2" t="s">
        <v>131</v>
      </c>
      <c r="Z572" s="4">
        <v>847</v>
      </c>
      <c r="AA572" s="4">
        <f>=ROUNDDOWN(11.6027397260274,0)</f>
      </c>
      <c r="AB572" s="5">
        <v>73</v>
      </c>
      <c r="AC572" s="2" t="s">
        <v>165</v>
      </c>
      <c r="AD572" s="4">
        <v>100</v>
      </c>
      <c r="AE572" s="4">
        <v>1900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1</v>
      </c>
      <c r="AQ572" s="8">
        <v>76.32</v>
      </c>
      <c r="AR572" s="4"/>
      <c r="AS572" s="8"/>
      <c r="AT572" s="7"/>
      <c r="AU572" s="7"/>
      <c r="AV572" s="4" t="s">
        <v>100</v>
      </c>
      <c r="AW572" s="8" t="s">
        <v>100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0.3823</v>
      </c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 t="s">
        <v>100</v>
      </c>
      <c r="BJ572" s="4">
        <v>57</v>
      </c>
      <c r="BK572" s="8">
        <v>3900.34</v>
      </c>
      <c r="BL572" s="2" t="s">
        <v>2267</v>
      </c>
      <c r="BM572" s="7">
        <v>0.0175</v>
      </c>
      <c r="BN572" s="7">
        <v>0.0196</v>
      </c>
      <c r="BO572" s="4">
        <v>1</v>
      </c>
      <c r="BP572" s="8">
        <v>76.32</v>
      </c>
      <c r="BQ572" s="4"/>
      <c r="BR572" s="8"/>
      <c r="BS572" s="7"/>
      <c r="BT572" s="7"/>
      <c r="BU572" s="2" t="s">
        <v>109</v>
      </c>
      <c r="BV572" s="2" t="s">
        <v>97</v>
      </c>
      <c r="BW572" s="2" t="s">
        <v>201</v>
      </c>
      <c r="BX572" s="2" t="s">
        <v>2260</v>
      </c>
      <c r="BY572" s="2" t="s">
        <v>112</v>
      </c>
      <c r="BZ572" s="2" t="s">
        <v>100</v>
      </c>
    </row>
    <row r="573">
      <c r="A573" s="2" t="s">
        <v>2268</v>
      </c>
      <c r="B573" s="2" t="s">
        <v>87</v>
      </c>
      <c r="C573" s="2" t="s">
        <v>88</v>
      </c>
      <c r="D573" s="2" t="s">
        <v>2230</v>
      </c>
      <c r="E573" s="2" t="s">
        <v>2231</v>
      </c>
      <c r="F573" s="2" t="s">
        <v>2232</v>
      </c>
      <c r="G573" s="2" t="s">
        <v>2233</v>
      </c>
      <c r="H573" s="2" t="s">
        <v>2234</v>
      </c>
      <c r="I573" s="2" t="s">
        <v>2235</v>
      </c>
      <c r="J573" s="2" t="s">
        <v>114</v>
      </c>
      <c r="K573" s="2" t="s">
        <v>253</v>
      </c>
      <c r="L573" s="3">
        <v>49.5</v>
      </c>
      <c r="M573" s="3">
        <v>51.98</v>
      </c>
      <c r="N573" s="3">
        <v>99.99</v>
      </c>
      <c r="O573" s="2" t="s">
        <v>97</v>
      </c>
      <c r="P573" s="2" t="s">
        <v>242</v>
      </c>
      <c r="Q573" s="2" t="s">
        <v>99</v>
      </c>
      <c r="R573" s="2" t="s">
        <v>100</v>
      </c>
      <c r="S573" s="2" t="s">
        <v>2269</v>
      </c>
      <c r="T573" s="2" t="s">
        <v>100</v>
      </c>
      <c r="U573" s="2" t="s">
        <v>1508</v>
      </c>
      <c r="V573" s="2" t="s">
        <v>645</v>
      </c>
      <c r="W573" s="2" t="s">
        <v>104</v>
      </c>
      <c r="X573" s="2" t="s">
        <v>976</v>
      </c>
      <c r="Y573" s="2" t="s">
        <v>131</v>
      </c>
      <c r="Z573" s="4">
        <v>86</v>
      </c>
      <c r="AA573" s="4">
        <f>=ROUNDDOWN(2.6875,0)</f>
      </c>
      <c r="AB573" s="5">
        <v>32</v>
      </c>
      <c r="AC573" s="2" t="s">
        <v>165</v>
      </c>
      <c r="AD573" s="4">
        <v>40</v>
      </c>
      <c r="AE573" s="4">
        <v>1000</v>
      </c>
      <c r="AF573" s="6">
        <v>65</v>
      </c>
      <c r="AG573" s="6">
        <v>48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>
        <v>3</v>
      </c>
      <c r="AQ573" s="8">
        <v>176.13</v>
      </c>
      <c r="AR573" s="4"/>
      <c r="AS573" s="8"/>
      <c r="AT573" s="7"/>
      <c r="AU573" s="7"/>
      <c r="AV573" s="4">
        <v>3</v>
      </c>
      <c r="AW573" s="8">
        <v>176.13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1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>
        <v>0.1091</v>
      </c>
      <c r="BJ573" s="4">
        <v>18</v>
      </c>
      <c r="BK573" s="8">
        <v>933.3</v>
      </c>
      <c r="BL573" s="2" t="s">
        <v>2241</v>
      </c>
      <c r="BM573" s="7">
        <v>0.1667</v>
      </c>
      <c r="BN573" s="7">
        <v>0.1887</v>
      </c>
      <c r="BO573" s="4">
        <v>3</v>
      </c>
      <c r="BP573" s="8">
        <v>176.13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122</v>
      </c>
      <c r="BX573" s="2" t="s">
        <v>216</v>
      </c>
      <c r="BY573" s="2" t="s">
        <v>112</v>
      </c>
      <c r="BZ573" s="2" t="s">
        <v>100</v>
      </c>
    </row>
    <row r="574">
      <c r="A574" s="2" t="s">
        <v>2270</v>
      </c>
      <c r="B574" s="2" t="s">
        <v>87</v>
      </c>
      <c r="C574" s="2" t="s">
        <v>88</v>
      </c>
      <c r="D574" s="2" t="s">
        <v>2230</v>
      </c>
      <c r="E574" s="2" t="s">
        <v>2231</v>
      </c>
      <c r="F574" s="2" t="s">
        <v>2232</v>
      </c>
      <c r="G574" s="2" t="s">
        <v>2233</v>
      </c>
      <c r="H574" s="2" t="s">
        <v>2234</v>
      </c>
      <c r="I574" s="2" t="s">
        <v>2235</v>
      </c>
      <c r="J574" s="2" t="s">
        <v>120</v>
      </c>
      <c r="K574" s="2" t="s">
        <v>253</v>
      </c>
      <c r="L574" s="3">
        <v>64.25</v>
      </c>
      <c r="M574" s="3">
        <v>67.46</v>
      </c>
      <c r="N574" s="3">
        <v>129.99</v>
      </c>
      <c r="O574" s="2" t="s">
        <v>97</v>
      </c>
      <c r="P574" s="2" t="s">
        <v>242</v>
      </c>
      <c r="Q574" s="2" t="s">
        <v>99</v>
      </c>
      <c r="R574" s="2" t="s">
        <v>100</v>
      </c>
      <c r="S574" s="2" t="s">
        <v>2269</v>
      </c>
      <c r="T574" s="2" t="s">
        <v>100</v>
      </c>
      <c r="U574" s="2" t="s">
        <v>1508</v>
      </c>
      <c r="V574" s="2" t="s">
        <v>645</v>
      </c>
      <c r="W574" s="2" t="s">
        <v>104</v>
      </c>
      <c r="X574" s="2" t="s">
        <v>976</v>
      </c>
      <c r="Y574" s="2" t="s">
        <v>131</v>
      </c>
      <c r="Z574" s="4">
        <v>161</v>
      </c>
      <c r="AA574" s="4">
        <f>=ROUNDDOWN(5.19354838709677,0)</f>
      </c>
      <c r="AB574" s="5">
        <v>31</v>
      </c>
      <c r="AC574" s="2" t="s">
        <v>165</v>
      </c>
      <c r="AD574" s="4">
        <v>70</v>
      </c>
      <c r="AE574" s="4">
        <v>960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/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14</v>
      </c>
      <c r="BK574" s="8">
        <v>1000.15</v>
      </c>
      <c r="BL574" s="2" t="s">
        <v>767</v>
      </c>
      <c r="BM574" s="7"/>
      <c r="BN574" s="7"/>
      <c r="BO574" s="4"/>
      <c r="BP574" s="8"/>
      <c r="BQ574" s="4"/>
      <c r="BR574" s="8"/>
      <c r="BS574" s="7"/>
      <c r="BT574" s="7"/>
      <c r="BU574" s="2" t="s">
        <v>109</v>
      </c>
      <c r="BV574" s="2" t="s">
        <v>97</v>
      </c>
      <c r="BW574" s="2" t="s">
        <v>122</v>
      </c>
      <c r="BX574" s="2" t="s">
        <v>544</v>
      </c>
      <c r="BY574" s="2" t="s">
        <v>112</v>
      </c>
      <c r="BZ574" s="2" t="s">
        <v>100</v>
      </c>
    </row>
    <row r="575">
      <c r="A575" s="2" t="s">
        <v>2271</v>
      </c>
      <c r="B575" s="2" t="s">
        <v>87</v>
      </c>
      <c r="C575" s="2" t="s">
        <v>88</v>
      </c>
      <c r="D575" s="2" t="s">
        <v>2230</v>
      </c>
      <c r="E575" s="2" t="s">
        <v>2231</v>
      </c>
      <c r="F575" s="2" t="s">
        <v>2232</v>
      </c>
      <c r="G575" s="2" t="s">
        <v>2233</v>
      </c>
      <c r="H575" s="2" t="s">
        <v>2234</v>
      </c>
      <c r="I575" s="2" t="s">
        <v>2235</v>
      </c>
      <c r="J575" s="2" t="s">
        <v>114</v>
      </c>
      <c r="K575" s="2" t="s">
        <v>2272</v>
      </c>
      <c r="L575" s="3">
        <v>49.5</v>
      </c>
      <c r="M575" s="3">
        <v>51.98</v>
      </c>
      <c r="N575" s="3">
        <v>99.99</v>
      </c>
      <c r="O575" s="2" t="s">
        <v>97</v>
      </c>
      <c r="P575" s="2" t="s">
        <v>242</v>
      </c>
      <c r="Q575" s="2" t="s">
        <v>99</v>
      </c>
      <c r="R575" s="2" t="s">
        <v>100</v>
      </c>
      <c r="S575" s="2" t="s">
        <v>2273</v>
      </c>
      <c r="T575" s="2" t="s">
        <v>100</v>
      </c>
      <c r="U575" s="2" t="s">
        <v>1508</v>
      </c>
      <c r="V575" s="2" t="s">
        <v>645</v>
      </c>
      <c r="W575" s="2" t="s">
        <v>104</v>
      </c>
      <c r="X575" s="2" t="s">
        <v>976</v>
      </c>
      <c r="Y575" s="2" t="s">
        <v>931</v>
      </c>
      <c r="Z575" s="4">
        <v>290</v>
      </c>
      <c r="AA575" s="4">
        <f>=ROUNDDOWN(11.6,0)</f>
      </c>
      <c r="AB575" s="5">
        <v>25</v>
      </c>
      <c r="AC575" s="2" t="s">
        <v>165</v>
      </c>
      <c r="AD575" s="4">
        <v>80</v>
      </c>
      <c r="AE575" s="4">
        <v>930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>
        <v>2</v>
      </c>
      <c r="AW575" s="8">
        <v>148.06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/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>
        <v>0.0917</v>
      </c>
      <c r="BJ575" s="4">
        <v>16</v>
      </c>
      <c r="BK575" s="8">
        <v>822.05</v>
      </c>
      <c r="BL575" s="2" t="s">
        <v>2274</v>
      </c>
      <c r="BM575" s="7"/>
      <c r="BN575" s="7"/>
      <c r="BO575" s="4"/>
      <c r="BP575" s="8"/>
      <c r="BQ575" s="4"/>
      <c r="BR575" s="8"/>
      <c r="BS575" s="7"/>
      <c r="BT575" s="7"/>
      <c r="BU575" s="2" t="s">
        <v>109</v>
      </c>
      <c r="BV575" s="2" t="s">
        <v>97</v>
      </c>
      <c r="BW575" s="2" t="s">
        <v>779</v>
      </c>
      <c r="BX575" s="2" t="s">
        <v>905</v>
      </c>
      <c r="BY575" s="2" t="s">
        <v>112</v>
      </c>
      <c r="BZ575" s="2" t="s">
        <v>100</v>
      </c>
    </row>
    <row r="576">
      <c r="A576" s="2" t="s">
        <v>2275</v>
      </c>
      <c r="B576" s="2" t="s">
        <v>87</v>
      </c>
      <c r="C576" s="2" t="s">
        <v>88</v>
      </c>
      <c r="D576" s="2" t="s">
        <v>2230</v>
      </c>
      <c r="E576" s="2" t="s">
        <v>2231</v>
      </c>
      <c r="F576" s="2" t="s">
        <v>2232</v>
      </c>
      <c r="G576" s="2" t="s">
        <v>2233</v>
      </c>
      <c r="H576" s="2" t="s">
        <v>2234</v>
      </c>
      <c r="I576" s="2" t="s">
        <v>2235</v>
      </c>
      <c r="J576" s="2" t="s">
        <v>120</v>
      </c>
      <c r="K576" s="2" t="s">
        <v>2272</v>
      </c>
      <c r="L576" s="3">
        <v>64.25</v>
      </c>
      <c r="M576" s="3">
        <v>67.46</v>
      </c>
      <c r="N576" s="3">
        <v>129.99</v>
      </c>
      <c r="O576" s="2" t="s">
        <v>97</v>
      </c>
      <c r="P576" s="2" t="s">
        <v>242</v>
      </c>
      <c r="Q576" s="2" t="s">
        <v>99</v>
      </c>
      <c r="R576" s="2" t="s">
        <v>100</v>
      </c>
      <c r="S576" s="2" t="s">
        <v>2273</v>
      </c>
      <c r="T576" s="2" t="s">
        <v>100</v>
      </c>
      <c r="U576" s="2" t="s">
        <v>1508</v>
      </c>
      <c r="V576" s="2" t="s">
        <v>645</v>
      </c>
      <c r="W576" s="2" t="s">
        <v>104</v>
      </c>
      <c r="X576" s="2" t="s">
        <v>976</v>
      </c>
      <c r="Y576" s="2" t="s">
        <v>931</v>
      </c>
      <c r="Z576" s="4">
        <v>273</v>
      </c>
      <c r="AA576" s="4">
        <f>=ROUNDDOWN(8.02941176470588,0)</f>
      </c>
      <c r="AB576" s="5">
        <v>34</v>
      </c>
      <c r="AC576" s="2" t="s">
        <v>165</v>
      </c>
      <c r="AD576" s="4">
        <v>150</v>
      </c>
      <c r="AE576" s="4">
        <v>1100</v>
      </c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2</v>
      </c>
      <c r="AQ576" s="8">
        <v>148.06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1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28</v>
      </c>
      <c r="BK576" s="8">
        <v>1949.97</v>
      </c>
      <c r="BL576" s="2" t="s">
        <v>2244</v>
      </c>
      <c r="BM576" s="7">
        <v>0.0714</v>
      </c>
      <c r="BN576" s="7">
        <v>0.0759</v>
      </c>
      <c r="BO576" s="4">
        <v>2</v>
      </c>
      <c r="BP576" s="8">
        <v>148.06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779</v>
      </c>
      <c r="BX576" s="2" t="s">
        <v>1086</v>
      </c>
      <c r="BY576" s="2" t="s">
        <v>112</v>
      </c>
      <c r="BZ576" s="2" t="s">
        <v>100</v>
      </c>
    </row>
    <row r="577">
      <c r="A577" s="2" t="s">
        <v>2276</v>
      </c>
      <c r="B577" s="2" t="s">
        <v>87</v>
      </c>
      <c r="C577" s="2" t="s">
        <v>88</v>
      </c>
      <c r="D577" s="2" t="s">
        <v>2230</v>
      </c>
      <c r="E577" s="2" t="s">
        <v>2231</v>
      </c>
      <c r="F577" s="2" t="s">
        <v>2232</v>
      </c>
      <c r="G577" s="2" t="s">
        <v>2233</v>
      </c>
      <c r="H577" s="2" t="s">
        <v>2234</v>
      </c>
      <c r="I577" s="2" t="s">
        <v>2235</v>
      </c>
      <c r="J577" s="2" t="s">
        <v>114</v>
      </c>
      <c r="K577" s="2" t="s">
        <v>1746</v>
      </c>
      <c r="L577" s="3">
        <v>49.5</v>
      </c>
      <c r="M577" s="3">
        <v>51.98</v>
      </c>
      <c r="N577" s="3">
        <v>99.99</v>
      </c>
      <c r="O577" s="2" t="s">
        <v>97</v>
      </c>
      <c r="P577" s="2" t="s">
        <v>242</v>
      </c>
      <c r="Q577" s="2" t="s">
        <v>99</v>
      </c>
      <c r="R577" s="2" t="s">
        <v>100</v>
      </c>
      <c r="S577" s="2" t="s">
        <v>2277</v>
      </c>
      <c r="T577" s="2" t="s">
        <v>100</v>
      </c>
      <c r="U577" s="2" t="s">
        <v>1508</v>
      </c>
      <c r="V577" s="2" t="s">
        <v>645</v>
      </c>
      <c r="W577" s="2" t="s">
        <v>104</v>
      </c>
      <c r="X577" s="2" t="s">
        <v>976</v>
      </c>
      <c r="Y577" s="2" t="s">
        <v>131</v>
      </c>
      <c r="Z577" s="4">
        <v>457</v>
      </c>
      <c r="AA577" s="4">
        <f>=ROUNDDOWN(13.4411764705882,0)</f>
      </c>
      <c r="AB577" s="5">
        <v>34</v>
      </c>
      <c r="AC577" s="2" t="s">
        <v>165</v>
      </c>
      <c r="AD577" s="4">
        <v>30</v>
      </c>
      <c r="AE577" s="4">
        <v>840</v>
      </c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1</v>
      </c>
      <c r="AQ577" s="8">
        <v>58.71</v>
      </c>
      <c r="AR577" s="4"/>
      <c r="AS577" s="8"/>
      <c r="AT577" s="7"/>
      <c r="AU577" s="7"/>
      <c r="AV577" s="4">
        <v>2</v>
      </c>
      <c r="AW577" s="8">
        <v>135.03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0.4348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>
        <v>0.0837</v>
      </c>
      <c r="BJ577" s="4">
        <v>15</v>
      </c>
      <c r="BK577" s="8">
        <v>816.72</v>
      </c>
      <c r="BL577" s="2" t="s">
        <v>2278</v>
      </c>
      <c r="BM577" s="7">
        <v>0.0667</v>
      </c>
      <c r="BN577" s="7">
        <v>0.0719</v>
      </c>
      <c r="BO577" s="4">
        <v>1</v>
      </c>
      <c r="BP577" s="8">
        <v>58.71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122</v>
      </c>
      <c r="BX577" s="2" t="s">
        <v>512</v>
      </c>
      <c r="BY577" s="2" t="s">
        <v>112</v>
      </c>
      <c r="BZ577" s="2" t="s">
        <v>100</v>
      </c>
    </row>
    <row r="578">
      <c r="A578" s="2" t="s">
        <v>2279</v>
      </c>
      <c r="B578" s="2" t="s">
        <v>87</v>
      </c>
      <c r="C578" s="2" t="s">
        <v>88</v>
      </c>
      <c r="D578" s="2" t="s">
        <v>2230</v>
      </c>
      <c r="E578" s="2" t="s">
        <v>2231</v>
      </c>
      <c r="F578" s="2" t="s">
        <v>2232</v>
      </c>
      <c r="G578" s="2" t="s">
        <v>2233</v>
      </c>
      <c r="H578" s="2" t="s">
        <v>2234</v>
      </c>
      <c r="I578" s="2" t="s">
        <v>2235</v>
      </c>
      <c r="J578" s="2" t="s">
        <v>120</v>
      </c>
      <c r="K578" s="2" t="s">
        <v>1746</v>
      </c>
      <c r="L578" s="3">
        <v>64.25</v>
      </c>
      <c r="M578" s="3">
        <v>67.46</v>
      </c>
      <c r="N578" s="3">
        <v>129.99</v>
      </c>
      <c r="O578" s="2" t="s">
        <v>97</v>
      </c>
      <c r="P578" s="2" t="s">
        <v>242</v>
      </c>
      <c r="Q578" s="2" t="s">
        <v>99</v>
      </c>
      <c r="R578" s="2" t="s">
        <v>100</v>
      </c>
      <c r="S578" s="2" t="s">
        <v>2277</v>
      </c>
      <c r="T578" s="2" t="s">
        <v>100</v>
      </c>
      <c r="U578" s="2" t="s">
        <v>1508</v>
      </c>
      <c r="V578" s="2" t="s">
        <v>645</v>
      </c>
      <c r="W578" s="2" t="s">
        <v>104</v>
      </c>
      <c r="X578" s="2" t="s">
        <v>976</v>
      </c>
      <c r="Y578" s="2" t="s">
        <v>131</v>
      </c>
      <c r="Z578" s="4">
        <v>337</v>
      </c>
      <c r="AA578" s="4">
        <f>=ROUNDDOWN(8.02380952380952,0)</f>
      </c>
      <c r="AB578" s="5">
        <v>42</v>
      </c>
      <c r="AC578" s="2" t="s">
        <v>165</v>
      </c>
      <c r="AD578" s="4">
        <v>100</v>
      </c>
      <c r="AE578" s="4">
        <v>1290</v>
      </c>
      <c r="AF578" s="6">
        <v>65</v>
      </c>
      <c r="AG578" s="6">
        <v>48</v>
      </c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1</v>
      </c>
      <c r="AQ578" s="8">
        <v>76.32</v>
      </c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0.5652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21</v>
      </c>
      <c r="BK578" s="8">
        <v>1387.51</v>
      </c>
      <c r="BL578" s="2" t="s">
        <v>796</v>
      </c>
      <c r="BM578" s="7">
        <v>0.0476</v>
      </c>
      <c r="BN578" s="7">
        <v>0.055</v>
      </c>
      <c r="BO578" s="4">
        <v>1</v>
      </c>
      <c r="BP578" s="8">
        <v>76.32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122</v>
      </c>
      <c r="BX578" s="2" t="s">
        <v>653</v>
      </c>
      <c r="BY578" s="2" t="s">
        <v>112</v>
      </c>
      <c r="BZ578" s="2" t="s">
        <v>100</v>
      </c>
    </row>
    <row r="579">
      <c r="A579" s="2" t="s">
        <v>2280</v>
      </c>
      <c r="B579" s="2" t="s">
        <v>87</v>
      </c>
      <c r="C579" s="2" t="s">
        <v>88</v>
      </c>
      <c r="D579" s="2" t="s">
        <v>2230</v>
      </c>
      <c r="E579" s="2" t="s">
        <v>2231</v>
      </c>
      <c r="F579" s="2" t="s">
        <v>2232</v>
      </c>
      <c r="G579" s="2" t="s">
        <v>2233</v>
      </c>
      <c r="H579" s="2" t="s">
        <v>2234</v>
      </c>
      <c r="I579" s="2" t="s">
        <v>2235</v>
      </c>
      <c r="J579" s="2" t="s">
        <v>95</v>
      </c>
      <c r="K579" s="2" t="s">
        <v>2281</v>
      </c>
      <c r="L579" s="3">
        <v>39.69</v>
      </c>
      <c r="M579" s="3">
        <v>41.67</v>
      </c>
      <c r="N579" s="3">
        <v>79.99</v>
      </c>
      <c r="O579" s="2" t="s">
        <v>97</v>
      </c>
      <c r="P579" s="2" t="s">
        <v>98</v>
      </c>
      <c r="Q579" s="2" t="s">
        <v>99</v>
      </c>
      <c r="R579" s="2" t="s">
        <v>100</v>
      </c>
      <c r="S579" s="2" t="s">
        <v>2273</v>
      </c>
      <c r="T579" s="2" t="s">
        <v>100</v>
      </c>
      <c r="U579" s="2" t="s">
        <v>1508</v>
      </c>
      <c r="V579" s="2" t="s">
        <v>645</v>
      </c>
      <c r="W579" s="2" t="s">
        <v>104</v>
      </c>
      <c r="X579" s="2" t="s">
        <v>976</v>
      </c>
      <c r="Y579" s="2" t="s">
        <v>2282</v>
      </c>
      <c r="Z579" s="4">
        <v>69</v>
      </c>
      <c r="AA579" s="4">
        <f>=ROUNDDOWN(9.85714285714286,0)</f>
      </c>
      <c r="AB579" s="5">
        <v>7</v>
      </c>
      <c r="AC579" s="2" t="s">
        <v>583</v>
      </c>
      <c r="AD579" s="4">
        <v>50</v>
      </c>
      <c r="AE579" s="4">
        <v>250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>
        <v>1</v>
      </c>
      <c r="AW579" s="8">
        <v>76.32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/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>
        <v>0.0473</v>
      </c>
      <c r="BJ579" s="4">
        <v>7</v>
      </c>
      <c r="BK579" s="8">
        <v>299.96</v>
      </c>
      <c r="BL579" s="2" t="s">
        <v>745</v>
      </c>
      <c r="BM579" s="7"/>
      <c r="BN579" s="7"/>
      <c r="BO579" s="4"/>
      <c r="BP579" s="8"/>
      <c r="BQ579" s="4"/>
      <c r="BR579" s="8"/>
      <c r="BS579" s="7"/>
      <c r="BT579" s="7"/>
      <c r="BU579" s="2" t="s">
        <v>109</v>
      </c>
      <c r="BV579" s="2" t="s">
        <v>97</v>
      </c>
      <c r="BW579" s="2" t="s">
        <v>312</v>
      </c>
      <c r="BX579" s="2" t="s">
        <v>100</v>
      </c>
      <c r="BY579" s="2" t="s">
        <v>112</v>
      </c>
      <c r="BZ579" s="2" t="s">
        <v>100</v>
      </c>
    </row>
    <row r="580">
      <c r="A580" s="2" t="s">
        <v>2283</v>
      </c>
      <c r="B580" s="2" t="s">
        <v>87</v>
      </c>
      <c r="C580" s="2" t="s">
        <v>88</v>
      </c>
      <c r="D580" s="2" t="s">
        <v>2230</v>
      </c>
      <c r="E580" s="2" t="s">
        <v>2231</v>
      </c>
      <c r="F580" s="2" t="s">
        <v>2232</v>
      </c>
      <c r="G580" s="2" t="s">
        <v>2233</v>
      </c>
      <c r="H580" s="2" t="s">
        <v>2234</v>
      </c>
      <c r="I580" s="2" t="s">
        <v>2235</v>
      </c>
      <c r="J580" s="2" t="s">
        <v>114</v>
      </c>
      <c r="K580" s="2" t="s">
        <v>2281</v>
      </c>
      <c r="L580" s="3">
        <v>49.5</v>
      </c>
      <c r="M580" s="3">
        <v>51.98</v>
      </c>
      <c r="N580" s="3">
        <v>99.99</v>
      </c>
      <c r="O580" s="2" t="s">
        <v>97</v>
      </c>
      <c r="P580" s="2" t="s">
        <v>98</v>
      </c>
      <c r="Q580" s="2" t="s">
        <v>99</v>
      </c>
      <c r="R580" s="2" t="s">
        <v>100</v>
      </c>
      <c r="S580" s="2" t="s">
        <v>2284</v>
      </c>
      <c r="T580" s="2" t="s">
        <v>100</v>
      </c>
      <c r="U580" s="2" t="s">
        <v>1508</v>
      </c>
      <c r="V580" s="2" t="s">
        <v>645</v>
      </c>
      <c r="W580" s="2" t="s">
        <v>104</v>
      </c>
      <c r="X580" s="2" t="s">
        <v>976</v>
      </c>
      <c r="Y580" s="2" t="s">
        <v>432</v>
      </c>
      <c r="Z580" s="4">
        <v>220</v>
      </c>
      <c r="AA580" s="4">
        <f>=ROUNDDOWN(10,0)</f>
      </c>
      <c r="AB580" s="5">
        <v>22</v>
      </c>
      <c r="AC580" s="2" t="s">
        <v>1962</v>
      </c>
      <c r="AD580" s="4">
        <v>100</v>
      </c>
      <c r="AE580" s="4">
        <v>750</v>
      </c>
      <c r="AF580" s="6">
        <v>65</v>
      </c>
      <c r="AG580" s="6">
        <v>48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/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14</v>
      </c>
      <c r="BK580" s="8">
        <v>772.11</v>
      </c>
      <c r="BL580" s="2" t="s">
        <v>2285</v>
      </c>
      <c r="BM580" s="7"/>
      <c r="BN580" s="7"/>
      <c r="BO580" s="4"/>
      <c r="BP580" s="8"/>
      <c r="BQ580" s="4"/>
      <c r="BR580" s="8"/>
      <c r="BS580" s="7"/>
      <c r="BT580" s="7"/>
      <c r="BU580" s="2" t="s">
        <v>109</v>
      </c>
      <c r="BV580" s="2" t="s">
        <v>97</v>
      </c>
      <c r="BW580" s="2" t="s">
        <v>326</v>
      </c>
      <c r="BX580" s="2" t="s">
        <v>327</v>
      </c>
      <c r="BY580" s="2" t="s">
        <v>112</v>
      </c>
      <c r="BZ580" s="2" t="s">
        <v>100</v>
      </c>
    </row>
    <row r="581">
      <c r="A581" s="2" t="s">
        <v>2286</v>
      </c>
      <c r="B581" s="2" t="s">
        <v>87</v>
      </c>
      <c r="C581" s="2" t="s">
        <v>88</v>
      </c>
      <c r="D581" s="2" t="s">
        <v>2230</v>
      </c>
      <c r="E581" s="2" t="s">
        <v>2231</v>
      </c>
      <c r="F581" s="2" t="s">
        <v>2232</v>
      </c>
      <c r="G581" s="2" t="s">
        <v>2233</v>
      </c>
      <c r="H581" s="2" t="s">
        <v>2234</v>
      </c>
      <c r="I581" s="2" t="s">
        <v>2235</v>
      </c>
      <c r="J581" s="2" t="s">
        <v>120</v>
      </c>
      <c r="K581" s="2" t="s">
        <v>2281</v>
      </c>
      <c r="L581" s="3">
        <v>64.25</v>
      </c>
      <c r="M581" s="3">
        <v>67.46</v>
      </c>
      <c r="N581" s="3">
        <v>129.99</v>
      </c>
      <c r="O581" s="2" t="s">
        <v>97</v>
      </c>
      <c r="P581" s="2" t="s">
        <v>98</v>
      </c>
      <c r="Q581" s="2" t="s">
        <v>99</v>
      </c>
      <c r="R581" s="2" t="s">
        <v>100</v>
      </c>
      <c r="S581" s="2" t="s">
        <v>2284</v>
      </c>
      <c r="T581" s="2" t="s">
        <v>100</v>
      </c>
      <c r="U581" s="2" t="s">
        <v>1508</v>
      </c>
      <c r="V581" s="2" t="s">
        <v>645</v>
      </c>
      <c r="W581" s="2" t="s">
        <v>104</v>
      </c>
      <c r="X581" s="2" t="s">
        <v>976</v>
      </c>
      <c r="Y581" s="2" t="s">
        <v>432</v>
      </c>
      <c r="Z581" s="4">
        <v>359</v>
      </c>
      <c r="AA581" s="4">
        <f>=ROUNDDOWN(11.9666666666667,0)</f>
      </c>
      <c r="AB581" s="5">
        <v>30</v>
      </c>
      <c r="AC581" s="2" t="s">
        <v>165</v>
      </c>
      <c r="AD581" s="4">
        <v>30</v>
      </c>
      <c r="AE581" s="4">
        <v>930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1</v>
      </c>
      <c r="AQ581" s="8">
        <v>76.32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1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25</v>
      </c>
      <c r="BK581" s="8">
        <v>1666.12</v>
      </c>
      <c r="BL581" s="2" t="s">
        <v>2287</v>
      </c>
      <c r="BM581" s="7">
        <v>0.04</v>
      </c>
      <c r="BN581" s="7">
        <v>0.0458</v>
      </c>
      <c r="BO581" s="4">
        <v>1</v>
      </c>
      <c r="BP581" s="8">
        <v>76.32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326</v>
      </c>
      <c r="BX581" s="2" t="s">
        <v>2288</v>
      </c>
      <c r="BY581" s="2" t="s">
        <v>112</v>
      </c>
      <c r="BZ581" s="2" t="s">
        <v>100</v>
      </c>
    </row>
    <row r="582">
      <c r="A582" s="2" t="s">
        <v>2289</v>
      </c>
      <c r="B582" s="2" t="s">
        <v>87</v>
      </c>
      <c r="C582" s="2" t="s">
        <v>88</v>
      </c>
      <c r="D582" s="2" t="s">
        <v>2230</v>
      </c>
      <c r="E582" s="2" t="s">
        <v>2231</v>
      </c>
      <c r="F582" s="2" t="s">
        <v>2232</v>
      </c>
      <c r="G582" s="2" t="s">
        <v>2233</v>
      </c>
      <c r="H582" s="2" t="s">
        <v>2234</v>
      </c>
      <c r="I582" s="2" t="s">
        <v>2235</v>
      </c>
      <c r="J582" s="2" t="s">
        <v>114</v>
      </c>
      <c r="K582" s="2" t="s">
        <v>416</v>
      </c>
      <c r="L582" s="3">
        <v>49.5</v>
      </c>
      <c r="M582" s="3">
        <v>51.98</v>
      </c>
      <c r="N582" s="3">
        <v>99.99</v>
      </c>
      <c r="O582" s="2" t="s">
        <v>97</v>
      </c>
      <c r="P582" s="2" t="s">
        <v>242</v>
      </c>
      <c r="Q582" s="2" t="s">
        <v>99</v>
      </c>
      <c r="R582" s="2" t="s">
        <v>100</v>
      </c>
      <c r="S582" s="2" t="s">
        <v>2284</v>
      </c>
      <c r="T582" s="2" t="s">
        <v>100</v>
      </c>
      <c r="U582" s="2" t="s">
        <v>1508</v>
      </c>
      <c r="V582" s="2" t="s">
        <v>645</v>
      </c>
      <c r="W582" s="2" t="s">
        <v>104</v>
      </c>
      <c r="X582" s="2" t="s">
        <v>976</v>
      </c>
      <c r="Y582" s="2" t="s">
        <v>2290</v>
      </c>
      <c r="Z582" s="4">
        <v>200</v>
      </c>
      <c r="AA582" s="4">
        <f>=ROUNDDOWN(10.5263157894737,0)</f>
      </c>
      <c r="AB582" s="5">
        <v>19</v>
      </c>
      <c r="AC582" s="2" t="s">
        <v>1282</v>
      </c>
      <c r="AD582" s="4">
        <v>50</v>
      </c>
      <c r="AE582" s="4">
        <v>480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>
        <v>1</v>
      </c>
      <c r="AW582" s="8">
        <v>76.32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/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0.0473</v>
      </c>
      <c r="BJ582" s="4">
        <v>20</v>
      </c>
      <c r="BK582" s="8">
        <v>998.9</v>
      </c>
      <c r="BL582" s="2" t="s">
        <v>2274</v>
      </c>
      <c r="BM582" s="7"/>
      <c r="BN582" s="7"/>
      <c r="BO582" s="4"/>
      <c r="BP582" s="8"/>
      <c r="BQ582" s="4"/>
      <c r="BR582" s="8"/>
      <c r="BS582" s="7"/>
      <c r="BT582" s="7"/>
      <c r="BU582" s="2" t="s">
        <v>109</v>
      </c>
      <c r="BV582" s="2" t="s">
        <v>97</v>
      </c>
      <c r="BW582" s="2" t="s">
        <v>1159</v>
      </c>
      <c r="BX582" s="2" t="s">
        <v>1364</v>
      </c>
      <c r="BY582" s="2" t="s">
        <v>112</v>
      </c>
      <c r="BZ582" s="2" t="s">
        <v>100</v>
      </c>
    </row>
    <row r="583">
      <c r="A583" s="2" t="s">
        <v>2291</v>
      </c>
      <c r="B583" s="2" t="s">
        <v>87</v>
      </c>
      <c r="C583" s="2" t="s">
        <v>88</v>
      </c>
      <c r="D583" s="2" t="s">
        <v>2230</v>
      </c>
      <c r="E583" s="2" t="s">
        <v>2231</v>
      </c>
      <c r="F583" s="2" t="s">
        <v>2232</v>
      </c>
      <c r="G583" s="2" t="s">
        <v>2233</v>
      </c>
      <c r="H583" s="2" t="s">
        <v>2234</v>
      </c>
      <c r="I583" s="2" t="s">
        <v>2235</v>
      </c>
      <c r="J583" s="2" t="s">
        <v>120</v>
      </c>
      <c r="K583" s="2" t="s">
        <v>416</v>
      </c>
      <c r="L583" s="3">
        <v>64.25</v>
      </c>
      <c r="M583" s="3">
        <v>67.46</v>
      </c>
      <c r="N583" s="3">
        <v>129.99</v>
      </c>
      <c r="O583" s="2" t="s">
        <v>97</v>
      </c>
      <c r="P583" s="2" t="s">
        <v>242</v>
      </c>
      <c r="Q583" s="2" t="s">
        <v>99</v>
      </c>
      <c r="R583" s="2" t="s">
        <v>100</v>
      </c>
      <c r="S583" s="2" t="s">
        <v>2284</v>
      </c>
      <c r="T583" s="2" t="s">
        <v>100</v>
      </c>
      <c r="U583" s="2" t="s">
        <v>1508</v>
      </c>
      <c r="V583" s="2" t="s">
        <v>645</v>
      </c>
      <c r="W583" s="2" t="s">
        <v>104</v>
      </c>
      <c r="X583" s="2" t="s">
        <v>976</v>
      </c>
      <c r="Y583" s="2" t="s">
        <v>2290</v>
      </c>
      <c r="Z583" s="4">
        <v>277</v>
      </c>
      <c r="AA583" s="4">
        <f>=ROUNDDOWN(11.5416666666667,0)</f>
      </c>
      <c r="AB583" s="5">
        <v>24</v>
      </c>
      <c r="AC583" s="2" t="s">
        <v>1282</v>
      </c>
      <c r="AD583" s="4">
        <v>60</v>
      </c>
      <c r="AE583" s="4">
        <v>720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>
        <v>1</v>
      </c>
      <c r="AQ583" s="8">
        <v>76.32</v>
      </c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>
        <v>1</v>
      </c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15</v>
      </c>
      <c r="BK583" s="8">
        <v>988.35</v>
      </c>
      <c r="BL583" s="2" t="s">
        <v>2292</v>
      </c>
      <c r="BM583" s="7">
        <v>0.0667</v>
      </c>
      <c r="BN583" s="7">
        <v>0.0772</v>
      </c>
      <c r="BO583" s="4">
        <v>1</v>
      </c>
      <c r="BP583" s="8">
        <v>76.32</v>
      </c>
      <c r="BQ583" s="4"/>
      <c r="BR583" s="8"/>
      <c r="BS583" s="7"/>
      <c r="BT583" s="7"/>
      <c r="BU583" s="2" t="s">
        <v>109</v>
      </c>
      <c r="BV583" s="2" t="s">
        <v>97</v>
      </c>
      <c r="BW583" s="2" t="s">
        <v>1159</v>
      </c>
      <c r="BX583" s="2" t="s">
        <v>2293</v>
      </c>
      <c r="BY583" s="2" t="s">
        <v>112</v>
      </c>
      <c r="BZ583" s="2" t="s">
        <v>100</v>
      </c>
    </row>
    <row r="584">
      <c r="A584" s="2" t="s">
        <v>2294</v>
      </c>
      <c r="B584" s="2" t="s">
        <v>87</v>
      </c>
      <c r="C584" s="2" t="s">
        <v>88</v>
      </c>
      <c r="D584" s="2" t="s">
        <v>2230</v>
      </c>
      <c r="E584" s="2" t="s">
        <v>2231</v>
      </c>
      <c r="F584" s="2" t="s">
        <v>2232</v>
      </c>
      <c r="G584" s="2" t="s">
        <v>2233</v>
      </c>
      <c r="H584" s="2" t="s">
        <v>2234</v>
      </c>
      <c r="I584" s="2" t="s">
        <v>2235</v>
      </c>
      <c r="J584" s="2" t="s">
        <v>114</v>
      </c>
      <c r="K584" s="2" t="s">
        <v>434</v>
      </c>
      <c r="L584" s="3">
        <v>49.5</v>
      </c>
      <c r="M584" s="3">
        <v>51.98</v>
      </c>
      <c r="N584" s="3">
        <v>99.99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2295</v>
      </c>
      <c r="T584" s="2" t="s">
        <v>100</v>
      </c>
      <c r="U584" s="2" t="s">
        <v>1508</v>
      </c>
      <c r="V584" s="2" t="s">
        <v>645</v>
      </c>
      <c r="W584" s="2" t="s">
        <v>104</v>
      </c>
      <c r="X584" s="2" t="s">
        <v>976</v>
      </c>
      <c r="Y584" s="2" t="s">
        <v>2296</v>
      </c>
      <c r="Z584" s="4">
        <v>212</v>
      </c>
      <c r="AA584" s="4">
        <f>=ROUNDDOWN(16.3076923076923,0)</f>
      </c>
      <c r="AB584" s="5">
        <v>13</v>
      </c>
      <c r="AC584" s="2" t="s">
        <v>165</v>
      </c>
      <c r="AD584" s="4">
        <v>30</v>
      </c>
      <c r="AE584" s="4">
        <v>300</v>
      </c>
      <c r="AF584" s="6">
        <v>65</v>
      </c>
      <c r="AG584" s="6">
        <v>48</v>
      </c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>
        <v>1</v>
      </c>
      <c r="AW584" s="8">
        <v>76.32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>
        <v>0.0473</v>
      </c>
      <c r="BJ584" s="4">
        <v>7</v>
      </c>
      <c r="BK584" s="8">
        <v>339.52</v>
      </c>
      <c r="BL584" s="2" t="s">
        <v>108</v>
      </c>
      <c r="BM584" s="7"/>
      <c r="BN584" s="7"/>
      <c r="BO584" s="4"/>
      <c r="BP584" s="8"/>
      <c r="BQ584" s="4"/>
      <c r="BR584" s="8"/>
      <c r="BS584" s="7"/>
      <c r="BT584" s="7"/>
      <c r="BU584" s="2" t="s">
        <v>109</v>
      </c>
      <c r="BV584" s="2" t="s">
        <v>97</v>
      </c>
      <c r="BW584" s="2" t="s">
        <v>122</v>
      </c>
      <c r="BX584" s="2" t="s">
        <v>515</v>
      </c>
      <c r="BY584" s="2" t="s">
        <v>112</v>
      </c>
      <c r="BZ584" s="2" t="s">
        <v>100</v>
      </c>
    </row>
    <row r="585">
      <c r="A585" s="2" t="s">
        <v>2297</v>
      </c>
      <c r="B585" s="2" t="s">
        <v>87</v>
      </c>
      <c r="C585" s="2" t="s">
        <v>88</v>
      </c>
      <c r="D585" s="2" t="s">
        <v>2230</v>
      </c>
      <c r="E585" s="2" t="s">
        <v>2231</v>
      </c>
      <c r="F585" s="2" t="s">
        <v>2232</v>
      </c>
      <c r="G585" s="2" t="s">
        <v>2233</v>
      </c>
      <c r="H585" s="2" t="s">
        <v>2234</v>
      </c>
      <c r="I585" s="2" t="s">
        <v>2235</v>
      </c>
      <c r="J585" s="2" t="s">
        <v>120</v>
      </c>
      <c r="K585" s="2" t="s">
        <v>434</v>
      </c>
      <c r="L585" s="3">
        <v>64.25</v>
      </c>
      <c r="M585" s="3">
        <v>67.46</v>
      </c>
      <c r="N585" s="3">
        <v>129.99</v>
      </c>
      <c r="O585" s="2" t="s">
        <v>97</v>
      </c>
      <c r="P585" s="2" t="s">
        <v>98</v>
      </c>
      <c r="Q585" s="2" t="s">
        <v>99</v>
      </c>
      <c r="R585" s="2" t="s">
        <v>100</v>
      </c>
      <c r="S585" s="2" t="s">
        <v>2295</v>
      </c>
      <c r="T585" s="2" t="s">
        <v>100</v>
      </c>
      <c r="U585" s="2" t="s">
        <v>1508</v>
      </c>
      <c r="V585" s="2" t="s">
        <v>645</v>
      </c>
      <c r="W585" s="2" t="s">
        <v>104</v>
      </c>
      <c r="X585" s="2" t="s">
        <v>976</v>
      </c>
      <c r="Y585" s="2" t="s">
        <v>131</v>
      </c>
      <c r="Z585" s="4">
        <v>358</v>
      </c>
      <c r="AA585" s="4">
        <f>=ROUNDDOWN(27.5384615384615,0)</f>
      </c>
      <c r="AB585" s="5">
        <v>13</v>
      </c>
      <c r="AC585" s="2" t="s">
        <v>165</v>
      </c>
      <c r="AD585" s="4">
        <v>30</v>
      </c>
      <c r="AE585" s="4">
        <v>140</v>
      </c>
      <c r="AF585" s="6">
        <v>65</v>
      </c>
      <c r="AG585" s="6">
        <v>48</v>
      </c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>
        <v>1</v>
      </c>
      <c r="AQ585" s="8">
        <v>76.32</v>
      </c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1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 t="s">
        <v>100</v>
      </c>
      <c r="BJ585" s="4">
        <v>14</v>
      </c>
      <c r="BK585" s="8">
        <v>952.66</v>
      </c>
      <c r="BL585" s="2" t="s">
        <v>1179</v>
      </c>
      <c r="BM585" s="7">
        <v>0.0714</v>
      </c>
      <c r="BN585" s="7">
        <v>0.0801</v>
      </c>
      <c r="BO585" s="4">
        <v>1</v>
      </c>
      <c r="BP585" s="8">
        <v>76.32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122</v>
      </c>
      <c r="BX585" s="2" t="s">
        <v>225</v>
      </c>
      <c r="BY585" s="2" t="s">
        <v>112</v>
      </c>
      <c r="BZ585" s="2" t="s">
        <v>100</v>
      </c>
    </row>
    <row r="586">
      <c r="A586" s="2" t="s">
        <v>2298</v>
      </c>
      <c r="B586" s="2" t="s">
        <v>87</v>
      </c>
      <c r="C586" s="2" t="s">
        <v>88</v>
      </c>
      <c r="D586" s="2" t="s">
        <v>2230</v>
      </c>
      <c r="E586" s="2" t="s">
        <v>2231</v>
      </c>
      <c r="F586" s="2" t="s">
        <v>2232</v>
      </c>
      <c r="G586" s="2" t="s">
        <v>2233</v>
      </c>
      <c r="H586" s="2" t="s">
        <v>2234</v>
      </c>
      <c r="I586" s="2" t="s">
        <v>2235</v>
      </c>
      <c r="J586" s="2" t="s">
        <v>2236</v>
      </c>
      <c r="K586" s="2" t="s">
        <v>227</v>
      </c>
      <c r="L586" s="3">
        <v>32.39</v>
      </c>
      <c r="M586" s="3">
        <v>34.01</v>
      </c>
      <c r="N586" s="3">
        <v>64.99</v>
      </c>
      <c r="O586" s="2" t="s">
        <v>97</v>
      </c>
      <c r="P586" s="2" t="s">
        <v>242</v>
      </c>
      <c r="Q586" s="2" t="s">
        <v>99</v>
      </c>
      <c r="R586" s="2" t="s">
        <v>100</v>
      </c>
      <c r="S586" s="2" t="s">
        <v>2273</v>
      </c>
      <c r="T586" s="2" t="s">
        <v>100</v>
      </c>
      <c r="U586" s="2" t="s">
        <v>2150</v>
      </c>
      <c r="V586" s="2" t="s">
        <v>645</v>
      </c>
      <c r="W586" s="2" t="s">
        <v>104</v>
      </c>
      <c r="X586" s="2" t="s">
        <v>976</v>
      </c>
      <c r="Y586" s="2" t="s">
        <v>2299</v>
      </c>
      <c r="Z586" s="4">
        <v>272</v>
      </c>
      <c r="AA586" s="4">
        <f>=ROUNDDOWN(14.3157894736842,0)</f>
      </c>
      <c r="AB586" s="5">
        <v>19</v>
      </c>
      <c r="AC586" s="2" t="s">
        <v>165</v>
      </c>
      <c r="AD586" s="4">
        <v>50</v>
      </c>
      <c r="AE586" s="4">
        <v>440</v>
      </c>
      <c r="AF586" s="6">
        <v>65</v>
      </c>
      <c r="AG586" s="6">
        <v>48</v>
      </c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>
        <v>1</v>
      </c>
      <c r="AW586" s="8">
        <v>76.32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>
        <v>0.0473</v>
      </c>
      <c r="BJ586" s="4">
        <v>9</v>
      </c>
      <c r="BK586" s="8">
        <v>307.15</v>
      </c>
      <c r="BL586" s="2" t="s">
        <v>999</v>
      </c>
      <c r="BM586" s="7"/>
      <c r="BN586" s="7"/>
      <c r="BO586" s="4"/>
      <c r="BP586" s="8"/>
      <c r="BQ586" s="4"/>
      <c r="BR586" s="8"/>
      <c r="BS586" s="7"/>
      <c r="BT586" s="7"/>
      <c r="BU586" s="2" t="s">
        <v>109</v>
      </c>
      <c r="BV586" s="2" t="s">
        <v>97</v>
      </c>
      <c r="BW586" s="2" t="s">
        <v>2300</v>
      </c>
      <c r="BX586" s="2" t="s">
        <v>1794</v>
      </c>
      <c r="BY586" s="2" t="s">
        <v>112</v>
      </c>
      <c r="BZ586" s="2" t="s">
        <v>100</v>
      </c>
    </row>
    <row r="587">
      <c r="A587" s="2" t="s">
        <v>2301</v>
      </c>
      <c r="B587" s="2" t="s">
        <v>87</v>
      </c>
      <c r="C587" s="2" t="s">
        <v>88</v>
      </c>
      <c r="D587" s="2" t="s">
        <v>2230</v>
      </c>
      <c r="E587" s="2" t="s">
        <v>2231</v>
      </c>
      <c r="F587" s="2" t="s">
        <v>2232</v>
      </c>
      <c r="G587" s="2" t="s">
        <v>2233</v>
      </c>
      <c r="H587" s="2" t="s">
        <v>2234</v>
      </c>
      <c r="I587" s="2" t="s">
        <v>2235</v>
      </c>
      <c r="J587" s="2" t="s">
        <v>95</v>
      </c>
      <c r="K587" s="2" t="s">
        <v>227</v>
      </c>
      <c r="L587" s="3">
        <v>39.69</v>
      </c>
      <c r="M587" s="3">
        <v>41.67</v>
      </c>
      <c r="N587" s="3">
        <v>79.99</v>
      </c>
      <c r="O587" s="2" t="s">
        <v>97</v>
      </c>
      <c r="P587" s="2" t="s">
        <v>242</v>
      </c>
      <c r="Q587" s="2" t="s">
        <v>99</v>
      </c>
      <c r="R587" s="2" t="s">
        <v>100</v>
      </c>
      <c r="S587" s="2" t="s">
        <v>2273</v>
      </c>
      <c r="T587" s="2" t="s">
        <v>100</v>
      </c>
      <c r="U587" s="2" t="s">
        <v>1508</v>
      </c>
      <c r="V587" s="2" t="s">
        <v>645</v>
      </c>
      <c r="W587" s="2" t="s">
        <v>104</v>
      </c>
      <c r="X587" s="2" t="s">
        <v>976</v>
      </c>
      <c r="Y587" s="2" t="s">
        <v>2299</v>
      </c>
      <c r="Z587" s="4">
        <v>183</v>
      </c>
      <c r="AA587" s="4">
        <f>=ROUNDDOWN(13.0714285714286,0)</f>
      </c>
      <c r="AB587" s="5">
        <v>14</v>
      </c>
      <c r="AC587" s="2" t="s">
        <v>194</v>
      </c>
      <c r="AD587" s="4">
        <v>70</v>
      </c>
      <c r="AE587" s="4">
        <v>360</v>
      </c>
      <c r="AF587" s="6">
        <v>65</v>
      </c>
      <c r="AG587" s="6">
        <v>48</v>
      </c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/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8</v>
      </c>
      <c r="BK587" s="8">
        <v>310.9</v>
      </c>
      <c r="BL587" s="2" t="s">
        <v>1271</v>
      </c>
      <c r="BM587" s="7"/>
      <c r="BN587" s="7"/>
      <c r="BO587" s="4"/>
      <c r="BP587" s="8"/>
      <c r="BQ587" s="4"/>
      <c r="BR587" s="8"/>
      <c r="BS587" s="7"/>
      <c r="BT587" s="7"/>
      <c r="BU587" s="2" t="s">
        <v>109</v>
      </c>
      <c r="BV587" s="2" t="s">
        <v>97</v>
      </c>
      <c r="BW587" s="2" t="s">
        <v>2302</v>
      </c>
      <c r="BX587" s="2" t="s">
        <v>2303</v>
      </c>
      <c r="BY587" s="2" t="s">
        <v>112</v>
      </c>
      <c r="BZ587" s="2" t="s">
        <v>100</v>
      </c>
    </row>
    <row r="588">
      <c r="A588" s="2" t="s">
        <v>2304</v>
      </c>
      <c r="B588" s="2" t="s">
        <v>87</v>
      </c>
      <c r="C588" s="2" t="s">
        <v>88</v>
      </c>
      <c r="D588" s="2" t="s">
        <v>2230</v>
      </c>
      <c r="E588" s="2" t="s">
        <v>2231</v>
      </c>
      <c r="F588" s="2" t="s">
        <v>2232</v>
      </c>
      <c r="G588" s="2" t="s">
        <v>2233</v>
      </c>
      <c r="H588" s="2" t="s">
        <v>2234</v>
      </c>
      <c r="I588" s="2" t="s">
        <v>2235</v>
      </c>
      <c r="J588" s="2" t="s">
        <v>114</v>
      </c>
      <c r="K588" s="2" t="s">
        <v>227</v>
      </c>
      <c r="L588" s="3">
        <v>49.5</v>
      </c>
      <c r="M588" s="3">
        <v>51.98</v>
      </c>
      <c r="N588" s="3">
        <v>99.99</v>
      </c>
      <c r="O588" s="2" t="s">
        <v>97</v>
      </c>
      <c r="P588" s="2" t="s">
        <v>242</v>
      </c>
      <c r="Q588" s="2" t="s">
        <v>99</v>
      </c>
      <c r="R588" s="2" t="s">
        <v>100</v>
      </c>
      <c r="S588" s="2" t="s">
        <v>2305</v>
      </c>
      <c r="T588" s="2" t="s">
        <v>100</v>
      </c>
      <c r="U588" s="2" t="s">
        <v>1508</v>
      </c>
      <c r="V588" s="2" t="s">
        <v>645</v>
      </c>
      <c r="W588" s="2" t="s">
        <v>104</v>
      </c>
      <c r="X588" s="2" t="s">
        <v>976</v>
      </c>
      <c r="Y588" s="2" t="s">
        <v>131</v>
      </c>
      <c r="Z588" s="4">
        <v>319</v>
      </c>
      <c r="AA588" s="4">
        <f>=ROUNDDOWN(6.78723404255319,0)</f>
      </c>
      <c r="AB588" s="5">
        <v>47</v>
      </c>
      <c r="AC588" s="2" t="s">
        <v>165</v>
      </c>
      <c r="AD588" s="4">
        <v>110</v>
      </c>
      <c r="AE588" s="4">
        <v>1330</v>
      </c>
      <c r="AF588" s="6">
        <v>65</v>
      </c>
      <c r="AG588" s="6">
        <v>48</v>
      </c>
      <c r="AH588" s="7">
        <v>0.2857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/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 t="s">
        <v>100</v>
      </c>
      <c r="BJ588" s="4">
        <v>1</v>
      </c>
      <c r="BK588" s="8">
        <v>44.63</v>
      </c>
      <c r="BL588" s="2" t="s">
        <v>133</v>
      </c>
      <c r="BM588" s="7"/>
      <c r="BN588" s="7"/>
      <c r="BO588" s="4"/>
      <c r="BP588" s="8"/>
      <c r="BQ588" s="4"/>
      <c r="BR588" s="8"/>
      <c r="BS588" s="7"/>
      <c r="BT588" s="7"/>
      <c r="BU588" s="2" t="s">
        <v>109</v>
      </c>
      <c r="BV588" s="2" t="s">
        <v>97</v>
      </c>
      <c r="BW588" s="2" t="s">
        <v>122</v>
      </c>
      <c r="BX588" s="2" t="s">
        <v>749</v>
      </c>
      <c r="BY588" s="2" t="s">
        <v>112</v>
      </c>
      <c r="BZ588" s="2" t="s">
        <v>100</v>
      </c>
    </row>
    <row r="589">
      <c r="A589" s="2" t="s">
        <v>2306</v>
      </c>
      <c r="B589" s="2" t="s">
        <v>87</v>
      </c>
      <c r="C589" s="2" t="s">
        <v>88</v>
      </c>
      <c r="D589" s="2" t="s">
        <v>2230</v>
      </c>
      <c r="E589" s="2" t="s">
        <v>2231</v>
      </c>
      <c r="F589" s="2" t="s">
        <v>2232</v>
      </c>
      <c r="G589" s="2" t="s">
        <v>2233</v>
      </c>
      <c r="H589" s="2" t="s">
        <v>2234</v>
      </c>
      <c r="I589" s="2" t="s">
        <v>2235</v>
      </c>
      <c r="J589" s="2" t="s">
        <v>120</v>
      </c>
      <c r="K589" s="2" t="s">
        <v>227</v>
      </c>
      <c r="L589" s="3">
        <v>64.25</v>
      </c>
      <c r="M589" s="3">
        <v>67.46</v>
      </c>
      <c r="N589" s="3">
        <v>129.99</v>
      </c>
      <c r="O589" s="2" t="s">
        <v>97</v>
      </c>
      <c r="P589" s="2" t="s">
        <v>242</v>
      </c>
      <c r="Q589" s="2" t="s">
        <v>99</v>
      </c>
      <c r="R589" s="2" t="s">
        <v>100</v>
      </c>
      <c r="S589" s="2" t="s">
        <v>2305</v>
      </c>
      <c r="T589" s="2" t="s">
        <v>100</v>
      </c>
      <c r="U589" s="2" t="s">
        <v>1508</v>
      </c>
      <c r="V589" s="2" t="s">
        <v>645</v>
      </c>
      <c r="W589" s="2" t="s">
        <v>104</v>
      </c>
      <c r="X589" s="2" t="s">
        <v>976</v>
      </c>
      <c r="Y589" s="2" t="s">
        <v>131</v>
      </c>
      <c r="Z589" s="4">
        <v>306</v>
      </c>
      <c r="AA589" s="4">
        <f>=ROUNDDOWN(5.77358490566038,0)</f>
      </c>
      <c r="AB589" s="5">
        <v>53</v>
      </c>
      <c r="AC589" s="2" t="s">
        <v>165</v>
      </c>
      <c r="AD589" s="4">
        <v>160</v>
      </c>
      <c r="AE589" s="4">
        <v>1590</v>
      </c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>
        <v>1</v>
      </c>
      <c r="AQ589" s="8">
        <v>76.32</v>
      </c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>
        <v>1</v>
      </c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25</v>
      </c>
      <c r="BK589" s="8">
        <v>1705.18</v>
      </c>
      <c r="BL589" s="2" t="s">
        <v>666</v>
      </c>
      <c r="BM589" s="7">
        <v>0.04</v>
      </c>
      <c r="BN589" s="7">
        <v>0.0448</v>
      </c>
      <c r="BO589" s="4">
        <v>1</v>
      </c>
      <c r="BP589" s="8">
        <v>76.32</v>
      </c>
      <c r="BQ589" s="4"/>
      <c r="BR589" s="8"/>
      <c r="BS589" s="7"/>
      <c r="BT589" s="7"/>
      <c r="BU589" s="2" t="s">
        <v>109</v>
      </c>
      <c r="BV589" s="2" t="s">
        <v>97</v>
      </c>
      <c r="BW589" s="2" t="s">
        <v>122</v>
      </c>
      <c r="BX589" s="2" t="s">
        <v>621</v>
      </c>
      <c r="BY589" s="2" t="s">
        <v>112</v>
      </c>
      <c r="BZ589" s="2" t="s">
        <v>100</v>
      </c>
    </row>
    <row r="590">
      <c r="A590" s="2" t="s">
        <v>2307</v>
      </c>
      <c r="B590" s="2" t="s">
        <v>87</v>
      </c>
      <c r="C590" s="2" t="s">
        <v>88</v>
      </c>
      <c r="D590" s="2" t="s">
        <v>2230</v>
      </c>
      <c r="E590" s="2" t="s">
        <v>2231</v>
      </c>
      <c r="F590" s="2" t="s">
        <v>2232</v>
      </c>
      <c r="G590" s="2" t="s">
        <v>2233</v>
      </c>
      <c r="H590" s="2" t="s">
        <v>2234</v>
      </c>
      <c r="I590" s="2" t="s">
        <v>2235</v>
      </c>
      <c r="J590" s="2" t="s">
        <v>114</v>
      </c>
      <c r="K590" s="2" t="s">
        <v>146</v>
      </c>
      <c r="L590" s="3">
        <v>49.5</v>
      </c>
      <c r="M590" s="3">
        <v>51.98</v>
      </c>
      <c r="N590" s="3">
        <v>99.99</v>
      </c>
      <c r="O590" s="2" t="s">
        <v>97</v>
      </c>
      <c r="P590" s="2" t="s">
        <v>242</v>
      </c>
      <c r="Q590" s="2" t="s">
        <v>99</v>
      </c>
      <c r="R590" s="2" t="s">
        <v>100</v>
      </c>
      <c r="S590" s="2" t="s">
        <v>2308</v>
      </c>
      <c r="T590" s="2" t="s">
        <v>100</v>
      </c>
      <c r="U590" s="2" t="s">
        <v>1508</v>
      </c>
      <c r="V590" s="2" t="s">
        <v>645</v>
      </c>
      <c r="W590" s="2" t="s">
        <v>104</v>
      </c>
      <c r="X590" s="2" t="s">
        <v>976</v>
      </c>
      <c r="Y590" s="2" t="s">
        <v>131</v>
      </c>
      <c r="Z590" s="4">
        <v>262</v>
      </c>
      <c r="AA590" s="4">
        <f>=ROUNDDOWN(11.3913043478261,0)</f>
      </c>
      <c r="AB590" s="5">
        <v>23</v>
      </c>
      <c r="AC590" s="2" t="s">
        <v>165</v>
      </c>
      <c r="AD590" s="4">
        <v>30</v>
      </c>
      <c r="AE590" s="4">
        <v>580</v>
      </c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>
        <v>1</v>
      </c>
      <c r="AQ590" s="8">
        <v>58.71</v>
      </c>
      <c r="AR590" s="4"/>
      <c r="AS590" s="8"/>
      <c r="AT590" s="7"/>
      <c r="AU590" s="7"/>
      <c r="AV590" s="4">
        <v>1</v>
      </c>
      <c r="AW590" s="8">
        <v>58.71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>
        <v>1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>
        <v>0.0364</v>
      </c>
      <c r="BJ590" s="4">
        <v>10</v>
      </c>
      <c r="BK590" s="8">
        <v>543.1</v>
      </c>
      <c r="BL590" s="2" t="s">
        <v>2309</v>
      </c>
      <c r="BM590" s="7">
        <v>0.1</v>
      </c>
      <c r="BN590" s="7">
        <v>0.1081</v>
      </c>
      <c r="BO590" s="4">
        <v>1</v>
      </c>
      <c r="BP590" s="8">
        <v>58.71</v>
      </c>
      <c r="BQ590" s="4"/>
      <c r="BR590" s="8"/>
      <c r="BS590" s="7"/>
      <c r="BT590" s="7"/>
      <c r="BU590" s="2" t="s">
        <v>109</v>
      </c>
      <c r="BV590" s="2" t="s">
        <v>97</v>
      </c>
      <c r="BW590" s="2" t="s">
        <v>122</v>
      </c>
      <c r="BX590" s="2" t="s">
        <v>222</v>
      </c>
      <c r="BY590" s="2" t="s">
        <v>112</v>
      </c>
      <c r="BZ590" s="2" t="s">
        <v>100</v>
      </c>
    </row>
    <row r="591">
      <c r="A591" s="2" t="s">
        <v>2310</v>
      </c>
      <c r="B591" s="2" t="s">
        <v>87</v>
      </c>
      <c r="C591" s="2" t="s">
        <v>88</v>
      </c>
      <c r="D591" s="2" t="s">
        <v>2230</v>
      </c>
      <c r="E591" s="2" t="s">
        <v>2231</v>
      </c>
      <c r="F591" s="2" t="s">
        <v>2232</v>
      </c>
      <c r="G591" s="2" t="s">
        <v>2233</v>
      </c>
      <c r="H591" s="2" t="s">
        <v>2234</v>
      </c>
      <c r="I591" s="2" t="s">
        <v>2235</v>
      </c>
      <c r="J591" s="2" t="s">
        <v>120</v>
      </c>
      <c r="K591" s="2" t="s">
        <v>146</v>
      </c>
      <c r="L591" s="3">
        <v>64.25</v>
      </c>
      <c r="M591" s="3">
        <v>67.46</v>
      </c>
      <c r="N591" s="3">
        <v>129.99</v>
      </c>
      <c r="O591" s="2" t="s">
        <v>97</v>
      </c>
      <c r="P591" s="2" t="s">
        <v>242</v>
      </c>
      <c r="Q591" s="2" t="s">
        <v>99</v>
      </c>
      <c r="R591" s="2" t="s">
        <v>100</v>
      </c>
      <c r="S591" s="2" t="s">
        <v>2308</v>
      </c>
      <c r="T591" s="2" t="s">
        <v>100</v>
      </c>
      <c r="U591" s="2" t="s">
        <v>1508</v>
      </c>
      <c r="V591" s="2" t="s">
        <v>645</v>
      </c>
      <c r="W591" s="2" t="s">
        <v>104</v>
      </c>
      <c r="X591" s="2" t="s">
        <v>976</v>
      </c>
      <c r="Y591" s="2" t="s">
        <v>2311</v>
      </c>
      <c r="Z591" s="4">
        <v>360</v>
      </c>
      <c r="AA591" s="4">
        <f>=ROUNDDOWN(12.4137931034483,0)</f>
      </c>
      <c r="AB591" s="5">
        <v>29</v>
      </c>
      <c r="AC591" s="2" t="s">
        <v>165</v>
      </c>
      <c r="AD591" s="4">
        <v>60</v>
      </c>
      <c r="AE591" s="4">
        <v>710</v>
      </c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/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11</v>
      </c>
      <c r="BK591" s="8">
        <v>731.73</v>
      </c>
      <c r="BL591" s="2" t="s">
        <v>2312</v>
      </c>
      <c r="BM591" s="7"/>
      <c r="BN591" s="7"/>
      <c r="BO591" s="4"/>
      <c r="BP591" s="8"/>
      <c r="BQ591" s="4"/>
      <c r="BR591" s="8"/>
      <c r="BS591" s="7"/>
      <c r="BT591" s="7"/>
      <c r="BU591" s="2" t="s">
        <v>109</v>
      </c>
      <c r="BV591" s="2" t="s">
        <v>97</v>
      </c>
      <c r="BW591" s="2" t="s">
        <v>122</v>
      </c>
      <c r="BX591" s="2" t="s">
        <v>161</v>
      </c>
      <c r="BY591" s="2" t="s">
        <v>112</v>
      </c>
      <c r="BZ591" s="2" t="s">
        <v>100</v>
      </c>
    </row>
    <row r="592">
      <c r="A592" s="2" t="s">
        <v>2313</v>
      </c>
      <c r="B592" s="2" t="s">
        <v>87</v>
      </c>
      <c r="C592" s="2" t="s">
        <v>88</v>
      </c>
      <c r="D592" s="2" t="s">
        <v>2230</v>
      </c>
      <c r="E592" s="2" t="s">
        <v>2231</v>
      </c>
      <c r="F592" s="2" t="s">
        <v>2232</v>
      </c>
      <c r="G592" s="2" t="s">
        <v>2233</v>
      </c>
      <c r="H592" s="2" t="s">
        <v>2234</v>
      </c>
      <c r="I592" s="2" t="s">
        <v>2314</v>
      </c>
      <c r="J592" s="2" t="s">
        <v>114</v>
      </c>
      <c r="K592" s="2" t="s">
        <v>2315</v>
      </c>
      <c r="L592" s="3">
        <v>49.5</v>
      </c>
      <c r="M592" s="3">
        <v>51.98</v>
      </c>
      <c r="N592" s="3">
        <v>99.99</v>
      </c>
      <c r="O592" s="2" t="s">
        <v>97</v>
      </c>
      <c r="P592" s="2" t="s">
        <v>1335</v>
      </c>
      <c r="Q592" s="2" t="s">
        <v>99</v>
      </c>
      <c r="R592" s="2" t="s">
        <v>100</v>
      </c>
      <c r="S592" s="2" t="s">
        <v>2316</v>
      </c>
      <c r="T592" s="2" t="s">
        <v>100</v>
      </c>
      <c r="U592" s="2" t="s">
        <v>1508</v>
      </c>
      <c r="V592" s="2" t="s">
        <v>645</v>
      </c>
      <c r="W592" s="2" t="s">
        <v>104</v>
      </c>
      <c r="X592" s="2" t="s">
        <v>976</v>
      </c>
      <c r="Y592" s="2" t="s">
        <v>695</v>
      </c>
      <c r="Z592" s="4"/>
      <c r="AA592" s="4">
        <f>=ROUNDDOWN({0},0)</f>
      </c>
      <c r="AB592" s="5"/>
      <c r="AC592" s="2" t="s">
        <v>680</v>
      </c>
      <c r="AD592" s="4">
        <v>210</v>
      </c>
      <c r="AE592" s="4">
        <v>630</v>
      </c>
      <c r="AF592" s="6">
        <v>65</v>
      </c>
      <c r="AG592" s="6"/>
      <c r="AH592" s="7">
        <v>0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/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/>
      <c r="BK592" s="8"/>
      <c r="BL592" s="2" t="s">
        <v>100</v>
      </c>
      <c r="BM592" s="7"/>
      <c r="BN592" s="7"/>
      <c r="BO592" s="4"/>
      <c r="BP592" s="8"/>
      <c r="BQ592" s="4"/>
      <c r="BR592" s="8"/>
      <c r="BS592" s="7"/>
      <c r="BT592" s="7"/>
      <c r="BU592" s="2" t="s">
        <v>1338</v>
      </c>
      <c r="BV592" s="2" t="s">
        <v>97</v>
      </c>
      <c r="BW592" s="2" t="s">
        <v>100</v>
      </c>
      <c r="BX592" s="2" t="s">
        <v>100</v>
      </c>
      <c r="BY592" s="2" t="s">
        <v>112</v>
      </c>
      <c r="BZ592" s="2" t="s">
        <v>100</v>
      </c>
    </row>
    <row r="593">
      <c r="A593" s="2" t="s">
        <v>2317</v>
      </c>
      <c r="B593" s="2" t="s">
        <v>87</v>
      </c>
      <c r="C593" s="2" t="s">
        <v>88</v>
      </c>
      <c r="D593" s="2" t="s">
        <v>2230</v>
      </c>
      <c r="E593" s="2" t="s">
        <v>2231</v>
      </c>
      <c r="F593" s="2" t="s">
        <v>2232</v>
      </c>
      <c r="G593" s="2" t="s">
        <v>2233</v>
      </c>
      <c r="H593" s="2" t="s">
        <v>2234</v>
      </c>
      <c r="I593" s="2" t="s">
        <v>2314</v>
      </c>
      <c r="J593" s="2" t="s">
        <v>120</v>
      </c>
      <c r="K593" s="2" t="s">
        <v>2315</v>
      </c>
      <c r="L593" s="3">
        <v>64.25</v>
      </c>
      <c r="M593" s="3">
        <v>67.46</v>
      </c>
      <c r="N593" s="3">
        <v>129.99</v>
      </c>
      <c r="O593" s="2" t="s">
        <v>97</v>
      </c>
      <c r="P593" s="2" t="s">
        <v>1335</v>
      </c>
      <c r="Q593" s="2" t="s">
        <v>99</v>
      </c>
      <c r="R593" s="2" t="s">
        <v>100</v>
      </c>
      <c r="S593" s="2" t="s">
        <v>2316</v>
      </c>
      <c r="T593" s="2" t="s">
        <v>100</v>
      </c>
      <c r="U593" s="2" t="s">
        <v>1508</v>
      </c>
      <c r="V593" s="2" t="s">
        <v>645</v>
      </c>
      <c r="W593" s="2" t="s">
        <v>104</v>
      </c>
      <c r="X593" s="2" t="s">
        <v>976</v>
      </c>
      <c r="Y593" s="2" t="s">
        <v>695</v>
      </c>
      <c r="Z593" s="4"/>
      <c r="AA593" s="4">
        <f>=ROUNDDOWN({0},0)</f>
      </c>
      <c r="AB593" s="5"/>
      <c r="AC593" s="2" t="s">
        <v>680</v>
      </c>
      <c r="AD593" s="4">
        <v>250</v>
      </c>
      <c r="AE593" s="4">
        <v>770</v>
      </c>
      <c r="AF593" s="6">
        <v>65</v>
      </c>
      <c r="AG593" s="6"/>
      <c r="AH593" s="7">
        <v>0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 t="s">
        <v>100</v>
      </c>
      <c r="AW593" s="8" t="s">
        <v>100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/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 t="s">
        <v>100</v>
      </c>
      <c r="BJ593" s="4"/>
      <c r="BK593" s="8"/>
      <c r="BL593" s="2" t="s">
        <v>100</v>
      </c>
      <c r="BM593" s="7"/>
      <c r="BN593" s="7"/>
      <c r="BO593" s="4"/>
      <c r="BP593" s="8"/>
      <c r="BQ593" s="4"/>
      <c r="BR593" s="8"/>
      <c r="BS593" s="7"/>
      <c r="BT593" s="7"/>
      <c r="BU593" s="2" t="s">
        <v>1338</v>
      </c>
      <c r="BV593" s="2" t="s">
        <v>97</v>
      </c>
      <c r="BW593" s="2" t="s">
        <v>100</v>
      </c>
      <c r="BX593" s="2" t="s">
        <v>100</v>
      </c>
      <c r="BY593" s="2" t="s">
        <v>112</v>
      </c>
      <c r="BZ593" s="2" t="s">
        <v>100</v>
      </c>
    </row>
    <row r="594">
      <c r="A594" s="2" t="s">
        <v>2318</v>
      </c>
      <c r="B594" s="2" t="s">
        <v>87</v>
      </c>
      <c r="C594" s="2" t="s">
        <v>88</v>
      </c>
      <c r="D594" s="2" t="s">
        <v>2230</v>
      </c>
      <c r="E594" s="2" t="s">
        <v>2231</v>
      </c>
      <c r="F594" s="2" t="s">
        <v>2232</v>
      </c>
      <c r="G594" s="2" t="s">
        <v>2233</v>
      </c>
      <c r="H594" s="2" t="s">
        <v>2234</v>
      </c>
      <c r="I594" s="2" t="s">
        <v>2314</v>
      </c>
      <c r="J594" s="2" t="s">
        <v>114</v>
      </c>
      <c r="K594" s="2" t="s">
        <v>2319</v>
      </c>
      <c r="L594" s="3">
        <v>49.5</v>
      </c>
      <c r="M594" s="3">
        <v>51.98</v>
      </c>
      <c r="N594" s="3">
        <v>99.99</v>
      </c>
      <c r="O594" s="2" t="s">
        <v>97</v>
      </c>
      <c r="P594" s="2" t="s">
        <v>1335</v>
      </c>
      <c r="Q594" s="2" t="s">
        <v>99</v>
      </c>
      <c r="R594" s="2" t="s">
        <v>100</v>
      </c>
      <c r="S594" s="2" t="s">
        <v>2316</v>
      </c>
      <c r="T594" s="2" t="s">
        <v>100</v>
      </c>
      <c r="U594" s="2" t="s">
        <v>1508</v>
      </c>
      <c r="V594" s="2" t="s">
        <v>645</v>
      </c>
      <c r="W594" s="2" t="s">
        <v>104</v>
      </c>
      <c r="X594" s="2" t="s">
        <v>976</v>
      </c>
      <c r="Y594" s="2" t="s">
        <v>695</v>
      </c>
      <c r="Z594" s="4"/>
      <c r="AA594" s="4">
        <f>=ROUNDDOWN({0},0)</f>
      </c>
      <c r="AB594" s="5"/>
      <c r="AC594" s="2" t="s">
        <v>680</v>
      </c>
      <c r="AD594" s="4">
        <v>120</v>
      </c>
      <c r="AE594" s="4">
        <v>360</v>
      </c>
      <c r="AF594" s="6">
        <v>65</v>
      </c>
      <c r="AG594" s="6"/>
      <c r="AH594" s="7">
        <v>0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/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/>
      <c r="BK594" s="8"/>
      <c r="BL594" s="2" t="s">
        <v>100</v>
      </c>
      <c r="BM594" s="7"/>
      <c r="BN594" s="7"/>
      <c r="BO594" s="4"/>
      <c r="BP594" s="8"/>
      <c r="BQ594" s="4"/>
      <c r="BR594" s="8"/>
      <c r="BS594" s="7"/>
      <c r="BT594" s="7"/>
      <c r="BU594" s="2" t="s">
        <v>1338</v>
      </c>
      <c r="BV594" s="2" t="s">
        <v>97</v>
      </c>
      <c r="BW594" s="2" t="s">
        <v>100</v>
      </c>
      <c r="BX594" s="2" t="s">
        <v>100</v>
      </c>
      <c r="BY594" s="2" t="s">
        <v>112</v>
      </c>
      <c r="BZ594" s="2" t="s">
        <v>100</v>
      </c>
    </row>
    <row r="595">
      <c r="A595" s="2" t="s">
        <v>2320</v>
      </c>
      <c r="B595" s="2" t="s">
        <v>87</v>
      </c>
      <c r="C595" s="2" t="s">
        <v>88</v>
      </c>
      <c r="D595" s="2" t="s">
        <v>2230</v>
      </c>
      <c r="E595" s="2" t="s">
        <v>2231</v>
      </c>
      <c r="F595" s="2" t="s">
        <v>2232</v>
      </c>
      <c r="G595" s="2" t="s">
        <v>2233</v>
      </c>
      <c r="H595" s="2" t="s">
        <v>2234</v>
      </c>
      <c r="I595" s="2" t="s">
        <v>2314</v>
      </c>
      <c r="J595" s="2" t="s">
        <v>120</v>
      </c>
      <c r="K595" s="2" t="s">
        <v>2319</v>
      </c>
      <c r="L595" s="3">
        <v>64.25</v>
      </c>
      <c r="M595" s="3">
        <v>67.46</v>
      </c>
      <c r="N595" s="3">
        <v>129.99</v>
      </c>
      <c r="O595" s="2" t="s">
        <v>97</v>
      </c>
      <c r="P595" s="2" t="s">
        <v>1335</v>
      </c>
      <c r="Q595" s="2" t="s">
        <v>99</v>
      </c>
      <c r="R595" s="2" t="s">
        <v>100</v>
      </c>
      <c r="S595" s="2" t="s">
        <v>2316</v>
      </c>
      <c r="T595" s="2" t="s">
        <v>100</v>
      </c>
      <c r="U595" s="2" t="s">
        <v>1508</v>
      </c>
      <c r="V595" s="2" t="s">
        <v>645</v>
      </c>
      <c r="W595" s="2" t="s">
        <v>104</v>
      </c>
      <c r="X595" s="2" t="s">
        <v>976</v>
      </c>
      <c r="Y595" s="2" t="s">
        <v>695</v>
      </c>
      <c r="Z595" s="4"/>
      <c r="AA595" s="4">
        <f>=ROUNDDOWN({0},0)</f>
      </c>
      <c r="AB595" s="5"/>
      <c r="AC595" s="2" t="s">
        <v>680</v>
      </c>
      <c r="AD595" s="4">
        <v>140</v>
      </c>
      <c r="AE595" s="4">
        <v>440</v>
      </c>
      <c r="AF595" s="6">
        <v>65</v>
      </c>
      <c r="AG595" s="6"/>
      <c r="AH595" s="7">
        <v>0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/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/>
      <c r="BK595" s="8"/>
      <c r="BL595" s="2" t="s">
        <v>100</v>
      </c>
      <c r="BM595" s="7"/>
      <c r="BN595" s="7"/>
      <c r="BO595" s="4"/>
      <c r="BP595" s="8"/>
      <c r="BQ595" s="4"/>
      <c r="BR595" s="8"/>
      <c r="BS595" s="7"/>
      <c r="BT595" s="7"/>
      <c r="BU595" s="2" t="s">
        <v>1338</v>
      </c>
      <c r="BV595" s="2" t="s">
        <v>97</v>
      </c>
      <c r="BW595" s="2" t="s">
        <v>100</v>
      </c>
      <c r="BX595" s="2" t="s">
        <v>100</v>
      </c>
      <c r="BY595" s="2" t="s">
        <v>112</v>
      </c>
      <c r="BZ595" s="2" t="s">
        <v>100</v>
      </c>
    </row>
    <row r="596">
      <c r="A596" s="2" t="s">
        <v>2321</v>
      </c>
      <c r="B596" s="2" t="s">
        <v>87</v>
      </c>
      <c r="C596" s="2" t="s">
        <v>88</v>
      </c>
      <c r="D596" s="2" t="s">
        <v>2230</v>
      </c>
      <c r="E596" s="2" t="s">
        <v>2231</v>
      </c>
      <c r="F596" s="2" t="s">
        <v>1830</v>
      </c>
      <c r="G596" s="2" t="s">
        <v>1831</v>
      </c>
      <c r="H596" s="2" t="s">
        <v>1832</v>
      </c>
      <c r="I596" s="2" t="s">
        <v>2322</v>
      </c>
      <c r="J596" s="2" t="s">
        <v>785</v>
      </c>
      <c r="K596" s="2" t="s">
        <v>1834</v>
      </c>
      <c r="L596" s="3">
        <v>44.54</v>
      </c>
      <c r="M596" s="3">
        <v>46.77</v>
      </c>
      <c r="N596" s="3">
        <v>99.99</v>
      </c>
      <c r="O596" s="2" t="s">
        <v>97</v>
      </c>
      <c r="P596" s="2" t="s">
        <v>98</v>
      </c>
      <c r="Q596" s="2" t="s">
        <v>99</v>
      </c>
      <c r="R596" s="2" t="s">
        <v>100</v>
      </c>
      <c r="S596" s="2" t="s">
        <v>2323</v>
      </c>
      <c r="T596" s="2" t="s">
        <v>100</v>
      </c>
      <c r="U596" s="2" t="s">
        <v>1508</v>
      </c>
      <c r="V596" s="2" t="s">
        <v>608</v>
      </c>
      <c r="W596" s="2" t="s">
        <v>646</v>
      </c>
      <c r="X596" s="2" t="s">
        <v>1085</v>
      </c>
      <c r="Y596" s="2" t="s">
        <v>2324</v>
      </c>
      <c r="Z596" s="4">
        <v>433</v>
      </c>
      <c r="AA596" s="4">
        <f>=ROUNDDOWN(20.1395348837209,0)</f>
      </c>
      <c r="AB596" s="5">
        <v>21.5</v>
      </c>
      <c r="AC596" s="2" t="s">
        <v>1377</v>
      </c>
      <c r="AD596" s="4">
        <v>50</v>
      </c>
      <c r="AE596" s="4">
        <v>208</v>
      </c>
      <c r="AF596" s="6">
        <v>69</v>
      </c>
      <c r="AG596" s="6">
        <v>77</v>
      </c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>
        <v>3</v>
      </c>
      <c r="AQ596" s="8">
        <v>153.75</v>
      </c>
      <c r="AR596" s="4"/>
      <c r="AS596" s="8"/>
      <c r="AT596" s="7"/>
      <c r="AU596" s="7"/>
      <c r="AV596" s="4">
        <v>4</v>
      </c>
      <c r="AW596" s="8">
        <v>215.26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>
        <v>0.7143</v>
      </c>
      <c r="BC596" s="4">
        <v>7</v>
      </c>
      <c r="BD596" s="8">
        <v>379.27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>
        <v>0.5676</v>
      </c>
      <c r="BJ596" s="4">
        <v>21</v>
      </c>
      <c r="BK596" s="8">
        <v>1055.37</v>
      </c>
      <c r="BL596" s="2" t="s">
        <v>2325</v>
      </c>
      <c r="BM596" s="7">
        <v>0.1429</v>
      </c>
      <c r="BN596" s="7">
        <v>0.1457</v>
      </c>
      <c r="BO596" s="4">
        <v>3</v>
      </c>
      <c r="BP596" s="8">
        <v>153.75</v>
      </c>
      <c r="BQ596" s="4"/>
      <c r="BR596" s="8"/>
      <c r="BS596" s="7"/>
      <c r="BT596" s="7"/>
      <c r="BU596" s="2" t="s">
        <v>109</v>
      </c>
      <c r="BV596" s="2" t="s">
        <v>97</v>
      </c>
      <c r="BW596" s="2" t="s">
        <v>122</v>
      </c>
      <c r="BX596" s="2" t="s">
        <v>219</v>
      </c>
      <c r="BY596" s="2" t="s">
        <v>112</v>
      </c>
      <c r="BZ596" s="2" t="s">
        <v>100</v>
      </c>
    </row>
    <row r="597">
      <c r="A597" s="2" t="s">
        <v>2326</v>
      </c>
      <c r="B597" s="2" t="s">
        <v>87</v>
      </c>
      <c r="C597" s="2" t="s">
        <v>88</v>
      </c>
      <c r="D597" s="2" t="s">
        <v>2230</v>
      </c>
      <c r="E597" s="2" t="s">
        <v>2231</v>
      </c>
      <c r="F597" s="2" t="s">
        <v>1830</v>
      </c>
      <c r="G597" s="2" t="s">
        <v>1831</v>
      </c>
      <c r="H597" s="2" t="s">
        <v>1832</v>
      </c>
      <c r="I597" s="2" t="s">
        <v>2322</v>
      </c>
      <c r="J597" s="2" t="s">
        <v>795</v>
      </c>
      <c r="K597" s="2" t="s">
        <v>1834</v>
      </c>
      <c r="L597" s="3">
        <v>52.65</v>
      </c>
      <c r="M597" s="3">
        <v>55.28</v>
      </c>
      <c r="N597" s="3">
        <v>119.99</v>
      </c>
      <c r="O597" s="2" t="s">
        <v>97</v>
      </c>
      <c r="P597" s="2" t="s">
        <v>98</v>
      </c>
      <c r="Q597" s="2" t="s">
        <v>99</v>
      </c>
      <c r="R597" s="2" t="s">
        <v>100</v>
      </c>
      <c r="S597" s="2" t="s">
        <v>2323</v>
      </c>
      <c r="T597" s="2" t="s">
        <v>100</v>
      </c>
      <c r="U597" s="2" t="s">
        <v>1508</v>
      </c>
      <c r="V597" s="2" t="s">
        <v>608</v>
      </c>
      <c r="W597" s="2" t="s">
        <v>646</v>
      </c>
      <c r="X597" s="2" t="s">
        <v>1085</v>
      </c>
      <c r="Y597" s="2" t="s">
        <v>2324</v>
      </c>
      <c r="Z597" s="4">
        <v>653</v>
      </c>
      <c r="AA597" s="4">
        <f>=ROUNDDOWN(27.2083333333333,0)</f>
      </c>
      <c r="AB597" s="5">
        <v>24</v>
      </c>
      <c r="AC597" s="2" t="s">
        <v>615</v>
      </c>
      <c r="AD597" s="4">
        <v>100</v>
      </c>
      <c r="AE597" s="4">
        <v>188</v>
      </c>
      <c r="AF597" s="6">
        <v>69</v>
      </c>
      <c r="AG597" s="6">
        <v>77</v>
      </c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>
        <v>1</v>
      </c>
      <c r="AQ597" s="8">
        <v>61.51</v>
      </c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>
        <v>0.2857</v>
      </c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23</v>
      </c>
      <c r="BK597" s="8">
        <v>1415.16</v>
      </c>
      <c r="BL597" s="2" t="s">
        <v>2327</v>
      </c>
      <c r="BM597" s="7">
        <v>0.0435</v>
      </c>
      <c r="BN597" s="7">
        <v>0.0435</v>
      </c>
      <c r="BO597" s="4">
        <v>1</v>
      </c>
      <c r="BP597" s="8">
        <v>61.51</v>
      </c>
      <c r="BQ597" s="4"/>
      <c r="BR597" s="8"/>
      <c r="BS597" s="7"/>
      <c r="BT597" s="7"/>
      <c r="BU597" s="2" t="s">
        <v>109</v>
      </c>
      <c r="BV597" s="2" t="s">
        <v>97</v>
      </c>
      <c r="BW597" s="2" t="s">
        <v>122</v>
      </c>
      <c r="BX597" s="2" t="s">
        <v>1126</v>
      </c>
      <c r="BY597" s="2" t="s">
        <v>112</v>
      </c>
      <c r="BZ597" s="2" t="s">
        <v>100</v>
      </c>
    </row>
    <row r="598">
      <c r="A598" s="2" t="s">
        <v>2328</v>
      </c>
      <c r="B598" s="2" t="s">
        <v>87</v>
      </c>
      <c r="C598" s="2" t="s">
        <v>88</v>
      </c>
      <c r="D598" s="2" t="s">
        <v>2230</v>
      </c>
      <c r="E598" s="2" t="s">
        <v>2231</v>
      </c>
      <c r="F598" s="2" t="s">
        <v>1830</v>
      </c>
      <c r="G598" s="2" t="s">
        <v>1831</v>
      </c>
      <c r="H598" s="2" t="s">
        <v>1832</v>
      </c>
      <c r="I598" s="2" t="s">
        <v>2329</v>
      </c>
      <c r="J598" s="2" t="s">
        <v>785</v>
      </c>
      <c r="K598" s="2" t="s">
        <v>175</v>
      </c>
      <c r="L598" s="3">
        <v>44.54</v>
      </c>
      <c r="M598" s="3">
        <v>46.77</v>
      </c>
      <c r="N598" s="3">
        <v>99.99</v>
      </c>
      <c r="O598" s="2" t="s">
        <v>97</v>
      </c>
      <c r="P598" s="2" t="s">
        <v>98</v>
      </c>
      <c r="Q598" s="2" t="s">
        <v>99</v>
      </c>
      <c r="R598" s="2" t="s">
        <v>100</v>
      </c>
      <c r="S598" s="2" t="s">
        <v>2330</v>
      </c>
      <c r="T598" s="2" t="s">
        <v>100</v>
      </c>
      <c r="U598" s="2" t="s">
        <v>1508</v>
      </c>
      <c r="V598" s="2" t="s">
        <v>608</v>
      </c>
      <c r="W598" s="2" t="s">
        <v>646</v>
      </c>
      <c r="X598" s="2" t="s">
        <v>647</v>
      </c>
      <c r="Y598" s="2" t="s">
        <v>2331</v>
      </c>
      <c r="Z598" s="4">
        <v>134</v>
      </c>
      <c r="AA598" s="4">
        <f>=ROUNDDOWN(8.375,0)</f>
      </c>
      <c r="AB598" s="5">
        <v>16</v>
      </c>
      <c r="AC598" s="2" t="s">
        <v>553</v>
      </c>
      <c r="AD598" s="4">
        <v>140</v>
      </c>
      <c r="AE598" s="4">
        <v>460</v>
      </c>
      <c r="AF598" s="6">
        <v>69</v>
      </c>
      <c r="AG598" s="6">
        <v>77</v>
      </c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>
        <v>2</v>
      </c>
      <c r="AQ598" s="8">
        <v>102.5</v>
      </c>
      <c r="AR598" s="4"/>
      <c r="AS598" s="8"/>
      <c r="AT598" s="7"/>
      <c r="AU598" s="7"/>
      <c r="AV598" s="4">
        <v>3</v>
      </c>
      <c r="AW598" s="8">
        <v>164.01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>
        <v>0.625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>
        <v>0.4324</v>
      </c>
      <c r="BJ598" s="4">
        <v>11</v>
      </c>
      <c r="BK598" s="8">
        <v>558.22</v>
      </c>
      <c r="BL598" s="2" t="s">
        <v>2332</v>
      </c>
      <c r="BM598" s="7">
        <v>0.1818</v>
      </c>
      <c r="BN598" s="7">
        <v>0.1836</v>
      </c>
      <c r="BO598" s="4">
        <v>2</v>
      </c>
      <c r="BP598" s="8">
        <v>102.5</v>
      </c>
      <c r="BQ598" s="4"/>
      <c r="BR598" s="8"/>
      <c r="BS598" s="7"/>
      <c r="BT598" s="7"/>
      <c r="BU598" s="2" t="s">
        <v>109</v>
      </c>
      <c r="BV598" s="2" t="s">
        <v>97</v>
      </c>
      <c r="BW598" s="2" t="s">
        <v>266</v>
      </c>
      <c r="BX598" s="2" t="s">
        <v>2333</v>
      </c>
      <c r="BY598" s="2" t="s">
        <v>112</v>
      </c>
      <c r="BZ598" s="2" t="s">
        <v>100</v>
      </c>
    </row>
    <row r="599">
      <c r="A599" s="2" t="s">
        <v>2334</v>
      </c>
      <c r="B599" s="2" t="s">
        <v>87</v>
      </c>
      <c r="C599" s="2" t="s">
        <v>88</v>
      </c>
      <c r="D599" s="2" t="s">
        <v>2230</v>
      </c>
      <c r="E599" s="2" t="s">
        <v>2231</v>
      </c>
      <c r="F599" s="2" t="s">
        <v>1830</v>
      </c>
      <c r="G599" s="2" t="s">
        <v>1831</v>
      </c>
      <c r="H599" s="2" t="s">
        <v>1832</v>
      </c>
      <c r="I599" s="2" t="s">
        <v>2329</v>
      </c>
      <c r="J599" s="2" t="s">
        <v>795</v>
      </c>
      <c r="K599" s="2" t="s">
        <v>175</v>
      </c>
      <c r="L599" s="3">
        <v>52.65</v>
      </c>
      <c r="M599" s="3">
        <v>55.28</v>
      </c>
      <c r="N599" s="3">
        <v>119.99</v>
      </c>
      <c r="O599" s="2" t="s">
        <v>97</v>
      </c>
      <c r="P599" s="2" t="s">
        <v>98</v>
      </c>
      <c r="Q599" s="2" t="s">
        <v>99</v>
      </c>
      <c r="R599" s="2" t="s">
        <v>100</v>
      </c>
      <c r="S599" s="2" t="s">
        <v>2330</v>
      </c>
      <c r="T599" s="2" t="s">
        <v>100</v>
      </c>
      <c r="U599" s="2" t="s">
        <v>1508</v>
      </c>
      <c r="V599" s="2" t="s">
        <v>608</v>
      </c>
      <c r="W599" s="2" t="s">
        <v>646</v>
      </c>
      <c r="X599" s="2" t="s">
        <v>647</v>
      </c>
      <c r="Y599" s="2" t="s">
        <v>2331</v>
      </c>
      <c r="Z599" s="4">
        <v>451</v>
      </c>
      <c r="AA599" s="4">
        <f>=ROUNDDOWN(15.9929078014184,0)</f>
      </c>
      <c r="AB599" s="5">
        <v>28.2</v>
      </c>
      <c r="AC599" s="2" t="s">
        <v>1114</v>
      </c>
      <c r="AD599" s="4">
        <v>160</v>
      </c>
      <c r="AE599" s="4">
        <v>340</v>
      </c>
      <c r="AF599" s="6">
        <v>69</v>
      </c>
      <c r="AG599" s="6">
        <v>77</v>
      </c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>
        <v>1</v>
      </c>
      <c r="AQ599" s="8">
        <v>61.51</v>
      </c>
      <c r="AR599" s="4"/>
      <c r="AS599" s="8"/>
      <c r="AT599" s="7"/>
      <c r="AU599" s="7"/>
      <c r="AV599" s="4" t="s">
        <v>100</v>
      </c>
      <c r="AW599" s="8" t="s">
        <v>100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>
        <v>0.375</v>
      </c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 t="s">
        <v>100</v>
      </c>
      <c r="BJ599" s="4">
        <v>16</v>
      </c>
      <c r="BK599" s="8">
        <v>988.61</v>
      </c>
      <c r="BL599" s="2" t="s">
        <v>2335</v>
      </c>
      <c r="BM599" s="7">
        <v>0.0625</v>
      </c>
      <c r="BN599" s="7">
        <v>0.0622</v>
      </c>
      <c r="BO599" s="4">
        <v>1</v>
      </c>
      <c r="BP599" s="8">
        <v>61.51</v>
      </c>
      <c r="BQ599" s="4"/>
      <c r="BR599" s="8"/>
      <c r="BS599" s="7"/>
      <c r="BT599" s="7"/>
      <c r="BU599" s="2" t="s">
        <v>109</v>
      </c>
      <c r="BV599" s="2" t="s">
        <v>97</v>
      </c>
      <c r="BW599" s="2" t="s">
        <v>266</v>
      </c>
      <c r="BX599" s="2" t="s">
        <v>370</v>
      </c>
      <c r="BY599" s="2" t="s">
        <v>112</v>
      </c>
      <c r="BZ599" s="2" t="s">
        <v>100</v>
      </c>
    </row>
    <row r="600">
      <c r="A600" s="2" t="s">
        <v>2336</v>
      </c>
      <c r="B600" s="2" t="s">
        <v>87</v>
      </c>
      <c r="C600" s="2" t="s">
        <v>88</v>
      </c>
      <c r="D600" s="2" t="s">
        <v>2230</v>
      </c>
      <c r="E600" s="2" t="s">
        <v>2231</v>
      </c>
      <c r="F600" s="2" t="s">
        <v>1945</v>
      </c>
      <c r="G600" s="2" t="s">
        <v>1946</v>
      </c>
      <c r="H600" s="2" t="s">
        <v>1947</v>
      </c>
      <c r="I600" s="2" t="s">
        <v>2337</v>
      </c>
      <c r="J600" s="2" t="s">
        <v>114</v>
      </c>
      <c r="K600" s="2" t="s">
        <v>185</v>
      </c>
      <c r="L600" s="3">
        <v>63.7</v>
      </c>
      <c r="M600" s="3">
        <v>66.88</v>
      </c>
      <c r="N600" s="3">
        <v>139.99</v>
      </c>
      <c r="O600" s="2" t="s">
        <v>97</v>
      </c>
      <c r="P600" s="2" t="s">
        <v>98</v>
      </c>
      <c r="Q600" s="2" t="s">
        <v>99</v>
      </c>
      <c r="R600" s="2" t="s">
        <v>100</v>
      </c>
      <c r="S600" s="2" t="s">
        <v>2338</v>
      </c>
      <c r="T600" s="2" t="s">
        <v>1218</v>
      </c>
      <c r="U600" s="2" t="s">
        <v>644</v>
      </c>
      <c r="V600" s="2" t="s">
        <v>632</v>
      </c>
      <c r="W600" s="2" t="s">
        <v>244</v>
      </c>
      <c r="X600" s="2" t="s">
        <v>285</v>
      </c>
      <c r="Y600" s="2" t="s">
        <v>2339</v>
      </c>
      <c r="Z600" s="4">
        <v>406</v>
      </c>
      <c r="AA600" s="4">
        <f>=ROUNDDOWN(67.6666666666667,0)</f>
      </c>
      <c r="AB600" s="5">
        <v>6</v>
      </c>
      <c r="AC600" s="2" t="s">
        <v>287</v>
      </c>
      <c r="AD600" s="4">
        <v>59</v>
      </c>
      <c r="AE600" s="4">
        <v>129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>
        <v>2</v>
      </c>
      <c r="AW600" s="8">
        <v>165.38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/>
      <c r="BC600" s="4">
        <v>4</v>
      </c>
      <c r="BD600" s="8">
        <v>325.8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>
        <v>0.5076</v>
      </c>
      <c r="BJ600" s="4">
        <v>6</v>
      </c>
      <c r="BK600" s="8">
        <v>417.71</v>
      </c>
      <c r="BL600" s="2" t="s">
        <v>2340</v>
      </c>
      <c r="BM600" s="7"/>
      <c r="BN600" s="7"/>
      <c r="BO600" s="4"/>
      <c r="BP600" s="8"/>
      <c r="BQ600" s="4"/>
      <c r="BR600" s="8"/>
      <c r="BS600" s="7"/>
      <c r="BT600" s="7"/>
      <c r="BU600" s="2" t="s">
        <v>109</v>
      </c>
      <c r="BV600" s="2" t="s">
        <v>97</v>
      </c>
      <c r="BW600" s="2" t="s">
        <v>566</v>
      </c>
      <c r="BX600" s="2" t="s">
        <v>881</v>
      </c>
      <c r="BY600" s="2" t="s">
        <v>112</v>
      </c>
      <c r="BZ600" s="2" t="s">
        <v>100</v>
      </c>
    </row>
    <row r="601">
      <c r="A601" s="2" t="s">
        <v>2341</v>
      </c>
      <c r="B601" s="2" t="s">
        <v>87</v>
      </c>
      <c r="C601" s="2" t="s">
        <v>88</v>
      </c>
      <c r="D601" s="2" t="s">
        <v>2230</v>
      </c>
      <c r="E601" s="2" t="s">
        <v>2231</v>
      </c>
      <c r="F601" s="2" t="s">
        <v>1945</v>
      </c>
      <c r="G601" s="2" t="s">
        <v>1946</v>
      </c>
      <c r="H601" s="2" t="s">
        <v>1947</v>
      </c>
      <c r="I601" s="2" t="s">
        <v>2337</v>
      </c>
      <c r="J601" s="2" t="s">
        <v>120</v>
      </c>
      <c r="K601" s="2" t="s">
        <v>185</v>
      </c>
      <c r="L601" s="3">
        <v>75</v>
      </c>
      <c r="M601" s="3">
        <v>78.74</v>
      </c>
      <c r="N601" s="3">
        <v>159.99</v>
      </c>
      <c r="O601" s="2" t="s">
        <v>97</v>
      </c>
      <c r="P601" s="2" t="s">
        <v>98</v>
      </c>
      <c r="Q601" s="2" t="s">
        <v>99</v>
      </c>
      <c r="R601" s="2" t="s">
        <v>100</v>
      </c>
      <c r="S601" s="2" t="s">
        <v>2338</v>
      </c>
      <c r="T601" s="2" t="s">
        <v>1218</v>
      </c>
      <c r="U601" s="2" t="s">
        <v>644</v>
      </c>
      <c r="V601" s="2" t="s">
        <v>632</v>
      </c>
      <c r="W601" s="2" t="s">
        <v>244</v>
      </c>
      <c r="X601" s="2" t="s">
        <v>285</v>
      </c>
      <c r="Y601" s="2" t="s">
        <v>2339</v>
      </c>
      <c r="Z601" s="4">
        <v>434</v>
      </c>
      <c r="AA601" s="4">
        <f>=ROUNDDOWN(33.3846153846154,0)</f>
      </c>
      <c r="AB601" s="5">
        <v>13</v>
      </c>
      <c r="AC601" s="2" t="s">
        <v>287</v>
      </c>
      <c r="AD601" s="4">
        <v>147</v>
      </c>
      <c r="AE601" s="4">
        <v>627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>
        <v>2</v>
      </c>
      <c r="AQ601" s="8">
        <v>165.38</v>
      </c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1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9</v>
      </c>
      <c r="BK601" s="8">
        <v>725.65</v>
      </c>
      <c r="BL601" s="2" t="s">
        <v>2342</v>
      </c>
      <c r="BM601" s="7">
        <v>0.2222</v>
      </c>
      <c r="BN601" s="7">
        <v>0.2279</v>
      </c>
      <c r="BO601" s="4">
        <v>2</v>
      </c>
      <c r="BP601" s="8">
        <v>165.38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566</v>
      </c>
      <c r="BX601" s="2" t="s">
        <v>2343</v>
      </c>
      <c r="BY601" s="2" t="s">
        <v>112</v>
      </c>
      <c r="BZ601" s="2" t="s">
        <v>100</v>
      </c>
    </row>
    <row r="602">
      <c r="A602" s="2" t="s">
        <v>2344</v>
      </c>
      <c r="B602" s="2" t="s">
        <v>87</v>
      </c>
      <c r="C602" s="2" t="s">
        <v>88</v>
      </c>
      <c r="D602" s="2" t="s">
        <v>2230</v>
      </c>
      <c r="E602" s="2" t="s">
        <v>2231</v>
      </c>
      <c r="F602" s="2" t="s">
        <v>1945</v>
      </c>
      <c r="G602" s="2" t="s">
        <v>1946</v>
      </c>
      <c r="H602" s="2" t="s">
        <v>1947</v>
      </c>
      <c r="I602" s="2" t="s">
        <v>2337</v>
      </c>
      <c r="J602" s="2" t="s">
        <v>114</v>
      </c>
      <c r="K602" s="2" t="s">
        <v>1958</v>
      </c>
      <c r="L602" s="3">
        <v>63.7</v>
      </c>
      <c r="M602" s="3">
        <v>66.88</v>
      </c>
      <c r="N602" s="3">
        <v>139.99</v>
      </c>
      <c r="O602" s="2" t="s">
        <v>97</v>
      </c>
      <c r="P602" s="2" t="s">
        <v>98</v>
      </c>
      <c r="Q602" s="2" t="s">
        <v>99</v>
      </c>
      <c r="R602" s="2" t="s">
        <v>100</v>
      </c>
      <c r="S602" s="2" t="s">
        <v>2345</v>
      </c>
      <c r="T602" s="2" t="s">
        <v>1218</v>
      </c>
      <c r="U602" s="2" t="s">
        <v>644</v>
      </c>
      <c r="V602" s="2" t="s">
        <v>632</v>
      </c>
      <c r="W602" s="2" t="s">
        <v>244</v>
      </c>
      <c r="X602" s="2" t="s">
        <v>609</v>
      </c>
      <c r="Y602" s="2" t="s">
        <v>2346</v>
      </c>
      <c r="Z602" s="4">
        <v>454</v>
      </c>
      <c r="AA602" s="4">
        <f>=ROUNDDOWN(56.75,0)</f>
      </c>
      <c r="AB602" s="5">
        <v>8</v>
      </c>
      <c r="AC602" s="2" t="s">
        <v>168</v>
      </c>
      <c r="AD602" s="4">
        <v>80</v>
      </c>
      <c r="AE602" s="4">
        <v>80</v>
      </c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>
        <v>1</v>
      </c>
      <c r="AW602" s="8">
        <v>80.21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/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>
        <v>0.2462</v>
      </c>
      <c r="BJ602" s="4">
        <v>4</v>
      </c>
      <c r="BK602" s="8">
        <v>270.94</v>
      </c>
      <c r="BL602" s="2" t="s">
        <v>1044</v>
      </c>
      <c r="BM602" s="7"/>
      <c r="BN602" s="7"/>
      <c r="BO602" s="4"/>
      <c r="BP602" s="8"/>
      <c r="BQ602" s="4"/>
      <c r="BR602" s="8"/>
      <c r="BS602" s="7"/>
      <c r="BT602" s="7"/>
      <c r="BU602" s="2" t="s">
        <v>109</v>
      </c>
      <c r="BV602" s="2" t="s">
        <v>97</v>
      </c>
      <c r="BW602" s="2" t="s">
        <v>122</v>
      </c>
      <c r="BX602" s="2" t="s">
        <v>189</v>
      </c>
      <c r="BY602" s="2" t="s">
        <v>112</v>
      </c>
      <c r="BZ602" s="2" t="s">
        <v>100</v>
      </c>
    </row>
    <row r="603">
      <c r="A603" s="2" t="s">
        <v>2347</v>
      </c>
      <c r="B603" s="2" t="s">
        <v>87</v>
      </c>
      <c r="C603" s="2" t="s">
        <v>88</v>
      </c>
      <c r="D603" s="2" t="s">
        <v>2230</v>
      </c>
      <c r="E603" s="2" t="s">
        <v>2231</v>
      </c>
      <c r="F603" s="2" t="s">
        <v>1945</v>
      </c>
      <c r="G603" s="2" t="s">
        <v>1946</v>
      </c>
      <c r="H603" s="2" t="s">
        <v>1947</v>
      </c>
      <c r="I603" s="2" t="s">
        <v>2337</v>
      </c>
      <c r="J603" s="2" t="s">
        <v>120</v>
      </c>
      <c r="K603" s="2" t="s">
        <v>1958</v>
      </c>
      <c r="L603" s="3">
        <v>75</v>
      </c>
      <c r="M603" s="3">
        <v>78.74</v>
      </c>
      <c r="N603" s="3">
        <v>159.99</v>
      </c>
      <c r="O603" s="2" t="s">
        <v>97</v>
      </c>
      <c r="P603" s="2" t="s">
        <v>98</v>
      </c>
      <c r="Q603" s="2" t="s">
        <v>99</v>
      </c>
      <c r="R603" s="2" t="s">
        <v>100</v>
      </c>
      <c r="S603" s="2" t="s">
        <v>2345</v>
      </c>
      <c r="T603" s="2" t="s">
        <v>1218</v>
      </c>
      <c r="U603" s="2" t="s">
        <v>644</v>
      </c>
      <c r="V603" s="2" t="s">
        <v>632</v>
      </c>
      <c r="W603" s="2" t="s">
        <v>244</v>
      </c>
      <c r="X603" s="2" t="s">
        <v>609</v>
      </c>
      <c r="Y603" s="2" t="s">
        <v>2346</v>
      </c>
      <c r="Z603" s="4">
        <v>781</v>
      </c>
      <c r="AA603" s="4">
        <f>=ROUNDDOWN(41.1052631578947,0)</f>
      </c>
      <c r="AB603" s="5">
        <v>19</v>
      </c>
      <c r="AC603" s="2" t="s">
        <v>329</v>
      </c>
      <c r="AD603" s="4">
        <v>300</v>
      </c>
      <c r="AE603" s="4">
        <v>300</v>
      </c>
      <c r="AF603" s="6">
        <v>65</v>
      </c>
      <c r="AG603" s="6">
        <v>48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>
        <v>1</v>
      </c>
      <c r="AQ603" s="8">
        <v>80.21</v>
      </c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1</v>
      </c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 t="s">
        <v>100</v>
      </c>
      <c r="BJ603" s="4">
        <v>12</v>
      </c>
      <c r="BK603" s="8">
        <v>984.71</v>
      </c>
      <c r="BL603" s="2" t="s">
        <v>2348</v>
      </c>
      <c r="BM603" s="7">
        <v>0.0833</v>
      </c>
      <c r="BN603" s="7">
        <v>0.0815</v>
      </c>
      <c r="BO603" s="4">
        <v>1</v>
      </c>
      <c r="BP603" s="8">
        <v>80.21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122</v>
      </c>
      <c r="BX603" s="2" t="s">
        <v>216</v>
      </c>
      <c r="BY603" s="2" t="s">
        <v>112</v>
      </c>
      <c r="BZ603" s="2" t="s">
        <v>100</v>
      </c>
    </row>
    <row r="604">
      <c r="A604" s="2" t="s">
        <v>2349</v>
      </c>
      <c r="B604" s="2" t="s">
        <v>87</v>
      </c>
      <c r="C604" s="2" t="s">
        <v>88</v>
      </c>
      <c r="D604" s="2" t="s">
        <v>2230</v>
      </c>
      <c r="E604" s="2" t="s">
        <v>2231</v>
      </c>
      <c r="F604" s="2" t="s">
        <v>1945</v>
      </c>
      <c r="G604" s="2" t="s">
        <v>1946</v>
      </c>
      <c r="H604" s="2" t="s">
        <v>1947</v>
      </c>
      <c r="I604" s="2" t="s">
        <v>2337</v>
      </c>
      <c r="J604" s="2" t="s">
        <v>114</v>
      </c>
      <c r="K604" s="2" t="s">
        <v>163</v>
      </c>
      <c r="L604" s="3">
        <v>63.7</v>
      </c>
      <c r="M604" s="3">
        <v>66.88</v>
      </c>
      <c r="N604" s="3">
        <v>139.99</v>
      </c>
      <c r="O604" s="2" t="s">
        <v>97</v>
      </c>
      <c r="P604" s="2" t="s">
        <v>98</v>
      </c>
      <c r="Q604" s="2" t="s">
        <v>99</v>
      </c>
      <c r="R604" s="2" t="s">
        <v>100</v>
      </c>
      <c r="S604" s="2" t="s">
        <v>2350</v>
      </c>
      <c r="T604" s="2" t="s">
        <v>1218</v>
      </c>
      <c r="U604" s="2" t="s">
        <v>644</v>
      </c>
      <c r="V604" s="2" t="s">
        <v>632</v>
      </c>
      <c r="W604" s="2" t="s">
        <v>244</v>
      </c>
      <c r="X604" s="2" t="s">
        <v>285</v>
      </c>
      <c r="Y604" s="2" t="s">
        <v>2351</v>
      </c>
      <c r="Z604" s="4">
        <v>251</v>
      </c>
      <c r="AA604" s="4">
        <f>=ROUNDDOWN(19.3076923076923,0)</f>
      </c>
      <c r="AB604" s="5">
        <v>13</v>
      </c>
      <c r="AC604" s="2" t="s">
        <v>400</v>
      </c>
      <c r="AD604" s="4">
        <v>100</v>
      </c>
      <c r="AE604" s="4">
        <v>480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>
        <v>1</v>
      </c>
      <c r="AW604" s="8">
        <v>80.21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/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>
        <v>0.2462</v>
      </c>
      <c r="BJ604" s="4">
        <v>4</v>
      </c>
      <c r="BK604" s="8">
        <v>240.49</v>
      </c>
      <c r="BL604" s="2" t="s">
        <v>224</v>
      </c>
      <c r="BM604" s="7"/>
      <c r="BN604" s="7"/>
      <c r="BO604" s="4"/>
      <c r="BP604" s="8"/>
      <c r="BQ604" s="4"/>
      <c r="BR604" s="8"/>
      <c r="BS604" s="7"/>
      <c r="BT604" s="7"/>
      <c r="BU604" s="2" t="s">
        <v>109</v>
      </c>
      <c r="BV604" s="2" t="s">
        <v>97</v>
      </c>
      <c r="BW604" s="2" t="s">
        <v>566</v>
      </c>
      <c r="BX604" s="2" t="s">
        <v>313</v>
      </c>
      <c r="BY604" s="2" t="s">
        <v>112</v>
      </c>
      <c r="BZ604" s="2" t="s">
        <v>100</v>
      </c>
    </row>
    <row r="605">
      <c r="A605" s="2" t="s">
        <v>2352</v>
      </c>
      <c r="B605" s="2" t="s">
        <v>87</v>
      </c>
      <c r="C605" s="2" t="s">
        <v>88</v>
      </c>
      <c r="D605" s="2" t="s">
        <v>2230</v>
      </c>
      <c r="E605" s="2" t="s">
        <v>2231</v>
      </c>
      <c r="F605" s="2" t="s">
        <v>1945</v>
      </c>
      <c r="G605" s="2" t="s">
        <v>1946</v>
      </c>
      <c r="H605" s="2" t="s">
        <v>1947</v>
      </c>
      <c r="I605" s="2" t="s">
        <v>2337</v>
      </c>
      <c r="J605" s="2" t="s">
        <v>120</v>
      </c>
      <c r="K605" s="2" t="s">
        <v>163</v>
      </c>
      <c r="L605" s="3">
        <v>75</v>
      </c>
      <c r="M605" s="3">
        <v>78.74</v>
      </c>
      <c r="N605" s="3">
        <v>159.99</v>
      </c>
      <c r="O605" s="2" t="s">
        <v>97</v>
      </c>
      <c r="P605" s="2" t="s">
        <v>98</v>
      </c>
      <c r="Q605" s="2" t="s">
        <v>99</v>
      </c>
      <c r="R605" s="2" t="s">
        <v>100</v>
      </c>
      <c r="S605" s="2" t="s">
        <v>2350</v>
      </c>
      <c r="T605" s="2" t="s">
        <v>1218</v>
      </c>
      <c r="U605" s="2" t="s">
        <v>644</v>
      </c>
      <c r="V605" s="2" t="s">
        <v>632</v>
      </c>
      <c r="W605" s="2" t="s">
        <v>244</v>
      </c>
      <c r="X605" s="2" t="s">
        <v>285</v>
      </c>
      <c r="Y605" s="2" t="s">
        <v>2353</v>
      </c>
      <c r="Z605" s="4">
        <v>373</v>
      </c>
      <c r="AA605" s="4">
        <f>=ROUNDDOWN(19.6315789473684,0)</f>
      </c>
      <c r="AB605" s="5">
        <v>19</v>
      </c>
      <c r="AC605" s="2" t="s">
        <v>400</v>
      </c>
      <c r="AD605" s="4">
        <v>270</v>
      </c>
      <c r="AE605" s="4">
        <v>760</v>
      </c>
      <c r="AF605" s="6">
        <v>65</v>
      </c>
      <c r="AG605" s="6">
        <v>48</v>
      </c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>
        <v>1</v>
      </c>
      <c r="AQ605" s="8">
        <v>80.21</v>
      </c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1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 t="s">
        <v>100</v>
      </c>
      <c r="BJ605" s="4">
        <v>19</v>
      </c>
      <c r="BK605" s="8">
        <v>1505.79</v>
      </c>
      <c r="BL605" s="2" t="s">
        <v>2354</v>
      </c>
      <c r="BM605" s="7">
        <v>0.0526</v>
      </c>
      <c r="BN605" s="7">
        <v>0.0533</v>
      </c>
      <c r="BO605" s="4">
        <v>1</v>
      </c>
      <c r="BP605" s="8">
        <v>80.21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566</v>
      </c>
      <c r="BX605" s="2" t="s">
        <v>1231</v>
      </c>
      <c r="BY605" s="2" t="s">
        <v>112</v>
      </c>
      <c r="BZ605" s="2" t="s">
        <v>100</v>
      </c>
    </row>
    <row r="606">
      <c r="A606" s="2" t="s">
        <v>2355</v>
      </c>
      <c r="B606" s="2" t="s">
        <v>87</v>
      </c>
      <c r="C606" s="2" t="s">
        <v>88</v>
      </c>
      <c r="D606" s="2" t="s">
        <v>2230</v>
      </c>
      <c r="E606" s="2" t="s">
        <v>2231</v>
      </c>
      <c r="F606" s="2" t="s">
        <v>1945</v>
      </c>
      <c r="G606" s="2" t="s">
        <v>1946</v>
      </c>
      <c r="H606" s="2" t="s">
        <v>1947</v>
      </c>
      <c r="I606" s="2" t="s">
        <v>2337</v>
      </c>
      <c r="J606" s="2" t="s">
        <v>114</v>
      </c>
      <c r="K606" s="2" t="s">
        <v>2356</v>
      </c>
      <c r="L606" s="3">
        <v>63.7</v>
      </c>
      <c r="M606" s="3">
        <v>66.88</v>
      </c>
      <c r="N606" s="3">
        <v>139.99</v>
      </c>
      <c r="O606" s="2" t="s">
        <v>97</v>
      </c>
      <c r="P606" s="2" t="s">
        <v>98</v>
      </c>
      <c r="Q606" s="2" t="s">
        <v>99</v>
      </c>
      <c r="R606" s="2" t="s">
        <v>100</v>
      </c>
      <c r="S606" s="2" t="s">
        <v>2357</v>
      </c>
      <c r="T606" s="2" t="s">
        <v>1218</v>
      </c>
      <c r="U606" s="2" t="s">
        <v>644</v>
      </c>
      <c r="V606" s="2" t="s">
        <v>632</v>
      </c>
      <c r="W606" s="2" t="s">
        <v>244</v>
      </c>
      <c r="X606" s="2" t="s">
        <v>285</v>
      </c>
      <c r="Y606" s="2" t="s">
        <v>2351</v>
      </c>
      <c r="Z606" s="4">
        <v>440</v>
      </c>
      <c r="AA606" s="4">
        <f>=ROUNDDOWN(62.8571428571429,0)</f>
      </c>
      <c r="AB606" s="5">
        <v>7</v>
      </c>
      <c r="AC606" s="2" t="s">
        <v>400</v>
      </c>
      <c r="AD606" s="4">
        <v>15</v>
      </c>
      <c r="AE606" s="4">
        <v>15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/>
      <c r="AQ606" s="8"/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/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 t="s">
        <v>100</v>
      </c>
      <c r="BJ606" s="4">
        <v>7</v>
      </c>
      <c r="BK606" s="8">
        <v>482.12</v>
      </c>
      <c r="BL606" s="2" t="s">
        <v>318</v>
      </c>
      <c r="BM606" s="7"/>
      <c r="BN606" s="7"/>
      <c r="BO606" s="4"/>
      <c r="BP606" s="8"/>
      <c r="BQ606" s="4"/>
      <c r="BR606" s="8"/>
      <c r="BS606" s="7"/>
      <c r="BT606" s="7"/>
      <c r="BU606" s="2" t="s">
        <v>109</v>
      </c>
      <c r="BV606" s="2" t="s">
        <v>97</v>
      </c>
      <c r="BW606" s="2" t="s">
        <v>566</v>
      </c>
      <c r="BX606" s="2" t="s">
        <v>2358</v>
      </c>
      <c r="BY606" s="2" t="s">
        <v>112</v>
      </c>
      <c r="BZ606" s="2" t="s">
        <v>100</v>
      </c>
    </row>
    <row r="607">
      <c r="A607" s="2" t="s">
        <v>2359</v>
      </c>
      <c r="B607" s="2" t="s">
        <v>87</v>
      </c>
      <c r="C607" s="2" t="s">
        <v>88</v>
      </c>
      <c r="D607" s="2" t="s">
        <v>2230</v>
      </c>
      <c r="E607" s="2" t="s">
        <v>2231</v>
      </c>
      <c r="F607" s="2" t="s">
        <v>1945</v>
      </c>
      <c r="G607" s="2" t="s">
        <v>1946</v>
      </c>
      <c r="H607" s="2" t="s">
        <v>1947</v>
      </c>
      <c r="I607" s="2" t="s">
        <v>2337</v>
      </c>
      <c r="J607" s="2" t="s">
        <v>120</v>
      </c>
      <c r="K607" s="2" t="s">
        <v>2356</v>
      </c>
      <c r="L607" s="3">
        <v>75</v>
      </c>
      <c r="M607" s="3">
        <v>78.74</v>
      </c>
      <c r="N607" s="3">
        <v>159.99</v>
      </c>
      <c r="O607" s="2" t="s">
        <v>97</v>
      </c>
      <c r="P607" s="2" t="s">
        <v>98</v>
      </c>
      <c r="Q607" s="2" t="s">
        <v>99</v>
      </c>
      <c r="R607" s="2" t="s">
        <v>100</v>
      </c>
      <c r="S607" s="2" t="s">
        <v>2357</v>
      </c>
      <c r="T607" s="2" t="s">
        <v>1218</v>
      </c>
      <c r="U607" s="2" t="s">
        <v>644</v>
      </c>
      <c r="V607" s="2" t="s">
        <v>632</v>
      </c>
      <c r="W607" s="2" t="s">
        <v>244</v>
      </c>
      <c r="X607" s="2" t="s">
        <v>285</v>
      </c>
      <c r="Y607" s="2" t="s">
        <v>2353</v>
      </c>
      <c r="Z607" s="4">
        <v>428</v>
      </c>
      <c r="AA607" s="4">
        <f>=ROUNDDOWN(42.8,0)</f>
      </c>
      <c r="AB607" s="5">
        <v>10</v>
      </c>
      <c r="AC607" s="2" t="s">
        <v>400</v>
      </c>
      <c r="AD607" s="4">
        <v>25</v>
      </c>
      <c r="AE607" s="4">
        <v>25</v>
      </c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/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18</v>
      </c>
      <c r="BK607" s="8">
        <v>1502.08</v>
      </c>
      <c r="BL607" s="2" t="s">
        <v>2360</v>
      </c>
      <c r="BM607" s="7"/>
      <c r="BN607" s="7"/>
      <c r="BO607" s="4"/>
      <c r="BP607" s="8"/>
      <c r="BQ607" s="4"/>
      <c r="BR607" s="8"/>
      <c r="BS607" s="7"/>
      <c r="BT607" s="7"/>
      <c r="BU607" s="2" t="s">
        <v>109</v>
      </c>
      <c r="BV607" s="2" t="s">
        <v>97</v>
      </c>
      <c r="BW607" s="2" t="s">
        <v>566</v>
      </c>
      <c r="BX607" s="2" t="s">
        <v>2361</v>
      </c>
      <c r="BY607" s="2" t="s">
        <v>112</v>
      </c>
      <c r="BZ607" s="2" t="s">
        <v>100</v>
      </c>
    </row>
    <row r="608">
      <c r="A608" s="2" t="s">
        <v>2362</v>
      </c>
      <c r="B608" s="2" t="s">
        <v>87</v>
      </c>
      <c r="C608" s="2" t="s">
        <v>88</v>
      </c>
      <c r="D608" s="2" t="s">
        <v>2230</v>
      </c>
      <c r="E608" s="2" t="s">
        <v>2231</v>
      </c>
      <c r="F608" s="2" t="s">
        <v>1945</v>
      </c>
      <c r="G608" s="2" t="s">
        <v>1946</v>
      </c>
      <c r="H608" s="2" t="s">
        <v>1947</v>
      </c>
      <c r="I608" s="2" t="s">
        <v>2337</v>
      </c>
      <c r="J608" s="2" t="s">
        <v>114</v>
      </c>
      <c r="K608" s="2" t="s">
        <v>1515</v>
      </c>
      <c r="L608" s="3">
        <v>63.7</v>
      </c>
      <c r="M608" s="3">
        <v>66.89</v>
      </c>
      <c r="N608" s="3">
        <v>139.99</v>
      </c>
      <c r="O608" s="2" t="s">
        <v>97</v>
      </c>
      <c r="P608" s="2" t="s">
        <v>98</v>
      </c>
      <c r="Q608" s="2" t="s">
        <v>99</v>
      </c>
      <c r="R608" s="2" t="s">
        <v>100</v>
      </c>
      <c r="S608" s="2" t="s">
        <v>1970</v>
      </c>
      <c r="T608" s="2" t="s">
        <v>1218</v>
      </c>
      <c r="U608" s="2" t="s">
        <v>644</v>
      </c>
      <c r="V608" s="2" t="s">
        <v>632</v>
      </c>
      <c r="W608" s="2" t="s">
        <v>244</v>
      </c>
      <c r="X608" s="2" t="s">
        <v>100</v>
      </c>
      <c r="Y608" s="2" t="s">
        <v>1290</v>
      </c>
      <c r="Z608" s="4">
        <v>111</v>
      </c>
      <c r="AA608" s="4">
        <f>=ROUNDDOWN(18.5,0)</f>
      </c>
      <c r="AB608" s="5">
        <v>6</v>
      </c>
      <c r="AC608" s="2" t="s">
        <v>287</v>
      </c>
      <c r="AD608" s="4">
        <v>38</v>
      </c>
      <c r="AE608" s="4">
        <v>188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/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4</v>
      </c>
      <c r="BK608" s="8">
        <v>272.32</v>
      </c>
      <c r="BL608" s="2" t="s">
        <v>485</v>
      </c>
      <c r="BM608" s="7"/>
      <c r="BN608" s="7"/>
      <c r="BO608" s="4"/>
      <c r="BP608" s="8"/>
      <c r="BQ608" s="4"/>
      <c r="BR608" s="8"/>
      <c r="BS608" s="7"/>
      <c r="BT608" s="7"/>
      <c r="BU608" s="2" t="s">
        <v>109</v>
      </c>
      <c r="BV608" s="2" t="s">
        <v>97</v>
      </c>
      <c r="BW608" s="2" t="s">
        <v>1518</v>
      </c>
      <c r="BX608" s="2" t="s">
        <v>1566</v>
      </c>
      <c r="BY608" s="2" t="s">
        <v>112</v>
      </c>
      <c r="BZ608" s="2" t="s">
        <v>100</v>
      </c>
    </row>
    <row r="609">
      <c r="A609" s="2" t="s">
        <v>2363</v>
      </c>
      <c r="B609" s="2" t="s">
        <v>87</v>
      </c>
      <c r="C609" s="2" t="s">
        <v>88</v>
      </c>
      <c r="D609" s="2" t="s">
        <v>2230</v>
      </c>
      <c r="E609" s="2" t="s">
        <v>2231</v>
      </c>
      <c r="F609" s="2" t="s">
        <v>1945</v>
      </c>
      <c r="G609" s="2" t="s">
        <v>1946</v>
      </c>
      <c r="H609" s="2" t="s">
        <v>1947</v>
      </c>
      <c r="I609" s="2" t="s">
        <v>2337</v>
      </c>
      <c r="J609" s="2" t="s">
        <v>120</v>
      </c>
      <c r="K609" s="2" t="s">
        <v>1515</v>
      </c>
      <c r="L609" s="3">
        <v>75</v>
      </c>
      <c r="M609" s="3">
        <v>78.75</v>
      </c>
      <c r="N609" s="3">
        <v>159.99</v>
      </c>
      <c r="O609" s="2" t="s">
        <v>97</v>
      </c>
      <c r="P609" s="2" t="s">
        <v>98</v>
      </c>
      <c r="Q609" s="2" t="s">
        <v>99</v>
      </c>
      <c r="R609" s="2" t="s">
        <v>100</v>
      </c>
      <c r="S609" s="2" t="s">
        <v>1970</v>
      </c>
      <c r="T609" s="2" t="s">
        <v>1218</v>
      </c>
      <c r="U609" s="2" t="s">
        <v>644</v>
      </c>
      <c r="V609" s="2" t="s">
        <v>632</v>
      </c>
      <c r="W609" s="2" t="s">
        <v>244</v>
      </c>
      <c r="X609" s="2" t="s">
        <v>100</v>
      </c>
      <c r="Y609" s="2" t="s">
        <v>1290</v>
      </c>
      <c r="Z609" s="4">
        <v>150</v>
      </c>
      <c r="AA609" s="4">
        <f>=ROUNDDOWN(15,0)</f>
      </c>
      <c r="AB609" s="5">
        <v>10</v>
      </c>
      <c r="AC609" s="2" t="s">
        <v>287</v>
      </c>
      <c r="AD609" s="4">
        <v>28</v>
      </c>
      <c r="AE609" s="4">
        <v>328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>
        <v>0</v>
      </c>
      <c r="AP609" s="4"/>
      <c r="AQ609" s="8"/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/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8</v>
      </c>
      <c r="BK609" s="8">
        <v>662.09</v>
      </c>
      <c r="BL609" s="2" t="s">
        <v>2364</v>
      </c>
      <c r="BM609" s="7"/>
      <c r="BN609" s="7"/>
      <c r="BO609" s="4"/>
      <c r="BP609" s="8"/>
      <c r="BQ609" s="4"/>
      <c r="BR609" s="8"/>
      <c r="BS609" s="7"/>
      <c r="BT609" s="7"/>
      <c r="BU609" s="2" t="s">
        <v>109</v>
      </c>
      <c r="BV609" s="2" t="s">
        <v>97</v>
      </c>
      <c r="BW609" s="2" t="s">
        <v>1518</v>
      </c>
      <c r="BX609" s="2" t="s">
        <v>807</v>
      </c>
      <c r="BY609" s="2" t="s">
        <v>112</v>
      </c>
      <c r="BZ609" s="2" t="s">
        <v>100</v>
      </c>
    </row>
    <row r="610">
      <c r="A610" s="2" t="s">
        <v>2365</v>
      </c>
      <c r="B610" s="2" t="s">
        <v>87</v>
      </c>
      <c r="C610" s="2" t="s">
        <v>88</v>
      </c>
      <c r="D610" s="2" t="s">
        <v>2230</v>
      </c>
      <c r="E610" s="2" t="s">
        <v>2231</v>
      </c>
      <c r="F610" s="2" t="s">
        <v>991</v>
      </c>
      <c r="G610" s="2" t="s">
        <v>992</v>
      </c>
      <c r="H610" s="2" t="s">
        <v>993</v>
      </c>
      <c r="I610" s="2" t="s">
        <v>2366</v>
      </c>
      <c r="J610" s="2" t="s">
        <v>114</v>
      </c>
      <c r="K610" s="2" t="s">
        <v>253</v>
      </c>
      <c r="L610" s="3">
        <v>63.7</v>
      </c>
      <c r="M610" s="3">
        <v>66.88</v>
      </c>
      <c r="N610" s="3">
        <v>129.99</v>
      </c>
      <c r="O610" s="2" t="s">
        <v>97</v>
      </c>
      <c r="P610" s="2" t="s">
        <v>98</v>
      </c>
      <c r="Q610" s="2" t="s">
        <v>99</v>
      </c>
      <c r="R610" s="2" t="s">
        <v>100</v>
      </c>
      <c r="S610" s="2" t="s">
        <v>2367</v>
      </c>
      <c r="T610" s="2" t="s">
        <v>100</v>
      </c>
      <c r="U610" s="2" t="s">
        <v>644</v>
      </c>
      <c r="V610" s="2" t="s">
        <v>284</v>
      </c>
      <c r="W610" s="2" t="s">
        <v>244</v>
      </c>
      <c r="X610" s="2" t="s">
        <v>285</v>
      </c>
      <c r="Y610" s="2" t="s">
        <v>2339</v>
      </c>
      <c r="Z610" s="4">
        <v>259</v>
      </c>
      <c r="AA610" s="4">
        <f>=ROUNDDOWN(18.5,0)</f>
      </c>
      <c r="AB610" s="5">
        <v>14</v>
      </c>
      <c r="AC610" s="2" t="s">
        <v>107</v>
      </c>
      <c r="AD610" s="4">
        <v>120</v>
      </c>
      <c r="AE610" s="4">
        <v>450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>
        <v>1</v>
      </c>
      <c r="AW610" s="8">
        <v>52.6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/>
      <c r="BC610" s="4">
        <v>1</v>
      </c>
      <c r="BD610" s="8">
        <v>52.6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>
        <v>1</v>
      </c>
      <c r="BJ610" s="4">
        <v>7</v>
      </c>
      <c r="BK610" s="8">
        <v>460.69</v>
      </c>
      <c r="BL610" s="2" t="s">
        <v>1844</v>
      </c>
      <c r="BM610" s="7"/>
      <c r="BN610" s="7"/>
      <c r="BO610" s="4"/>
      <c r="BP610" s="8"/>
      <c r="BQ610" s="4"/>
      <c r="BR610" s="8"/>
      <c r="BS610" s="7"/>
      <c r="BT610" s="7"/>
      <c r="BU610" s="2" t="s">
        <v>109</v>
      </c>
      <c r="BV610" s="2" t="s">
        <v>97</v>
      </c>
      <c r="BW610" s="2" t="s">
        <v>2368</v>
      </c>
      <c r="BX610" s="2" t="s">
        <v>2369</v>
      </c>
      <c r="BY610" s="2" t="s">
        <v>112</v>
      </c>
      <c r="BZ610" s="2" t="s">
        <v>100</v>
      </c>
    </row>
    <row r="611">
      <c r="A611" s="2" t="s">
        <v>2370</v>
      </c>
      <c r="B611" s="2" t="s">
        <v>87</v>
      </c>
      <c r="C611" s="2" t="s">
        <v>88</v>
      </c>
      <c r="D611" s="2" t="s">
        <v>2230</v>
      </c>
      <c r="E611" s="2" t="s">
        <v>2231</v>
      </c>
      <c r="F611" s="2" t="s">
        <v>991</v>
      </c>
      <c r="G611" s="2" t="s">
        <v>992</v>
      </c>
      <c r="H611" s="2" t="s">
        <v>993</v>
      </c>
      <c r="I611" s="2" t="s">
        <v>2366</v>
      </c>
      <c r="J611" s="2" t="s">
        <v>120</v>
      </c>
      <c r="K611" s="2" t="s">
        <v>253</v>
      </c>
      <c r="L611" s="3">
        <v>75</v>
      </c>
      <c r="M611" s="3">
        <v>78.74</v>
      </c>
      <c r="N611" s="3">
        <v>149.99</v>
      </c>
      <c r="O611" s="2" t="s">
        <v>97</v>
      </c>
      <c r="P611" s="2" t="s">
        <v>98</v>
      </c>
      <c r="Q611" s="2" t="s">
        <v>99</v>
      </c>
      <c r="R611" s="2" t="s">
        <v>100</v>
      </c>
      <c r="S611" s="2" t="s">
        <v>2367</v>
      </c>
      <c r="T611" s="2" t="s">
        <v>100</v>
      </c>
      <c r="U611" s="2" t="s">
        <v>644</v>
      </c>
      <c r="V611" s="2" t="s">
        <v>284</v>
      </c>
      <c r="W611" s="2" t="s">
        <v>244</v>
      </c>
      <c r="X611" s="2" t="s">
        <v>285</v>
      </c>
      <c r="Y611" s="2" t="s">
        <v>2339</v>
      </c>
      <c r="Z611" s="4">
        <v>208</v>
      </c>
      <c r="AA611" s="4">
        <f>=ROUNDDOWN(10.4,0)</f>
      </c>
      <c r="AB611" s="5">
        <v>20</v>
      </c>
      <c r="AC611" s="2" t="s">
        <v>107</v>
      </c>
      <c r="AD611" s="4">
        <v>130</v>
      </c>
      <c r="AE611" s="4">
        <v>750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1</v>
      </c>
      <c r="AQ611" s="8">
        <v>52.6</v>
      </c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1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10</v>
      </c>
      <c r="BK611" s="8">
        <v>692.34</v>
      </c>
      <c r="BL611" s="2" t="s">
        <v>2371</v>
      </c>
      <c r="BM611" s="7">
        <v>0.1</v>
      </c>
      <c r="BN611" s="7">
        <v>0.076</v>
      </c>
      <c r="BO611" s="4">
        <v>1</v>
      </c>
      <c r="BP611" s="8">
        <v>52.6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2368</v>
      </c>
      <c r="BX611" s="2" t="s">
        <v>567</v>
      </c>
      <c r="BY611" s="2" t="s">
        <v>112</v>
      </c>
      <c r="BZ611" s="2" t="s">
        <v>100</v>
      </c>
    </row>
    <row r="612">
      <c r="A612" s="2" t="s">
        <v>2372</v>
      </c>
      <c r="B612" s="2" t="s">
        <v>87</v>
      </c>
      <c r="C612" s="2" t="s">
        <v>88</v>
      </c>
      <c r="D612" s="2" t="s">
        <v>2230</v>
      </c>
      <c r="E612" s="2" t="s">
        <v>2231</v>
      </c>
      <c r="F612" s="2" t="s">
        <v>991</v>
      </c>
      <c r="G612" s="2" t="s">
        <v>992</v>
      </c>
      <c r="H612" s="2" t="s">
        <v>993</v>
      </c>
      <c r="I612" s="2" t="s">
        <v>2366</v>
      </c>
      <c r="J612" s="2" t="s">
        <v>114</v>
      </c>
      <c r="K612" s="2" t="s">
        <v>434</v>
      </c>
      <c r="L612" s="3">
        <v>63.7</v>
      </c>
      <c r="M612" s="3">
        <v>66.88</v>
      </c>
      <c r="N612" s="3">
        <v>129.99</v>
      </c>
      <c r="O612" s="2" t="s">
        <v>97</v>
      </c>
      <c r="P612" s="2" t="s">
        <v>98</v>
      </c>
      <c r="Q612" s="2" t="s">
        <v>99</v>
      </c>
      <c r="R612" s="2" t="s">
        <v>100</v>
      </c>
      <c r="S612" s="2" t="s">
        <v>2373</v>
      </c>
      <c r="T612" s="2" t="s">
        <v>100</v>
      </c>
      <c r="U612" s="2" t="s">
        <v>644</v>
      </c>
      <c r="V612" s="2" t="s">
        <v>284</v>
      </c>
      <c r="W612" s="2" t="s">
        <v>244</v>
      </c>
      <c r="X612" s="2" t="s">
        <v>609</v>
      </c>
      <c r="Y612" s="2" t="s">
        <v>2346</v>
      </c>
      <c r="Z612" s="4">
        <v>464</v>
      </c>
      <c r="AA612" s="4">
        <f>=ROUNDDOWN(29,0)</f>
      </c>
      <c r="AB612" s="5">
        <v>16</v>
      </c>
      <c r="AC612" s="2" t="s">
        <v>287</v>
      </c>
      <c r="AD612" s="4">
        <v>7</v>
      </c>
      <c r="AE612" s="4">
        <v>317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</v>
      </c>
      <c r="AP612" s="4"/>
      <c r="AQ612" s="8"/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/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 t="s">
        <v>100</v>
      </c>
      <c r="BJ612" s="4">
        <v>24</v>
      </c>
      <c r="BK612" s="8">
        <v>1417.95</v>
      </c>
      <c r="BL612" s="2" t="s">
        <v>1271</v>
      </c>
      <c r="BM612" s="7"/>
      <c r="BN612" s="7"/>
      <c r="BO612" s="4"/>
      <c r="BP612" s="8"/>
      <c r="BQ612" s="4"/>
      <c r="BR612" s="8"/>
      <c r="BS612" s="7"/>
      <c r="BT612" s="7"/>
      <c r="BU612" s="2" t="s">
        <v>109</v>
      </c>
      <c r="BV612" s="2" t="s">
        <v>97</v>
      </c>
      <c r="BW612" s="2" t="s">
        <v>1159</v>
      </c>
      <c r="BX612" s="2" t="s">
        <v>2374</v>
      </c>
      <c r="BY612" s="2" t="s">
        <v>112</v>
      </c>
      <c r="BZ612" s="2" t="s">
        <v>100</v>
      </c>
    </row>
    <row r="613">
      <c r="A613" s="2" t="s">
        <v>2375</v>
      </c>
      <c r="B613" s="2" t="s">
        <v>87</v>
      </c>
      <c r="C613" s="2" t="s">
        <v>88</v>
      </c>
      <c r="D613" s="2" t="s">
        <v>2230</v>
      </c>
      <c r="E613" s="2" t="s">
        <v>2231</v>
      </c>
      <c r="F613" s="2" t="s">
        <v>991</v>
      </c>
      <c r="G613" s="2" t="s">
        <v>992</v>
      </c>
      <c r="H613" s="2" t="s">
        <v>993</v>
      </c>
      <c r="I613" s="2" t="s">
        <v>2366</v>
      </c>
      <c r="J613" s="2" t="s">
        <v>120</v>
      </c>
      <c r="K613" s="2" t="s">
        <v>434</v>
      </c>
      <c r="L613" s="3">
        <v>75</v>
      </c>
      <c r="M613" s="3">
        <v>78.74</v>
      </c>
      <c r="N613" s="3">
        <v>149.99</v>
      </c>
      <c r="O613" s="2" t="s">
        <v>97</v>
      </c>
      <c r="P613" s="2" t="s">
        <v>98</v>
      </c>
      <c r="Q613" s="2" t="s">
        <v>99</v>
      </c>
      <c r="R613" s="2" t="s">
        <v>100</v>
      </c>
      <c r="S613" s="2" t="s">
        <v>2373</v>
      </c>
      <c r="T613" s="2" t="s">
        <v>100</v>
      </c>
      <c r="U613" s="2" t="s">
        <v>644</v>
      </c>
      <c r="V613" s="2" t="s">
        <v>284</v>
      </c>
      <c r="W613" s="2" t="s">
        <v>244</v>
      </c>
      <c r="X613" s="2" t="s">
        <v>609</v>
      </c>
      <c r="Y613" s="2" t="s">
        <v>2346</v>
      </c>
      <c r="Z613" s="4">
        <v>666</v>
      </c>
      <c r="AA613" s="4">
        <f>=ROUNDDOWN(19.5882352941176,0)</f>
      </c>
      <c r="AB613" s="5">
        <v>34</v>
      </c>
      <c r="AC613" s="2" t="s">
        <v>287</v>
      </c>
      <c r="AD613" s="4">
        <v>91</v>
      </c>
      <c r="AE613" s="4">
        <v>861</v>
      </c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77</v>
      </c>
      <c r="BK613" s="8">
        <v>5683.59</v>
      </c>
      <c r="BL613" s="2" t="s">
        <v>2376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97</v>
      </c>
      <c r="BW613" s="2" t="s">
        <v>1159</v>
      </c>
      <c r="BX613" s="2" t="s">
        <v>2374</v>
      </c>
      <c r="BY613" s="2" t="s">
        <v>112</v>
      </c>
      <c r="BZ613" s="2" t="s">
        <v>100</v>
      </c>
    </row>
    <row r="614">
      <c r="A614" s="2" t="s">
        <v>2377</v>
      </c>
      <c r="B614" s="2" t="s">
        <v>87</v>
      </c>
      <c r="C614" s="2" t="s">
        <v>88</v>
      </c>
      <c r="D614" s="2" t="s">
        <v>2230</v>
      </c>
      <c r="E614" s="2" t="s">
        <v>2231</v>
      </c>
      <c r="F614" s="2" t="s">
        <v>2378</v>
      </c>
      <c r="G614" s="2" t="s">
        <v>2379</v>
      </c>
      <c r="H614" s="2" t="s">
        <v>2380</v>
      </c>
      <c r="I614" s="2" t="s">
        <v>2381</v>
      </c>
      <c r="J614" s="2" t="s">
        <v>114</v>
      </c>
      <c r="K614" s="2" t="s">
        <v>253</v>
      </c>
      <c r="L614" s="3">
        <v>54.99</v>
      </c>
      <c r="M614" s="3">
        <v>57.74</v>
      </c>
      <c r="N614" s="3">
        <v>109.99</v>
      </c>
      <c r="O614" s="2" t="s">
        <v>97</v>
      </c>
      <c r="P614" s="2" t="s">
        <v>447</v>
      </c>
      <c r="Q614" s="2" t="s">
        <v>99</v>
      </c>
      <c r="R614" s="2" t="s">
        <v>100</v>
      </c>
      <c r="S614" s="2" t="s">
        <v>2382</v>
      </c>
      <c r="T614" s="2" t="s">
        <v>100</v>
      </c>
      <c r="U614" s="2" t="s">
        <v>644</v>
      </c>
      <c r="V614" s="2" t="s">
        <v>103</v>
      </c>
      <c r="W614" s="2" t="s">
        <v>244</v>
      </c>
      <c r="X614" s="2" t="s">
        <v>2383</v>
      </c>
      <c r="Y614" s="2" t="s">
        <v>131</v>
      </c>
      <c r="Z614" s="4">
        <v>306</v>
      </c>
      <c r="AA614" s="4">
        <f>=ROUNDDOWN(21.8571428571429,0)</f>
      </c>
      <c r="AB614" s="5">
        <v>14</v>
      </c>
      <c r="AC614" s="2" t="s">
        <v>100</v>
      </c>
      <c r="AD614" s="4"/>
      <c r="AE614" s="4"/>
      <c r="AF614" s="6">
        <v>64</v>
      </c>
      <c r="AG614" s="6">
        <v>47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>
        <v>0</v>
      </c>
      <c r="AP614" s="4"/>
      <c r="AQ614" s="8"/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/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/>
      <c r="BJ614" s="4">
        <v>10</v>
      </c>
      <c r="BK614" s="8">
        <v>562.02</v>
      </c>
      <c r="BL614" s="2" t="s">
        <v>2384</v>
      </c>
      <c r="BM614" s="7"/>
      <c r="BN614" s="7"/>
      <c r="BO614" s="4"/>
      <c r="BP614" s="8"/>
      <c r="BQ614" s="4"/>
      <c r="BR614" s="8"/>
      <c r="BS614" s="7"/>
      <c r="BT614" s="7"/>
      <c r="BU614" s="2" t="s">
        <v>109</v>
      </c>
      <c r="BV614" s="2" t="s">
        <v>97</v>
      </c>
      <c r="BW614" s="2" t="s">
        <v>122</v>
      </c>
      <c r="BX614" s="2" t="s">
        <v>2385</v>
      </c>
      <c r="BY614" s="2" t="s">
        <v>112</v>
      </c>
      <c r="BZ614" s="2" t="s">
        <v>100</v>
      </c>
    </row>
    <row r="615">
      <c r="A615" s="2" t="s">
        <v>2386</v>
      </c>
      <c r="B615" s="2" t="s">
        <v>87</v>
      </c>
      <c r="C615" s="2" t="s">
        <v>88</v>
      </c>
      <c r="D615" s="2" t="s">
        <v>2230</v>
      </c>
      <c r="E615" s="2" t="s">
        <v>2231</v>
      </c>
      <c r="F615" s="2" t="s">
        <v>2378</v>
      </c>
      <c r="G615" s="2" t="s">
        <v>2379</v>
      </c>
      <c r="H615" s="2" t="s">
        <v>2380</v>
      </c>
      <c r="I615" s="2" t="s">
        <v>2381</v>
      </c>
      <c r="J615" s="2" t="s">
        <v>120</v>
      </c>
      <c r="K615" s="2" t="s">
        <v>253</v>
      </c>
      <c r="L615" s="3">
        <v>65</v>
      </c>
      <c r="M615" s="3">
        <v>68.24</v>
      </c>
      <c r="N615" s="3">
        <v>129.99</v>
      </c>
      <c r="O615" s="2" t="s">
        <v>97</v>
      </c>
      <c r="P615" s="2" t="s">
        <v>447</v>
      </c>
      <c r="Q615" s="2" t="s">
        <v>99</v>
      </c>
      <c r="R615" s="2" t="s">
        <v>100</v>
      </c>
      <c r="S615" s="2" t="s">
        <v>2382</v>
      </c>
      <c r="T615" s="2" t="s">
        <v>100</v>
      </c>
      <c r="U615" s="2" t="s">
        <v>644</v>
      </c>
      <c r="V615" s="2" t="s">
        <v>103</v>
      </c>
      <c r="W615" s="2" t="s">
        <v>244</v>
      </c>
      <c r="X615" s="2" t="s">
        <v>2383</v>
      </c>
      <c r="Y615" s="2" t="s">
        <v>131</v>
      </c>
      <c r="Z615" s="4">
        <v>675</v>
      </c>
      <c r="AA615" s="4">
        <f>=ROUNDDOWN(30.6818181818182,0)</f>
      </c>
      <c r="AB615" s="5">
        <v>22</v>
      </c>
      <c r="AC615" s="2" t="s">
        <v>100</v>
      </c>
      <c r="AD615" s="4"/>
      <c r="AE615" s="4"/>
      <c r="AF615" s="6">
        <v>64</v>
      </c>
      <c r="AG615" s="6">
        <v>47</v>
      </c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>
        <v>0</v>
      </c>
      <c r="AP615" s="4"/>
      <c r="AQ615" s="8"/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/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/>
      <c r="BJ615" s="4">
        <v>11</v>
      </c>
      <c r="BK615" s="8">
        <v>770.9</v>
      </c>
      <c r="BL615" s="2" t="s">
        <v>2387</v>
      </c>
      <c r="BM615" s="7"/>
      <c r="BN615" s="7"/>
      <c r="BO615" s="4"/>
      <c r="BP615" s="8"/>
      <c r="BQ615" s="4"/>
      <c r="BR615" s="8"/>
      <c r="BS615" s="7"/>
      <c r="BT615" s="7"/>
      <c r="BU615" s="2" t="s">
        <v>109</v>
      </c>
      <c r="BV615" s="2" t="s">
        <v>97</v>
      </c>
      <c r="BW615" s="2" t="s">
        <v>122</v>
      </c>
      <c r="BX615" s="2" t="s">
        <v>1126</v>
      </c>
      <c r="BY615" s="2" t="s">
        <v>112</v>
      </c>
      <c r="BZ615" s="2" t="s">
        <v>100</v>
      </c>
    </row>
    <row r="616">
      <c r="A616" s="2" t="s">
        <v>2388</v>
      </c>
      <c r="B616" s="2" t="s">
        <v>87</v>
      </c>
      <c r="C616" s="2" t="s">
        <v>88</v>
      </c>
      <c r="D616" s="2" t="s">
        <v>2230</v>
      </c>
      <c r="E616" s="2" t="s">
        <v>2231</v>
      </c>
      <c r="F616" s="2" t="s">
        <v>602</v>
      </c>
      <c r="G616" s="2" t="s">
        <v>603</v>
      </c>
      <c r="H616" s="2" t="s">
        <v>604</v>
      </c>
      <c r="I616" s="2" t="s">
        <v>2366</v>
      </c>
      <c r="J616" s="2" t="s">
        <v>114</v>
      </c>
      <c r="K616" s="2" t="s">
        <v>606</v>
      </c>
      <c r="L616" s="3">
        <v>57.32</v>
      </c>
      <c r="M616" s="3">
        <v>60.19</v>
      </c>
      <c r="N616" s="3">
        <v>119.99</v>
      </c>
      <c r="O616" s="2" t="s">
        <v>97</v>
      </c>
      <c r="P616" s="2" t="s">
        <v>242</v>
      </c>
      <c r="Q616" s="2" t="s">
        <v>99</v>
      </c>
      <c r="R616" s="2" t="s">
        <v>100</v>
      </c>
      <c r="S616" s="2" t="s">
        <v>2389</v>
      </c>
      <c r="T616" s="2" t="s">
        <v>100</v>
      </c>
      <c r="U616" s="2" t="s">
        <v>644</v>
      </c>
      <c r="V616" s="2" t="s">
        <v>608</v>
      </c>
      <c r="W616" s="2" t="s">
        <v>244</v>
      </c>
      <c r="X616" s="2" t="s">
        <v>609</v>
      </c>
      <c r="Y616" s="2" t="s">
        <v>1317</v>
      </c>
      <c r="Z616" s="4">
        <v>689</v>
      </c>
      <c r="AA616" s="4">
        <f>=ROUNDDOWN(32.8095238095238,0)</f>
      </c>
      <c r="AB616" s="5">
        <v>21</v>
      </c>
      <c r="AC616" s="2" t="s">
        <v>1352</v>
      </c>
      <c r="AD616" s="4">
        <v>120</v>
      </c>
      <c r="AE616" s="4">
        <v>250</v>
      </c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/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/>
      <c r="BJ616" s="4">
        <v>17</v>
      </c>
      <c r="BK616" s="8">
        <v>1165.16</v>
      </c>
      <c r="BL616" s="2" t="s">
        <v>1268</v>
      </c>
      <c r="BM616" s="7"/>
      <c r="BN616" s="7"/>
      <c r="BO616" s="4"/>
      <c r="BP616" s="8"/>
      <c r="BQ616" s="4"/>
      <c r="BR616" s="8"/>
      <c r="BS616" s="7"/>
      <c r="BT616" s="7"/>
      <c r="BU616" s="2" t="s">
        <v>109</v>
      </c>
      <c r="BV616" s="2" t="s">
        <v>97</v>
      </c>
      <c r="BW616" s="2" t="s">
        <v>1159</v>
      </c>
      <c r="BX616" s="2" t="s">
        <v>2390</v>
      </c>
      <c r="BY616" s="2" t="s">
        <v>112</v>
      </c>
      <c r="BZ616" s="2" t="s">
        <v>100</v>
      </c>
    </row>
    <row r="617">
      <c r="A617" s="2" t="s">
        <v>2391</v>
      </c>
      <c r="B617" s="2" t="s">
        <v>87</v>
      </c>
      <c r="C617" s="2" t="s">
        <v>88</v>
      </c>
      <c r="D617" s="2" t="s">
        <v>2230</v>
      </c>
      <c r="E617" s="2" t="s">
        <v>2231</v>
      </c>
      <c r="F617" s="2" t="s">
        <v>602</v>
      </c>
      <c r="G617" s="2" t="s">
        <v>603</v>
      </c>
      <c r="H617" s="2" t="s">
        <v>604</v>
      </c>
      <c r="I617" s="2" t="s">
        <v>2366</v>
      </c>
      <c r="J617" s="2" t="s">
        <v>120</v>
      </c>
      <c r="K617" s="2" t="s">
        <v>606</v>
      </c>
      <c r="L617" s="3">
        <v>67.5</v>
      </c>
      <c r="M617" s="3">
        <v>70.88</v>
      </c>
      <c r="N617" s="3">
        <v>139.99</v>
      </c>
      <c r="O617" s="2" t="s">
        <v>97</v>
      </c>
      <c r="P617" s="2" t="s">
        <v>242</v>
      </c>
      <c r="Q617" s="2" t="s">
        <v>99</v>
      </c>
      <c r="R617" s="2" t="s">
        <v>100</v>
      </c>
      <c r="S617" s="2" t="s">
        <v>2389</v>
      </c>
      <c r="T617" s="2" t="s">
        <v>100</v>
      </c>
      <c r="U617" s="2" t="s">
        <v>644</v>
      </c>
      <c r="V617" s="2" t="s">
        <v>608</v>
      </c>
      <c r="W617" s="2" t="s">
        <v>244</v>
      </c>
      <c r="X617" s="2" t="s">
        <v>609</v>
      </c>
      <c r="Y617" s="2" t="s">
        <v>1317</v>
      </c>
      <c r="Z617" s="4">
        <v>1009</v>
      </c>
      <c r="AA617" s="4">
        <f>=ROUNDDOWN(26.5526315789474,0)</f>
      </c>
      <c r="AB617" s="5">
        <v>38</v>
      </c>
      <c r="AC617" s="2" t="s">
        <v>107</v>
      </c>
      <c r="AD617" s="4">
        <v>100</v>
      </c>
      <c r="AE617" s="4">
        <v>770</v>
      </c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/>
      <c r="AQ617" s="8"/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/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/>
      <c r="BJ617" s="4">
        <v>21</v>
      </c>
      <c r="BK617" s="8">
        <v>1620.07</v>
      </c>
      <c r="BL617" s="2" t="s">
        <v>874</v>
      </c>
      <c r="BM617" s="7"/>
      <c r="BN617" s="7"/>
      <c r="BO617" s="4"/>
      <c r="BP617" s="8"/>
      <c r="BQ617" s="4"/>
      <c r="BR617" s="8"/>
      <c r="BS617" s="7"/>
      <c r="BT617" s="7"/>
      <c r="BU617" s="2" t="s">
        <v>109</v>
      </c>
      <c r="BV617" s="2" t="s">
        <v>97</v>
      </c>
      <c r="BW617" s="2" t="s">
        <v>1159</v>
      </c>
      <c r="BX617" s="2" t="s">
        <v>2374</v>
      </c>
      <c r="BY617" s="2" t="s">
        <v>112</v>
      </c>
      <c r="BZ617" s="2" t="s">
        <v>100</v>
      </c>
    </row>
    <row r="618">
      <c r="A618" s="2" t="s">
        <v>2392</v>
      </c>
      <c r="B618" s="2" t="s">
        <v>87</v>
      </c>
      <c r="C618" s="2" t="s">
        <v>88</v>
      </c>
      <c r="D618" s="2" t="s">
        <v>2230</v>
      </c>
      <c r="E618" s="2" t="s">
        <v>2393</v>
      </c>
      <c r="F618" s="2" t="s">
        <v>2394</v>
      </c>
      <c r="G618" s="2" t="s">
        <v>2395</v>
      </c>
      <c r="H618" s="2" t="s">
        <v>2396</v>
      </c>
      <c r="I618" s="2" t="s">
        <v>2397</v>
      </c>
      <c r="J618" s="2" t="s">
        <v>785</v>
      </c>
      <c r="K618" s="2" t="s">
        <v>253</v>
      </c>
      <c r="L618" s="3">
        <v>49.5</v>
      </c>
      <c r="M618" s="3">
        <v>51.98</v>
      </c>
      <c r="N618" s="3">
        <v>99.99</v>
      </c>
      <c r="O618" s="2" t="s">
        <v>97</v>
      </c>
      <c r="P618" s="2" t="s">
        <v>242</v>
      </c>
      <c r="Q618" s="2" t="s">
        <v>99</v>
      </c>
      <c r="R618" s="2" t="s">
        <v>100</v>
      </c>
      <c r="S618" s="2" t="s">
        <v>2398</v>
      </c>
      <c r="T618" s="2" t="s">
        <v>100</v>
      </c>
      <c r="U618" s="2" t="s">
        <v>676</v>
      </c>
      <c r="V618" s="2" t="s">
        <v>608</v>
      </c>
      <c r="W618" s="2" t="s">
        <v>1064</v>
      </c>
      <c r="X618" s="2" t="s">
        <v>552</v>
      </c>
      <c r="Y618" s="2" t="s">
        <v>131</v>
      </c>
      <c r="Z618" s="4">
        <v>658</v>
      </c>
      <c r="AA618" s="4">
        <f>=ROUNDDOWN(21.2258064516129,0)</f>
      </c>
      <c r="AB618" s="5">
        <v>31</v>
      </c>
      <c r="AC618" s="2" t="s">
        <v>695</v>
      </c>
      <c r="AD618" s="4">
        <v>200</v>
      </c>
      <c r="AE618" s="4">
        <v>769</v>
      </c>
      <c r="AF618" s="6">
        <v>65</v>
      </c>
      <c r="AG618" s="6">
        <v>73</v>
      </c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>
        <v>8</v>
      </c>
      <c r="AQ618" s="8">
        <v>455.6</v>
      </c>
      <c r="AR618" s="4"/>
      <c r="AS618" s="8"/>
      <c r="AT618" s="7"/>
      <c r="AU618" s="7"/>
      <c r="AV618" s="4">
        <v>14</v>
      </c>
      <c r="AW618" s="8">
        <v>831.44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0.548</v>
      </c>
      <c r="BC618" s="4">
        <v>14</v>
      </c>
      <c r="BD618" s="8">
        <v>831.44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>
        <v>1</v>
      </c>
      <c r="BJ618" s="4">
        <v>41</v>
      </c>
      <c r="BK618" s="8">
        <v>2142.73</v>
      </c>
      <c r="BL618" s="2" t="s">
        <v>1115</v>
      </c>
      <c r="BM618" s="7">
        <v>0.1951</v>
      </c>
      <c r="BN618" s="7">
        <v>0.2126</v>
      </c>
      <c r="BO618" s="4">
        <v>8</v>
      </c>
      <c r="BP618" s="8">
        <v>455.6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122</v>
      </c>
      <c r="BX618" s="2" t="s">
        <v>2399</v>
      </c>
      <c r="BY618" s="2" t="s">
        <v>112</v>
      </c>
      <c r="BZ618" s="2" t="s">
        <v>100</v>
      </c>
    </row>
    <row r="619">
      <c r="A619" s="2" t="s">
        <v>2400</v>
      </c>
      <c r="B619" s="2" t="s">
        <v>87</v>
      </c>
      <c r="C619" s="2" t="s">
        <v>88</v>
      </c>
      <c r="D619" s="2" t="s">
        <v>2230</v>
      </c>
      <c r="E619" s="2" t="s">
        <v>2393</v>
      </c>
      <c r="F619" s="2" t="s">
        <v>2394</v>
      </c>
      <c r="G619" s="2" t="s">
        <v>2395</v>
      </c>
      <c r="H619" s="2" t="s">
        <v>2396</v>
      </c>
      <c r="I619" s="2" t="s">
        <v>2397</v>
      </c>
      <c r="J619" s="2" t="s">
        <v>795</v>
      </c>
      <c r="K619" s="2" t="s">
        <v>253</v>
      </c>
      <c r="L619" s="3">
        <v>53.99</v>
      </c>
      <c r="M619" s="3">
        <v>56.69</v>
      </c>
      <c r="N619" s="3">
        <v>109.99</v>
      </c>
      <c r="O619" s="2" t="s">
        <v>97</v>
      </c>
      <c r="P619" s="2" t="s">
        <v>242</v>
      </c>
      <c r="Q619" s="2" t="s">
        <v>99</v>
      </c>
      <c r="R619" s="2" t="s">
        <v>100</v>
      </c>
      <c r="S619" s="2" t="s">
        <v>2398</v>
      </c>
      <c r="T619" s="2" t="s">
        <v>100</v>
      </c>
      <c r="U619" s="2" t="s">
        <v>676</v>
      </c>
      <c r="V619" s="2" t="s">
        <v>608</v>
      </c>
      <c r="W619" s="2" t="s">
        <v>1064</v>
      </c>
      <c r="X619" s="2" t="s">
        <v>552</v>
      </c>
      <c r="Y619" s="2" t="s">
        <v>131</v>
      </c>
      <c r="Z619" s="4">
        <v>862</v>
      </c>
      <c r="AA619" s="4">
        <f>=ROUNDDOWN(20.5238095238095,0)</f>
      </c>
      <c r="AB619" s="5">
        <v>42</v>
      </c>
      <c r="AC619" s="2" t="s">
        <v>695</v>
      </c>
      <c r="AD619" s="4">
        <v>220</v>
      </c>
      <c r="AE619" s="4">
        <v>1069</v>
      </c>
      <c r="AF619" s="6">
        <v>65</v>
      </c>
      <c r="AG619" s="6">
        <v>73</v>
      </c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>
        <v>6</v>
      </c>
      <c r="AQ619" s="8">
        <v>375.84</v>
      </c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0.452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44</v>
      </c>
      <c r="BK619" s="8">
        <v>2651.47</v>
      </c>
      <c r="BL619" s="2" t="s">
        <v>901</v>
      </c>
      <c r="BM619" s="7">
        <v>0.1364</v>
      </c>
      <c r="BN619" s="7">
        <v>0.1417</v>
      </c>
      <c r="BO619" s="4">
        <v>6</v>
      </c>
      <c r="BP619" s="8">
        <v>375.84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122</v>
      </c>
      <c r="BX619" s="2" t="s">
        <v>2401</v>
      </c>
      <c r="BY619" s="2" t="s">
        <v>112</v>
      </c>
      <c r="BZ619" s="2" t="s">
        <v>100</v>
      </c>
    </row>
    <row r="620">
      <c r="A620" s="2" t="s">
        <v>2402</v>
      </c>
      <c r="B620" s="2" t="s">
        <v>87</v>
      </c>
      <c r="C620" s="2" t="s">
        <v>88</v>
      </c>
      <c r="D620" s="2" t="s">
        <v>2230</v>
      </c>
      <c r="E620" s="2" t="s">
        <v>2393</v>
      </c>
      <c r="F620" s="2" t="s">
        <v>2394</v>
      </c>
      <c r="G620" s="2" t="s">
        <v>2395</v>
      </c>
      <c r="H620" s="2" t="s">
        <v>2396</v>
      </c>
      <c r="I620" s="2" t="s">
        <v>2397</v>
      </c>
      <c r="J620" s="2" t="s">
        <v>785</v>
      </c>
      <c r="K620" s="2" t="s">
        <v>1062</v>
      </c>
      <c r="L620" s="3">
        <v>49.5</v>
      </c>
      <c r="M620" s="3">
        <v>51.98</v>
      </c>
      <c r="N620" s="3">
        <v>99.99</v>
      </c>
      <c r="O620" s="2" t="s">
        <v>97</v>
      </c>
      <c r="P620" s="2" t="s">
        <v>98</v>
      </c>
      <c r="Q620" s="2" t="s">
        <v>99</v>
      </c>
      <c r="R620" s="2" t="s">
        <v>100</v>
      </c>
      <c r="S620" s="2" t="s">
        <v>2403</v>
      </c>
      <c r="T620" s="2" t="s">
        <v>100</v>
      </c>
      <c r="U620" s="2" t="s">
        <v>676</v>
      </c>
      <c r="V620" s="2" t="s">
        <v>608</v>
      </c>
      <c r="W620" s="2" t="s">
        <v>1064</v>
      </c>
      <c r="X620" s="2" t="s">
        <v>552</v>
      </c>
      <c r="Y620" s="2" t="s">
        <v>131</v>
      </c>
      <c r="Z620" s="4">
        <v>380</v>
      </c>
      <c r="AA620" s="4">
        <f>=ROUNDDOWN(20,0)</f>
      </c>
      <c r="AB620" s="5">
        <v>19</v>
      </c>
      <c r="AC620" s="2" t="s">
        <v>2404</v>
      </c>
      <c r="AD620" s="4">
        <v>90</v>
      </c>
      <c r="AE620" s="4">
        <v>510</v>
      </c>
      <c r="AF620" s="6">
        <v>65</v>
      </c>
      <c r="AG620" s="6">
        <v>73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/>
      <c r="AQ620" s="8"/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/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 t="s">
        <v>100</v>
      </c>
      <c r="BJ620" s="4">
        <v>22</v>
      </c>
      <c r="BK620" s="8">
        <v>1142.94</v>
      </c>
      <c r="BL620" s="2" t="s">
        <v>305</v>
      </c>
      <c r="BM620" s="7"/>
      <c r="BN620" s="7"/>
      <c r="BO620" s="4"/>
      <c r="BP620" s="8"/>
      <c r="BQ620" s="4"/>
      <c r="BR620" s="8"/>
      <c r="BS620" s="7"/>
      <c r="BT620" s="7"/>
      <c r="BU620" s="2" t="s">
        <v>109</v>
      </c>
      <c r="BV620" s="2" t="s">
        <v>97</v>
      </c>
      <c r="BW620" s="2" t="s">
        <v>122</v>
      </c>
      <c r="BX620" s="2" t="s">
        <v>127</v>
      </c>
      <c r="BY620" s="2" t="s">
        <v>112</v>
      </c>
      <c r="BZ620" s="2" t="s">
        <v>100</v>
      </c>
    </row>
    <row r="621">
      <c r="A621" s="2" t="s">
        <v>2405</v>
      </c>
      <c r="B621" s="2" t="s">
        <v>87</v>
      </c>
      <c r="C621" s="2" t="s">
        <v>88</v>
      </c>
      <c r="D621" s="2" t="s">
        <v>2230</v>
      </c>
      <c r="E621" s="2" t="s">
        <v>2393</v>
      </c>
      <c r="F621" s="2" t="s">
        <v>2394</v>
      </c>
      <c r="G621" s="2" t="s">
        <v>2395</v>
      </c>
      <c r="H621" s="2" t="s">
        <v>2396</v>
      </c>
      <c r="I621" s="2" t="s">
        <v>2397</v>
      </c>
      <c r="J621" s="2" t="s">
        <v>795</v>
      </c>
      <c r="K621" s="2" t="s">
        <v>1062</v>
      </c>
      <c r="L621" s="3">
        <v>53.99</v>
      </c>
      <c r="M621" s="3">
        <v>56.69</v>
      </c>
      <c r="N621" s="3">
        <v>109.99</v>
      </c>
      <c r="O621" s="2" t="s">
        <v>97</v>
      </c>
      <c r="P621" s="2" t="s">
        <v>98</v>
      </c>
      <c r="Q621" s="2" t="s">
        <v>99</v>
      </c>
      <c r="R621" s="2" t="s">
        <v>100</v>
      </c>
      <c r="S621" s="2" t="s">
        <v>2403</v>
      </c>
      <c r="T621" s="2" t="s">
        <v>100</v>
      </c>
      <c r="U621" s="2" t="s">
        <v>676</v>
      </c>
      <c r="V621" s="2" t="s">
        <v>608</v>
      </c>
      <c r="W621" s="2" t="s">
        <v>1064</v>
      </c>
      <c r="X621" s="2" t="s">
        <v>552</v>
      </c>
      <c r="Y621" s="2" t="s">
        <v>131</v>
      </c>
      <c r="Z621" s="4">
        <v>757</v>
      </c>
      <c r="AA621" s="4">
        <f>=ROUNDDOWN(34.4090909090909,0)</f>
      </c>
      <c r="AB621" s="5">
        <v>22</v>
      </c>
      <c r="AC621" s="2" t="s">
        <v>2404</v>
      </c>
      <c r="AD621" s="4">
        <v>200</v>
      </c>
      <c r="AE621" s="4">
        <v>350</v>
      </c>
      <c r="AF621" s="6">
        <v>65</v>
      </c>
      <c r="AG621" s="6">
        <v>73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/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16</v>
      </c>
      <c r="BK621" s="8">
        <v>919.26</v>
      </c>
      <c r="BL621" s="2" t="s">
        <v>543</v>
      </c>
      <c r="BM621" s="7"/>
      <c r="BN621" s="7"/>
      <c r="BO621" s="4"/>
      <c r="BP621" s="8"/>
      <c r="BQ621" s="4"/>
      <c r="BR621" s="8"/>
      <c r="BS621" s="7"/>
      <c r="BT621" s="7"/>
      <c r="BU621" s="2" t="s">
        <v>109</v>
      </c>
      <c r="BV621" s="2" t="s">
        <v>97</v>
      </c>
      <c r="BW621" s="2" t="s">
        <v>122</v>
      </c>
      <c r="BX621" s="2" t="s">
        <v>1322</v>
      </c>
      <c r="BY621" s="2" t="s">
        <v>112</v>
      </c>
      <c r="BZ621" s="2" t="s">
        <v>100</v>
      </c>
    </row>
    <row r="622">
      <c r="A622" s="2" t="s">
        <v>2406</v>
      </c>
      <c r="B622" s="2" t="s">
        <v>87</v>
      </c>
      <c r="C622" s="2" t="s">
        <v>88</v>
      </c>
      <c r="D622" s="2" t="s">
        <v>2230</v>
      </c>
      <c r="E622" s="2" t="s">
        <v>2393</v>
      </c>
      <c r="F622" s="2" t="s">
        <v>546</v>
      </c>
      <c r="G622" s="2" t="s">
        <v>547</v>
      </c>
      <c r="H622" s="2" t="s">
        <v>548</v>
      </c>
      <c r="I622" s="2" t="s">
        <v>2407</v>
      </c>
      <c r="J622" s="2" t="s">
        <v>785</v>
      </c>
      <c r="K622" s="2" t="s">
        <v>372</v>
      </c>
      <c r="L622" s="3">
        <v>62.4</v>
      </c>
      <c r="M622" s="3">
        <v>65.51</v>
      </c>
      <c r="N622" s="3">
        <v>129.99</v>
      </c>
      <c r="O622" s="2" t="s">
        <v>97</v>
      </c>
      <c r="P622" s="2" t="s">
        <v>98</v>
      </c>
      <c r="Q622" s="2" t="s">
        <v>99</v>
      </c>
      <c r="R622" s="2" t="s">
        <v>100</v>
      </c>
      <c r="S622" s="2" t="s">
        <v>550</v>
      </c>
      <c r="T622" s="2" t="s">
        <v>359</v>
      </c>
      <c r="U622" s="2" t="s">
        <v>676</v>
      </c>
      <c r="V622" s="2" t="s">
        <v>551</v>
      </c>
      <c r="W622" s="2" t="s">
        <v>551</v>
      </c>
      <c r="X622" s="2" t="s">
        <v>552</v>
      </c>
      <c r="Y622" s="2" t="s">
        <v>131</v>
      </c>
      <c r="Z622" s="4">
        <v>289</v>
      </c>
      <c r="AA622" s="4">
        <f>=ROUNDDOWN(12.5652173913043,0)</f>
      </c>
      <c r="AB622" s="5">
        <v>23</v>
      </c>
      <c r="AC622" s="2" t="s">
        <v>553</v>
      </c>
      <c r="AD622" s="4">
        <v>220</v>
      </c>
      <c r="AE622" s="4">
        <v>800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>
        <v>2</v>
      </c>
      <c r="AW622" s="8">
        <v>142.14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/>
      <c r="BC622" s="4">
        <v>2</v>
      </c>
      <c r="BD622" s="8">
        <v>142.14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>
        <v>1</v>
      </c>
      <c r="BJ622" s="4">
        <v>21</v>
      </c>
      <c r="BK622" s="8">
        <v>1414.61</v>
      </c>
      <c r="BL622" s="2" t="s">
        <v>2219</v>
      </c>
      <c r="BM622" s="7"/>
      <c r="BN622" s="7"/>
      <c r="BO622" s="4"/>
      <c r="BP622" s="8"/>
      <c r="BQ622" s="4"/>
      <c r="BR622" s="8"/>
      <c r="BS622" s="7"/>
      <c r="BT622" s="7"/>
      <c r="BU622" s="2" t="s">
        <v>109</v>
      </c>
      <c r="BV622" s="2" t="s">
        <v>97</v>
      </c>
      <c r="BW622" s="2" t="s">
        <v>555</v>
      </c>
      <c r="BX622" s="2" t="s">
        <v>1042</v>
      </c>
      <c r="BY622" s="2" t="s">
        <v>112</v>
      </c>
      <c r="BZ622" s="2" t="s">
        <v>100</v>
      </c>
    </row>
    <row r="623">
      <c r="A623" s="2" t="s">
        <v>2408</v>
      </c>
      <c r="B623" s="2" t="s">
        <v>87</v>
      </c>
      <c r="C623" s="2" t="s">
        <v>88</v>
      </c>
      <c r="D623" s="2" t="s">
        <v>2230</v>
      </c>
      <c r="E623" s="2" t="s">
        <v>2393</v>
      </c>
      <c r="F623" s="2" t="s">
        <v>546</v>
      </c>
      <c r="G623" s="2" t="s">
        <v>547</v>
      </c>
      <c r="H623" s="2" t="s">
        <v>548</v>
      </c>
      <c r="I623" s="2" t="s">
        <v>2407</v>
      </c>
      <c r="J623" s="2" t="s">
        <v>795</v>
      </c>
      <c r="K623" s="2" t="s">
        <v>372</v>
      </c>
      <c r="L623" s="3">
        <v>67.2</v>
      </c>
      <c r="M623" s="3">
        <v>70.55</v>
      </c>
      <c r="N623" s="3">
        <v>139.99</v>
      </c>
      <c r="O623" s="2" t="s">
        <v>97</v>
      </c>
      <c r="P623" s="2" t="s">
        <v>98</v>
      </c>
      <c r="Q623" s="2" t="s">
        <v>99</v>
      </c>
      <c r="R623" s="2" t="s">
        <v>100</v>
      </c>
      <c r="S623" s="2" t="s">
        <v>550</v>
      </c>
      <c r="T623" s="2" t="s">
        <v>359</v>
      </c>
      <c r="U623" s="2" t="s">
        <v>676</v>
      </c>
      <c r="V623" s="2" t="s">
        <v>551</v>
      </c>
      <c r="W623" s="2" t="s">
        <v>551</v>
      </c>
      <c r="X623" s="2" t="s">
        <v>552</v>
      </c>
      <c r="Y623" s="2" t="s">
        <v>131</v>
      </c>
      <c r="Z623" s="4">
        <v>228</v>
      </c>
      <c r="AA623" s="4">
        <f>=ROUNDDOWN(9.5,0)</f>
      </c>
      <c r="AB623" s="5">
        <v>24</v>
      </c>
      <c r="AC623" s="2" t="s">
        <v>553</v>
      </c>
      <c r="AD623" s="4">
        <v>180</v>
      </c>
      <c r="AE623" s="4">
        <v>760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2</v>
      </c>
      <c r="AQ623" s="8">
        <v>142.14</v>
      </c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1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20</v>
      </c>
      <c r="BK623" s="8">
        <v>1447.96</v>
      </c>
      <c r="BL623" s="2" t="s">
        <v>2409</v>
      </c>
      <c r="BM623" s="7">
        <v>0.1</v>
      </c>
      <c r="BN623" s="7">
        <v>0.0982</v>
      </c>
      <c r="BO623" s="4">
        <v>2</v>
      </c>
      <c r="BP623" s="8">
        <v>142.14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555</v>
      </c>
      <c r="BX623" s="2" t="s">
        <v>208</v>
      </c>
      <c r="BY623" s="2" t="s">
        <v>112</v>
      </c>
      <c r="BZ623" s="2" t="s">
        <v>100</v>
      </c>
    </row>
    <row r="624">
      <c r="A624" s="2" t="s">
        <v>2410</v>
      </c>
      <c r="B624" s="2" t="s">
        <v>87</v>
      </c>
      <c r="C624" s="2" t="s">
        <v>88</v>
      </c>
      <c r="D624" s="2" t="s">
        <v>2230</v>
      </c>
      <c r="E624" s="2" t="s">
        <v>2393</v>
      </c>
      <c r="F624" s="2" t="s">
        <v>546</v>
      </c>
      <c r="G624" s="2" t="s">
        <v>547</v>
      </c>
      <c r="H624" s="2" t="s">
        <v>548</v>
      </c>
      <c r="I624" s="2" t="s">
        <v>2407</v>
      </c>
      <c r="J624" s="2" t="s">
        <v>785</v>
      </c>
      <c r="K624" s="2" t="s">
        <v>340</v>
      </c>
      <c r="L624" s="3">
        <v>62.4</v>
      </c>
      <c r="M624" s="3">
        <v>65.52</v>
      </c>
      <c r="N624" s="3">
        <v>129.99</v>
      </c>
      <c r="O624" s="2" t="s">
        <v>97</v>
      </c>
      <c r="P624" s="2" t="s">
        <v>98</v>
      </c>
      <c r="Q624" s="2" t="s">
        <v>99</v>
      </c>
      <c r="R624" s="2" t="s">
        <v>100</v>
      </c>
      <c r="S624" s="2" t="s">
        <v>2411</v>
      </c>
      <c r="T624" s="2" t="s">
        <v>359</v>
      </c>
      <c r="U624" s="2" t="s">
        <v>676</v>
      </c>
      <c r="V624" s="2" t="s">
        <v>551</v>
      </c>
      <c r="W624" s="2" t="s">
        <v>551</v>
      </c>
      <c r="X624" s="2" t="s">
        <v>563</v>
      </c>
      <c r="Y624" s="2" t="s">
        <v>564</v>
      </c>
      <c r="Z624" s="4">
        <v>533</v>
      </c>
      <c r="AA624" s="4">
        <f>=ROUNDDOWN(28.0526315789474,0)</f>
      </c>
      <c r="AB624" s="5">
        <v>19</v>
      </c>
      <c r="AC624" s="2" t="s">
        <v>553</v>
      </c>
      <c r="AD624" s="4">
        <v>170</v>
      </c>
      <c r="AE624" s="4">
        <v>350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17</v>
      </c>
      <c r="BK624" s="8">
        <v>1077.72</v>
      </c>
      <c r="BL624" s="2" t="s">
        <v>2412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97</v>
      </c>
      <c r="BW624" s="2" t="s">
        <v>2368</v>
      </c>
      <c r="BX624" s="2" t="s">
        <v>2413</v>
      </c>
      <c r="BY624" s="2" t="s">
        <v>112</v>
      </c>
      <c r="BZ624" s="2" t="s">
        <v>100</v>
      </c>
    </row>
    <row r="625">
      <c r="A625" s="2" t="s">
        <v>2414</v>
      </c>
      <c r="B625" s="2" t="s">
        <v>87</v>
      </c>
      <c r="C625" s="2" t="s">
        <v>88</v>
      </c>
      <c r="D625" s="2" t="s">
        <v>2230</v>
      </c>
      <c r="E625" s="2" t="s">
        <v>2393</v>
      </c>
      <c r="F625" s="2" t="s">
        <v>546</v>
      </c>
      <c r="G625" s="2" t="s">
        <v>547</v>
      </c>
      <c r="H625" s="2" t="s">
        <v>548</v>
      </c>
      <c r="I625" s="2" t="s">
        <v>2407</v>
      </c>
      <c r="J625" s="2" t="s">
        <v>795</v>
      </c>
      <c r="K625" s="2" t="s">
        <v>340</v>
      </c>
      <c r="L625" s="3">
        <v>67.2</v>
      </c>
      <c r="M625" s="3">
        <v>70.56</v>
      </c>
      <c r="N625" s="3">
        <v>139.99</v>
      </c>
      <c r="O625" s="2" t="s">
        <v>97</v>
      </c>
      <c r="P625" s="2" t="s">
        <v>98</v>
      </c>
      <c r="Q625" s="2" t="s">
        <v>99</v>
      </c>
      <c r="R625" s="2" t="s">
        <v>100</v>
      </c>
      <c r="S625" s="2" t="s">
        <v>2411</v>
      </c>
      <c r="T625" s="2" t="s">
        <v>359</v>
      </c>
      <c r="U625" s="2" t="s">
        <v>676</v>
      </c>
      <c r="V625" s="2" t="s">
        <v>551</v>
      </c>
      <c r="W625" s="2" t="s">
        <v>551</v>
      </c>
      <c r="X625" s="2" t="s">
        <v>563</v>
      </c>
      <c r="Y625" s="2" t="s">
        <v>2415</v>
      </c>
      <c r="Z625" s="4">
        <v>517</v>
      </c>
      <c r="AA625" s="4">
        <f>=ROUNDDOWN(28.7222222222222,0)</f>
      </c>
      <c r="AB625" s="5">
        <v>18</v>
      </c>
      <c r="AC625" s="2" t="s">
        <v>553</v>
      </c>
      <c r="AD625" s="4">
        <v>150</v>
      </c>
      <c r="AE625" s="4">
        <v>370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/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10</v>
      </c>
      <c r="BK625" s="8">
        <v>691.72</v>
      </c>
      <c r="BL625" s="2" t="s">
        <v>2416</v>
      </c>
      <c r="BM625" s="7"/>
      <c r="BN625" s="7"/>
      <c r="BO625" s="4"/>
      <c r="BP625" s="8"/>
      <c r="BQ625" s="4"/>
      <c r="BR625" s="8"/>
      <c r="BS625" s="7"/>
      <c r="BT625" s="7"/>
      <c r="BU625" s="2" t="s">
        <v>109</v>
      </c>
      <c r="BV625" s="2" t="s">
        <v>97</v>
      </c>
      <c r="BW625" s="2" t="s">
        <v>2368</v>
      </c>
      <c r="BX625" s="2" t="s">
        <v>2417</v>
      </c>
      <c r="BY625" s="2" t="s">
        <v>112</v>
      </c>
      <c r="BZ625" s="2" t="s">
        <v>100</v>
      </c>
    </row>
    <row r="626">
      <c r="A626" s="2" t="s">
        <v>2418</v>
      </c>
      <c r="B626" s="2" t="s">
        <v>87</v>
      </c>
      <c r="C626" s="2" t="s">
        <v>88</v>
      </c>
      <c r="D626" s="2" t="s">
        <v>2230</v>
      </c>
      <c r="E626" s="2" t="s">
        <v>2393</v>
      </c>
      <c r="F626" s="2" t="s">
        <v>1667</v>
      </c>
      <c r="G626" s="2" t="s">
        <v>1668</v>
      </c>
      <c r="H626" s="2" t="s">
        <v>1669</v>
      </c>
      <c r="I626" s="2" t="s">
        <v>2419</v>
      </c>
      <c r="J626" s="2" t="s">
        <v>785</v>
      </c>
      <c r="K626" s="2" t="s">
        <v>253</v>
      </c>
      <c r="L626" s="3">
        <v>52.92</v>
      </c>
      <c r="M626" s="3">
        <v>55.57</v>
      </c>
      <c r="N626" s="3">
        <v>109.99</v>
      </c>
      <c r="O626" s="2" t="s">
        <v>97</v>
      </c>
      <c r="P626" s="2" t="s">
        <v>281</v>
      </c>
      <c r="Q626" s="2" t="s">
        <v>99</v>
      </c>
      <c r="R626" s="2" t="s">
        <v>100</v>
      </c>
      <c r="S626" s="2" t="s">
        <v>2420</v>
      </c>
      <c r="T626" s="2" t="s">
        <v>787</v>
      </c>
      <c r="U626" s="2" t="s">
        <v>676</v>
      </c>
      <c r="V626" s="2" t="s">
        <v>805</v>
      </c>
      <c r="W626" s="2" t="s">
        <v>551</v>
      </c>
      <c r="X626" s="2" t="s">
        <v>552</v>
      </c>
      <c r="Y626" s="2" t="s">
        <v>131</v>
      </c>
      <c r="Z626" s="4">
        <v>342</v>
      </c>
      <c r="AA626" s="4">
        <f>=ROUNDDOWN(4.8169014084507,0)</f>
      </c>
      <c r="AB626" s="5">
        <v>71</v>
      </c>
      <c r="AC626" s="2" t="s">
        <v>955</v>
      </c>
      <c r="AD626" s="4">
        <v>450</v>
      </c>
      <c r="AE626" s="4">
        <v>1560</v>
      </c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>
        <v>1</v>
      </c>
      <c r="AW626" s="8">
        <v>70.23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/>
      <c r="BC626" s="4">
        <v>1</v>
      </c>
      <c r="BD626" s="8">
        <v>70.23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>
        <v>1</v>
      </c>
      <c r="BJ626" s="4">
        <v>91</v>
      </c>
      <c r="BK626" s="8">
        <v>5758.96</v>
      </c>
      <c r="BL626" s="2" t="s">
        <v>2421</v>
      </c>
      <c r="BM626" s="7"/>
      <c r="BN626" s="7"/>
      <c r="BO626" s="4"/>
      <c r="BP626" s="8"/>
      <c r="BQ626" s="4"/>
      <c r="BR626" s="8"/>
      <c r="BS626" s="7"/>
      <c r="BT626" s="7"/>
      <c r="BU626" s="2" t="s">
        <v>109</v>
      </c>
      <c r="BV626" s="2" t="s">
        <v>97</v>
      </c>
      <c r="BW626" s="2" t="s">
        <v>1159</v>
      </c>
      <c r="BX626" s="2" t="s">
        <v>2422</v>
      </c>
      <c r="BY626" s="2" t="s">
        <v>112</v>
      </c>
      <c r="BZ626" s="2" t="s">
        <v>100</v>
      </c>
    </row>
    <row r="627">
      <c r="A627" s="2" t="s">
        <v>2423</v>
      </c>
      <c r="B627" s="2" t="s">
        <v>87</v>
      </c>
      <c r="C627" s="2" t="s">
        <v>88</v>
      </c>
      <c r="D627" s="2" t="s">
        <v>2230</v>
      </c>
      <c r="E627" s="2" t="s">
        <v>2393</v>
      </c>
      <c r="F627" s="2" t="s">
        <v>1667</v>
      </c>
      <c r="G627" s="2" t="s">
        <v>1668</v>
      </c>
      <c r="H627" s="2" t="s">
        <v>1669</v>
      </c>
      <c r="I627" s="2" t="s">
        <v>2419</v>
      </c>
      <c r="J627" s="2" t="s">
        <v>795</v>
      </c>
      <c r="K627" s="2" t="s">
        <v>253</v>
      </c>
      <c r="L627" s="3">
        <v>57.33</v>
      </c>
      <c r="M627" s="3">
        <v>60.2</v>
      </c>
      <c r="N627" s="3">
        <v>119.99</v>
      </c>
      <c r="O627" s="2" t="s">
        <v>97</v>
      </c>
      <c r="P627" s="2" t="s">
        <v>281</v>
      </c>
      <c r="Q627" s="2" t="s">
        <v>99</v>
      </c>
      <c r="R627" s="2" t="s">
        <v>100</v>
      </c>
      <c r="S627" s="2" t="s">
        <v>2420</v>
      </c>
      <c r="T627" s="2" t="s">
        <v>787</v>
      </c>
      <c r="U627" s="2" t="s">
        <v>676</v>
      </c>
      <c r="V627" s="2" t="s">
        <v>805</v>
      </c>
      <c r="W627" s="2" t="s">
        <v>551</v>
      </c>
      <c r="X627" s="2" t="s">
        <v>552</v>
      </c>
      <c r="Y627" s="2" t="s">
        <v>131</v>
      </c>
      <c r="Z627" s="4">
        <v>1277</v>
      </c>
      <c r="AA627" s="4">
        <f>=ROUNDDOWN(18.5072463768116,0)</f>
      </c>
      <c r="AB627" s="5">
        <v>69</v>
      </c>
      <c r="AC627" s="2" t="s">
        <v>1678</v>
      </c>
      <c r="AD627" s="4">
        <v>150</v>
      </c>
      <c r="AE627" s="4">
        <v>710</v>
      </c>
      <c r="AF627" s="6">
        <v>65</v>
      </c>
      <c r="AG627" s="6">
        <v>48</v>
      </c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>
        <v>1</v>
      </c>
      <c r="AQ627" s="8">
        <v>70.23</v>
      </c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1</v>
      </c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25</v>
      </c>
      <c r="BK627" s="8">
        <v>1575.76</v>
      </c>
      <c r="BL627" s="2" t="s">
        <v>2424</v>
      </c>
      <c r="BM627" s="7">
        <v>0.04</v>
      </c>
      <c r="BN627" s="7">
        <v>0.0446</v>
      </c>
      <c r="BO627" s="4">
        <v>1</v>
      </c>
      <c r="BP627" s="8">
        <v>70.23</v>
      </c>
      <c r="BQ627" s="4"/>
      <c r="BR627" s="8"/>
      <c r="BS627" s="7"/>
      <c r="BT627" s="7"/>
      <c r="BU627" s="2" t="s">
        <v>109</v>
      </c>
      <c r="BV627" s="2" t="s">
        <v>97</v>
      </c>
      <c r="BW627" s="2" t="s">
        <v>1159</v>
      </c>
      <c r="BX627" s="2" t="s">
        <v>2425</v>
      </c>
      <c r="BY627" s="2" t="s">
        <v>112</v>
      </c>
      <c r="BZ627" s="2" t="s">
        <v>100</v>
      </c>
    </row>
    <row r="628">
      <c r="A628" s="2" t="s">
        <v>2426</v>
      </c>
      <c r="B628" s="2" t="s">
        <v>87</v>
      </c>
      <c r="C628" s="2" t="s">
        <v>88</v>
      </c>
      <c r="D628" s="2" t="s">
        <v>2230</v>
      </c>
      <c r="E628" s="2" t="s">
        <v>2393</v>
      </c>
      <c r="F628" s="2" t="s">
        <v>1667</v>
      </c>
      <c r="G628" s="2" t="s">
        <v>1668</v>
      </c>
      <c r="H628" s="2" t="s">
        <v>1669</v>
      </c>
      <c r="I628" s="2" t="s">
        <v>2419</v>
      </c>
      <c r="J628" s="2" t="s">
        <v>785</v>
      </c>
      <c r="K628" s="2" t="s">
        <v>340</v>
      </c>
      <c r="L628" s="3">
        <v>52.92</v>
      </c>
      <c r="M628" s="3">
        <v>55.57</v>
      </c>
      <c r="N628" s="3">
        <v>109.99</v>
      </c>
      <c r="O628" s="2" t="s">
        <v>97</v>
      </c>
      <c r="P628" s="2" t="s">
        <v>98</v>
      </c>
      <c r="Q628" s="2" t="s">
        <v>99</v>
      </c>
      <c r="R628" s="2" t="s">
        <v>100</v>
      </c>
      <c r="S628" s="2" t="s">
        <v>2427</v>
      </c>
      <c r="T628" s="2" t="s">
        <v>787</v>
      </c>
      <c r="U628" s="2" t="s">
        <v>676</v>
      </c>
      <c r="V628" s="2" t="s">
        <v>805</v>
      </c>
      <c r="W628" s="2" t="s">
        <v>551</v>
      </c>
      <c r="X628" s="2" t="s">
        <v>499</v>
      </c>
      <c r="Y628" s="2" t="s">
        <v>1673</v>
      </c>
      <c r="Z628" s="4">
        <v>66</v>
      </c>
      <c r="AA628" s="4">
        <f>=ROUNDDOWN(4.71428571428571,0)</f>
      </c>
      <c r="AB628" s="5">
        <v>14</v>
      </c>
      <c r="AC628" s="2" t="s">
        <v>400</v>
      </c>
      <c r="AD628" s="4">
        <v>65</v>
      </c>
      <c r="AE628" s="4">
        <v>315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/>
      <c r="AQ628" s="8"/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/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18</v>
      </c>
      <c r="BK628" s="8">
        <v>1122.58</v>
      </c>
      <c r="BL628" s="2" t="s">
        <v>2412</v>
      </c>
      <c r="BM628" s="7"/>
      <c r="BN628" s="7"/>
      <c r="BO628" s="4"/>
      <c r="BP628" s="8"/>
      <c r="BQ628" s="4"/>
      <c r="BR628" s="8"/>
      <c r="BS628" s="7"/>
      <c r="BT628" s="7"/>
      <c r="BU628" s="2" t="s">
        <v>109</v>
      </c>
      <c r="BV628" s="2" t="s">
        <v>97</v>
      </c>
      <c r="BW628" s="2" t="s">
        <v>566</v>
      </c>
      <c r="BX628" s="2" t="s">
        <v>1726</v>
      </c>
      <c r="BY628" s="2" t="s">
        <v>112</v>
      </c>
      <c r="BZ628" s="2" t="s">
        <v>100</v>
      </c>
    </row>
    <row r="629">
      <c r="A629" s="2" t="s">
        <v>2428</v>
      </c>
      <c r="B629" s="2" t="s">
        <v>87</v>
      </c>
      <c r="C629" s="2" t="s">
        <v>88</v>
      </c>
      <c r="D629" s="2" t="s">
        <v>2230</v>
      </c>
      <c r="E629" s="2" t="s">
        <v>2393</v>
      </c>
      <c r="F629" s="2" t="s">
        <v>1667</v>
      </c>
      <c r="G629" s="2" t="s">
        <v>1668</v>
      </c>
      <c r="H629" s="2" t="s">
        <v>1669</v>
      </c>
      <c r="I629" s="2" t="s">
        <v>2419</v>
      </c>
      <c r="J629" s="2" t="s">
        <v>795</v>
      </c>
      <c r="K629" s="2" t="s">
        <v>340</v>
      </c>
      <c r="L629" s="3">
        <v>57.33</v>
      </c>
      <c r="M629" s="3">
        <v>60.2</v>
      </c>
      <c r="N629" s="3">
        <v>119.99</v>
      </c>
      <c r="O629" s="2" t="s">
        <v>97</v>
      </c>
      <c r="P629" s="2" t="s">
        <v>98</v>
      </c>
      <c r="Q629" s="2" t="s">
        <v>99</v>
      </c>
      <c r="R629" s="2" t="s">
        <v>100</v>
      </c>
      <c r="S629" s="2" t="s">
        <v>2427</v>
      </c>
      <c r="T629" s="2" t="s">
        <v>787</v>
      </c>
      <c r="U629" s="2" t="s">
        <v>676</v>
      </c>
      <c r="V629" s="2" t="s">
        <v>805</v>
      </c>
      <c r="W629" s="2" t="s">
        <v>551</v>
      </c>
      <c r="X629" s="2" t="s">
        <v>499</v>
      </c>
      <c r="Y629" s="2" t="s">
        <v>1673</v>
      </c>
      <c r="Z629" s="4">
        <v>123</v>
      </c>
      <c r="AA629" s="4">
        <f>=ROUNDDOWN(8.2,0)</f>
      </c>
      <c r="AB629" s="5">
        <v>15</v>
      </c>
      <c r="AC629" s="2" t="s">
        <v>955</v>
      </c>
      <c r="AD629" s="4">
        <v>350</v>
      </c>
      <c r="AE629" s="4">
        <v>350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/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 t="s">
        <v>100</v>
      </c>
      <c r="BJ629" s="4">
        <v>15</v>
      </c>
      <c r="BK629" s="8">
        <v>977.22</v>
      </c>
      <c r="BL629" s="2" t="s">
        <v>2429</v>
      </c>
      <c r="BM629" s="7"/>
      <c r="BN629" s="7"/>
      <c r="BO629" s="4"/>
      <c r="BP629" s="8"/>
      <c r="BQ629" s="4"/>
      <c r="BR629" s="8"/>
      <c r="BS629" s="7"/>
      <c r="BT629" s="7"/>
      <c r="BU629" s="2" t="s">
        <v>109</v>
      </c>
      <c r="BV629" s="2" t="s">
        <v>97</v>
      </c>
      <c r="BW629" s="2" t="s">
        <v>566</v>
      </c>
      <c r="BX629" s="2" t="s">
        <v>2430</v>
      </c>
      <c r="BY629" s="2" t="s">
        <v>112</v>
      </c>
      <c r="BZ629" s="2" t="s">
        <v>100</v>
      </c>
    </row>
    <row r="630">
      <c r="A630" s="2" t="s">
        <v>2431</v>
      </c>
      <c r="B630" s="2" t="s">
        <v>87</v>
      </c>
      <c r="C630" s="2" t="s">
        <v>88</v>
      </c>
      <c r="D630" s="2" t="s">
        <v>2230</v>
      </c>
      <c r="E630" s="2" t="s">
        <v>2393</v>
      </c>
      <c r="F630" s="2" t="s">
        <v>1667</v>
      </c>
      <c r="G630" s="2" t="s">
        <v>1668</v>
      </c>
      <c r="H630" s="2" t="s">
        <v>1669</v>
      </c>
      <c r="I630" s="2" t="s">
        <v>2419</v>
      </c>
      <c r="J630" s="2" t="s">
        <v>785</v>
      </c>
      <c r="K630" s="2" t="s">
        <v>357</v>
      </c>
      <c r="L630" s="3">
        <v>52.92</v>
      </c>
      <c r="M630" s="3">
        <v>55.57</v>
      </c>
      <c r="N630" s="3">
        <v>109.99</v>
      </c>
      <c r="O630" s="2" t="s">
        <v>97</v>
      </c>
      <c r="P630" s="2" t="s">
        <v>98</v>
      </c>
      <c r="Q630" s="2" t="s">
        <v>99</v>
      </c>
      <c r="R630" s="2" t="s">
        <v>100</v>
      </c>
      <c r="S630" s="2" t="s">
        <v>2432</v>
      </c>
      <c r="T630" s="2" t="s">
        <v>787</v>
      </c>
      <c r="U630" s="2" t="s">
        <v>676</v>
      </c>
      <c r="V630" s="2" t="s">
        <v>805</v>
      </c>
      <c r="W630" s="2" t="s">
        <v>551</v>
      </c>
      <c r="X630" s="2" t="s">
        <v>499</v>
      </c>
      <c r="Y630" s="2" t="s">
        <v>1673</v>
      </c>
      <c r="Z630" s="4">
        <v>234</v>
      </c>
      <c r="AA630" s="4">
        <f>=ROUNDDOWN(39,0)</f>
      </c>
      <c r="AB630" s="5">
        <v>6</v>
      </c>
      <c r="AC630" s="2" t="s">
        <v>100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/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6</v>
      </c>
      <c r="BK630" s="8">
        <v>373.62</v>
      </c>
      <c r="BL630" s="2" t="s">
        <v>2433</v>
      </c>
      <c r="BM630" s="7"/>
      <c r="BN630" s="7"/>
      <c r="BO630" s="4"/>
      <c r="BP630" s="8"/>
      <c r="BQ630" s="4"/>
      <c r="BR630" s="8"/>
      <c r="BS630" s="7"/>
      <c r="BT630" s="7"/>
      <c r="BU630" s="2" t="s">
        <v>109</v>
      </c>
      <c r="BV630" s="2" t="s">
        <v>97</v>
      </c>
      <c r="BW630" s="2" t="s">
        <v>566</v>
      </c>
      <c r="BX630" s="2" t="s">
        <v>884</v>
      </c>
      <c r="BY630" s="2" t="s">
        <v>112</v>
      </c>
      <c r="BZ630" s="2" t="s">
        <v>100</v>
      </c>
    </row>
    <row r="631">
      <c r="A631" s="2" t="s">
        <v>2434</v>
      </c>
      <c r="B631" s="2" t="s">
        <v>87</v>
      </c>
      <c r="C631" s="2" t="s">
        <v>88</v>
      </c>
      <c r="D631" s="2" t="s">
        <v>2230</v>
      </c>
      <c r="E631" s="2" t="s">
        <v>2393</v>
      </c>
      <c r="F631" s="2" t="s">
        <v>1667</v>
      </c>
      <c r="G631" s="2" t="s">
        <v>1668</v>
      </c>
      <c r="H631" s="2" t="s">
        <v>1669</v>
      </c>
      <c r="I631" s="2" t="s">
        <v>2419</v>
      </c>
      <c r="J631" s="2" t="s">
        <v>795</v>
      </c>
      <c r="K631" s="2" t="s">
        <v>357</v>
      </c>
      <c r="L631" s="3">
        <v>57.33</v>
      </c>
      <c r="M631" s="3">
        <v>60.2</v>
      </c>
      <c r="N631" s="3">
        <v>119.99</v>
      </c>
      <c r="O631" s="2" t="s">
        <v>97</v>
      </c>
      <c r="P631" s="2" t="s">
        <v>98</v>
      </c>
      <c r="Q631" s="2" t="s">
        <v>99</v>
      </c>
      <c r="R631" s="2" t="s">
        <v>100</v>
      </c>
      <c r="S631" s="2" t="s">
        <v>2432</v>
      </c>
      <c r="T631" s="2" t="s">
        <v>787</v>
      </c>
      <c r="U631" s="2" t="s">
        <v>676</v>
      </c>
      <c r="V631" s="2" t="s">
        <v>805</v>
      </c>
      <c r="W631" s="2" t="s">
        <v>551</v>
      </c>
      <c r="X631" s="2" t="s">
        <v>499</v>
      </c>
      <c r="Y631" s="2" t="s">
        <v>1673</v>
      </c>
      <c r="Z631" s="4">
        <v>295</v>
      </c>
      <c r="AA631" s="4">
        <f>=ROUNDDOWN(49.1666666666667,0)</f>
      </c>
      <c r="AB631" s="5">
        <v>6</v>
      </c>
      <c r="AC631" s="2" t="s">
        <v>100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/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 t="s">
        <v>100</v>
      </c>
      <c r="BJ631" s="4">
        <v>6</v>
      </c>
      <c r="BK631" s="8">
        <v>383.24</v>
      </c>
      <c r="BL631" s="2" t="s">
        <v>1803</v>
      </c>
      <c r="BM631" s="7"/>
      <c r="BN631" s="7"/>
      <c r="BO631" s="4"/>
      <c r="BP631" s="8"/>
      <c r="BQ631" s="4"/>
      <c r="BR631" s="8"/>
      <c r="BS631" s="7"/>
      <c r="BT631" s="7"/>
      <c r="BU631" s="2" t="s">
        <v>109</v>
      </c>
      <c r="BV631" s="2" t="s">
        <v>97</v>
      </c>
      <c r="BW631" s="2" t="s">
        <v>566</v>
      </c>
      <c r="BX631" s="2" t="s">
        <v>2435</v>
      </c>
      <c r="BY631" s="2" t="s">
        <v>112</v>
      </c>
      <c r="BZ631" s="2" t="s">
        <v>100</v>
      </c>
    </row>
    <row r="632">
      <c r="A632" s="2" t="s">
        <v>2436</v>
      </c>
      <c r="B632" s="2" t="s">
        <v>87</v>
      </c>
      <c r="C632" s="2" t="s">
        <v>88</v>
      </c>
      <c r="D632" s="2" t="s">
        <v>2230</v>
      </c>
      <c r="E632" s="2" t="s">
        <v>2393</v>
      </c>
      <c r="F632" s="2" t="s">
        <v>336</v>
      </c>
      <c r="G632" s="2" t="s">
        <v>337</v>
      </c>
      <c r="H632" s="2" t="s">
        <v>338</v>
      </c>
      <c r="I632" s="2" t="s">
        <v>2437</v>
      </c>
      <c r="J632" s="2" t="s">
        <v>785</v>
      </c>
      <c r="K632" s="2" t="s">
        <v>372</v>
      </c>
      <c r="L632" s="3">
        <v>63.7</v>
      </c>
      <c r="M632" s="3">
        <v>66.88</v>
      </c>
      <c r="N632" s="3">
        <v>129.99</v>
      </c>
      <c r="O632" s="2" t="s">
        <v>97</v>
      </c>
      <c r="P632" s="2" t="s">
        <v>242</v>
      </c>
      <c r="Q632" s="2" t="s">
        <v>99</v>
      </c>
      <c r="R632" s="2" t="s">
        <v>100</v>
      </c>
      <c r="S632" s="2" t="s">
        <v>2438</v>
      </c>
      <c r="T632" s="2" t="s">
        <v>100</v>
      </c>
      <c r="U632" s="2" t="s">
        <v>676</v>
      </c>
      <c r="V632" s="2" t="s">
        <v>344</v>
      </c>
      <c r="W632" s="2" t="s">
        <v>345</v>
      </c>
      <c r="X632" s="2" t="s">
        <v>346</v>
      </c>
      <c r="Y632" s="2" t="s">
        <v>131</v>
      </c>
      <c r="Z632" s="4">
        <v>115</v>
      </c>
      <c r="AA632" s="4">
        <f>=ROUNDDOWN(4.25925925925926,0)</f>
      </c>
      <c r="AB632" s="5">
        <v>27</v>
      </c>
      <c r="AC632" s="2" t="s">
        <v>347</v>
      </c>
      <c r="AD632" s="4">
        <v>100</v>
      </c>
      <c r="AE632" s="4">
        <v>760</v>
      </c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>
        <v>1</v>
      </c>
      <c r="AW632" s="8">
        <v>68.04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/>
      <c r="BC632" s="4">
        <v>1</v>
      </c>
      <c r="BD632" s="8">
        <v>68.04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>
        <v>1</v>
      </c>
      <c r="BJ632" s="4">
        <v>16</v>
      </c>
      <c r="BK632" s="8">
        <v>987</v>
      </c>
      <c r="BL632" s="2" t="s">
        <v>2439</v>
      </c>
      <c r="BM632" s="7"/>
      <c r="BN632" s="7"/>
      <c r="BO632" s="4"/>
      <c r="BP632" s="8"/>
      <c r="BQ632" s="4"/>
      <c r="BR632" s="8"/>
      <c r="BS632" s="7"/>
      <c r="BT632" s="7"/>
      <c r="BU632" s="2" t="s">
        <v>109</v>
      </c>
      <c r="BV632" s="2" t="s">
        <v>97</v>
      </c>
      <c r="BW632" s="2" t="s">
        <v>122</v>
      </c>
      <c r="BX632" s="2" t="s">
        <v>723</v>
      </c>
      <c r="BY632" s="2" t="s">
        <v>112</v>
      </c>
      <c r="BZ632" s="2" t="s">
        <v>100</v>
      </c>
    </row>
    <row r="633">
      <c r="A633" s="2" t="s">
        <v>2440</v>
      </c>
      <c r="B633" s="2" t="s">
        <v>87</v>
      </c>
      <c r="C633" s="2" t="s">
        <v>88</v>
      </c>
      <c r="D633" s="2" t="s">
        <v>2230</v>
      </c>
      <c r="E633" s="2" t="s">
        <v>2393</v>
      </c>
      <c r="F633" s="2" t="s">
        <v>336</v>
      </c>
      <c r="G633" s="2" t="s">
        <v>337</v>
      </c>
      <c r="H633" s="2" t="s">
        <v>338</v>
      </c>
      <c r="I633" s="2" t="s">
        <v>2437</v>
      </c>
      <c r="J633" s="2" t="s">
        <v>795</v>
      </c>
      <c r="K633" s="2" t="s">
        <v>372</v>
      </c>
      <c r="L633" s="3">
        <v>68.6</v>
      </c>
      <c r="M633" s="3">
        <v>72.02</v>
      </c>
      <c r="N633" s="3">
        <v>139.99</v>
      </c>
      <c r="O633" s="2" t="s">
        <v>97</v>
      </c>
      <c r="P633" s="2" t="s">
        <v>242</v>
      </c>
      <c r="Q633" s="2" t="s">
        <v>99</v>
      </c>
      <c r="R633" s="2" t="s">
        <v>100</v>
      </c>
      <c r="S633" s="2" t="s">
        <v>2438</v>
      </c>
      <c r="T633" s="2" t="s">
        <v>100</v>
      </c>
      <c r="U633" s="2" t="s">
        <v>676</v>
      </c>
      <c r="V633" s="2" t="s">
        <v>344</v>
      </c>
      <c r="W633" s="2" t="s">
        <v>345</v>
      </c>
      <c r="X633" s="2" t="s">
        <v>346</v>
      </c>
      <c r="Y633" s="2" t="s">
        <v>131</v>
      </c>
      <c r="Z633" s="4">
        <v>260</v>
      </c>
      <c r="AA633" s="4">
        <f>=ROUNDDOWN(7.22222222222222,0)</f>
      </c>
      <c r="AB633" s="5">
        <v>36</v>
      </c>
      <c r="AC633" s="2" t="s">
        <v>347</v>
      </c>
      <c r="AD633" s="4">
        <v>120</v>
      </c>
      <c r="AE633" s="4">
        <v>980</v>
      </c>
      <c r="AF633" s="6">
        <v>65</v>
      </c>
      <c r="AG633" s="6">
        <v>73</v>
      </c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1</v>
      </c>
      <c r="AQ633" s="8">
        <v>68.04</v>
      </c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1</v>
      </c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32</v>
      </c>
      <c r="BK633" s="8">
        <v>2176.61</v>
      </c>
      <c r="BL633" s="2" t="s">
        <v>1115</v>
      </c>
      <c r="BM633" s="7">
        <v>0.0312</v>
      </c>
      <c r="BN633" s="7">
        <v>0.0313</v>
      </c>
      <c r="BO633" s="4">
        <v>1</v>
      </c>
      <c r="BP633" s="8">
        <v>68.04</v>
      </c>
      <c r="BQ633" s="4"/>
      <c r="BR633" s="8"/>
      <c r="BS633" s="7"/>
      <c r="BT633" s="7"/>
      <c r="BU633" s="2" t="s">
        <v>109</v>
      </c>
      <c r="BV633" s="2" t="s">
        <v>97</v>
      </c>
      <c r="BW633" s="2" t="s">
        <v>122</v>
      </c>
      <c r="BX633" s="2" t="s">
        <v>2441</v>
      </c>
      <c r="BY633" s="2" t="s">
        <v>112</v>
      </c>
      <c r="BZ633" s="2" t="s">
        <v>100</v>
      </c>
    </row>
    <row r="634">
      <c r="A634" s="2" t="s">
        <v>2442</v>
      </c>
      <c r="B634" s="2" t="s">
        <v>87</v>
      </c>
      <c r="C634" s="2" t="s">
        <v>88</v>
      </c>
      <c r="D634" s="2" t="s">
        <v>2230</v>
      </c>
      <c r="E634" s="2" t="s">
        <v>2393</v>
      </c>
      <c r="F634" s="2" t="s">
        <v>336</v>
      </c>
      <c r="G634" s="2" t="s">
        <v>337</v>
      </c>
      <c r="H634" s="2" t="s">
        <v>338</v>
      </c>
      <c r="I634" s="2" t="s">
        <v>2437</v>
      </c>
      <c r="J634" s="2" t="s">
        <v>785</v>
      </c>
      <c r="K634" s="2" t="s">
        <v>340</v>
      </c>
      <c r="L634" s="3">
        <v>63.7</v>
      </c>
      <c r="M634" s="3">
        <v>66.88</v>
      </c>
      <c r="N634" s="3">
        <v>129.99</v>
      </c>
      <c r="O634" s="2" t="s">
        <v>97</v>
      </c>
      <c r="P634" s="2" t="s">
        <v>341</v>
      </c>
      <c r="Q634" s="2" t="s">
        <v>99</v>
      </c>
      <c r="R634" s="2" t="s">
        <v>100</v>
      </c>
      <c r="S634" s="2" t="s">
        <v>342</v>
      </c>
      <c r="T634" s="2" t="s">
        <v>100</v>
      </c>
      <c r="U634" s="2" t="s">
        <v>676</v>
      </c>
      <c r="V634" s="2" t="s">
        <v>344</v>
      </c>
      <c r="W634" s="2" t="s">
        <v>345</v>
      </c>
      <c r="X634" s="2" t="s">
        <v>346</v>
      </c>
      <c r="Y634" s="2" t="s">
        <v>131</v>
      </c>
      <c r="Z634" s="4">
        <v>937</v>
      </c>
      <c r="AA634" s="4">
        <f>=ROUNDDOWN(6.50694444444444,0)</f>
      </c>
      <c r="AB634" s="5">
        <v>144</v>
      </c>
      <c r="AC634" s="2" t="s">
        <v>347</v>
      </c>
      <c r="AD634" s="4">
        <v>300</v>
      </c>
      <c r="AE634" s="4">
        <v>3720</v>
      </c>
      <c r="AF634" s="6">
        <v>65</v>
      </c>
      <c r="AG634" s="6">
        <v>73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/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163</v>
      </c>
      <c r="BK634" s="8">
        <v>10252.93</v>
      </c>
      <c r="BL634" s="2" t="s">
        <v>685</v>
      </c>
      <c r="BM634" s="7"/>
      <c r="BN634" s="7"/>
      <c r="BO634" s="4"/>
      <c r="BP634" s="8"/>
      <c r="BQ634" s="4"/>
      <c r="BR634" s="8"/>
      <c r="BS634" s="7"/>
      <c r="BT634" s="7"/>
      <c r="BU634" s="2" t="s">
        <v>109</v>
      </c>
      <c r="BV634" s="2" t="s">
        <v>97</v>
      </c>
      <c r="BW634" s="2" t="s">
        <v>1159</v>
      </c>
      <c r="BX634" s="2" t="s">
        <v>2443</v>
      </c>
      <c r="BY634" s="2" t="s">
        <v>112</v>
      </c>
      <c r="BZ634" s="2" t="s">
        <v>100</v>
      </c>
    </row>
    <row r="635">
      <c r="A635" s="2" t="s">
        <v>2444</v>
      </c>
      <c r="B635" s="2" t="s">
        <v>87</v>
      </c>
      <c r="C635" s="2" t="s">
        <v>88</v>
      </c>
      <c r="D635" s="2" t="s">
        <v>2230</v>
      </c>
      <c r="E635" s="2" t="s">
        <v>2393</v>
      </c>
      <c r="F635" s="2" t="s">
        <v>336</v>
      </c>
      <c r="G635" s="2" t="s">
        <v>337</v>
      </c>
      <c r="H635" s="2" t="s">
        <v>338</v>
      </c>
      <c r="I635" s="2" t="s">
        <v>2437</v>
      </c>
      <c r="J635" s="2" t="s">
        <v>795</v>
      </c>
      <c r="K635" s="2" t="s">
        <v>340</v>
      </c>
      <c r="L635" s="3">
        <v>68.6</v>
      </c>
      <c r="M635" s="3">
        <v>72.02</v>
      </c>
      <c r="N635" s="3">
        <v>139.99</v>
      </c>
      <c r="O635" s="2" t="s">
        <v>97</v>
      </c>
      <c r="P635" s="2" t="s">
        <v>341</v>
      </c>
      <c r="Q635" s="2" t="s">
        <v>99</v>
      </c>
      <c r="R635" s="2" t="s">
        <v>100</v>
      </c>
      <c r="S635" s="2" t="s">
        <v>342</v>
      </c>
      <c r="T635" s="2" t="s">
        <v>100</v>
      </c>
      <c r="U635" s="2" t="s">
        <v>676</v>
      </c>
      <c r="V635" s="2" t="s">
        <v>344</v>
      </c>
      <c r="W635" s="2" t="s">
        <v>345</v>
      </c>
      <c r="X635" s="2" t="s">
        <v>346</v>
      </c>
      <c r="Y635" s="2" t="s">
        <v>131</v>
      </c>
      <c r="Z635" s="4">
        <v>2218</v>
      </c>
      <c r="AA635" s="4">
        <f>=ROUNDDOWN(12.4606741573034,0)</f>
      </c>
      <c r="AB635" s="5">
        <v>178</v>
      </c>
      <c r="AC635" s="2" t="s">
        <v>347</v>
      </c>
      <c r="AD635" s="4">
        <v>100</v>
      </c>
      <c r="AE635" s="4">
        <v>5050</v>
      </c>
      <c r="AF635" s="6">
        <v>65</v>
      </c>
      <c r="AG635" s="6">
        <v>73</v>
      </c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/>
      <c r="AQ635" s="8"/>
      <c r="AR635" s="4"/>
      <c r="AS635" s="8"/>
      <c r="AT635" s="7"/>
      <c r="AU635" s="7"/>
      <c r="AV635" s="4" t="s">
        <v>100</v>
      </c>
      <c r="AW635" s="8" t="s">
        <v>100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/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 t="s">
        <v>100</v>
      </c>
      <c r="BJ635" s="4">
        <v>161</v>
      </c>
      <c r="BK635" s="8">
        <v>11070.81</v>
      </c>
      <c r="BL635" s="2" t="s">
        <v>2445</v>
      </c>
      <c r="BM635" s="7"/>
      <c r="BN635" s="7"/>
      <c r="BO635" s="4"/>
      <c r="BP635" s="8"/>
      <c r="BQ635" s="4"/>
      <c r="BR635" s="8"/>
      <c r="BS635" s="7"/>
      <c r="BT635" s="7"/>
      <c r="BU635" s="2" t="s">
        <v>109</v>
      </c>
      <c r="BV635" s="2" t="s">
        <v>97</v>
      </c>
      <c r="BW635" s="2" t="s">
        <v>1159</v>
      </c>
      <c r="BX635" s="2" t="s">
        <v>442</v>
      </c>
      <c r="BY635" s="2" t="s">
        <v>112</v>
      </c>
      <c r="BZ635" s="2" t="s">
        <v>100</v>
      </c>
    </row>
    <row r="636">
      <c r="A636" s="2" t="s">
        <v>2446</v>
      </c>
      <c r="B636" s="2" t="s">
        <v>87</v>
      </c>
      <c r="C636" s="2" t="s">
        <v>88</v>
      </c>
      <c r="D636" s="2" t="s">
        <v>2230</v>
      </c>
      <c r="E636" s="2" t="s">
        <v>2393</v>
      </c>
      <c r="F636" s="2" t="s">
        <v>336</v>
      </c>
      <c r="G636" s="2" t="s">
        <v>337</v>
      </c>
      <c r="H636" s="2" t="s">
        <v>338</v>
      </c>
      <c r="I636" s="2" t="s">
        <v>2437</v>
      </c>
      <c r="J636" s="2" t="s">
        <v>785</v>
      </c>
      <c r="K636" s="2" t="s">
        <v>96</v>
      </c>
      <c r="L636" s="3">
        <v>63.7</v>
      </c>
      <c r="M636" s="3">
        <v>66.88</v>
      </c>
      <c r="N636" s="3">
        <v>129.99</v>
      </c>
      <c r="O636" s="2" t="s">
        <v>97</v>
      </c>
      <c r="P636" s="2" t="s">
        <v>242</v>
      </c>
      <c r="Q636" s="2" t="s">
        <v>99</v>
      </c>
      <c r="R636" s="2" t="s">
        <v>100</v>
      </c>
      <c r="S636" s="2" t="s">
        <v>384</v>
      </c>
      <c r="T636" s="2" t="s">
        <v>100</v>
      </c>
      <c r="U636" s="2" t="s">
        <v>676</v>
      </c>
      <c r="V636" s="2" t="s">
        <v>344</v>
      </c>
      <c r="W636" s="2" t="s">
        <v>345</v>
      </c>
      <c r="X636" s="2" t="s">
        <v>346</v>
      </c>
      <c r="Y636" s="2" t="s">
        <v>385</v>
      </c>
      <c r="Z636" s="4">
        <v>289</v>
      </c>
      <c r="AA636" s="4">
        <f>=ROUNDDOWN(6.72093023255814,0)</f>
      </c>
      <c r="AB636" s="5">
        <v>43</v>
      </c>
      <c r="AC636" s="2" t="s">
        <v>347</v>
      </c>
      <c r="AD636" s="4">
        <v>250</v>
      </c>
      <c r="AE636" s="4">
        <v>1700</v>
      </c>
      <c r="AF636" s="6">
        <v>65</v>
      </c>
      <c r="AG636" s="6">
        <v>73</v>
      </c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31</v>
      </c>
      <c r="BK636" s="8">
        <v>2043.95</v>
      </c>
      <c r="BL636" s="2" t="s">
        <v>2447</v>
      </c>
      <c r="BM636" s="7"/>
      <c r="BN636" s="7"/>
      <c r="BO636" s="4"/>
      <c r="BP636" s="8"/>
      <c r="BQ636" s="4"/>
      <c r="BR636" s="8"/>
      <c r="BS636" s="7"/>
      <c r="BT636" s="7"/>
      <c r="BU636" s="2" t="s">
        <v>109</v>
      </c>
      <c r="BV636" s="2" t="s">
        <v>97</v>
      </c>
      <c r="BW636" s="2" t="s">
        <v>266</v>
      </c>
      <c r="BX636" s="2" t="s">
        <v>2448</v>
      </c>
      <c r="BY636" s="2" t="s">
        <v>112</v>
      </c>
      <c r="BZ636" s="2" t="s">
        <v>100</v>
      </c>
    </row>
    <row r="637">
      <c r="A637" s="2" t="s">
        <v>2449</v>
      </c>
      <c r="B637" s="2" t="s">
        <v>87</v>
      </c>
      <c r="C637" s="2" t="s">
        <v>88</v>
      </c>
      <c r="D637" s="2" t="s">
        <v>2230</v>
      </c>
      <c r="E637" s="2" t="s">
        <v>2393</v>
      </c>
      <c r="F637" s="2" t="s">
        <v>336</v>
      </c>
      <c r="G637" s="2" t="s">
        <v>337</v>
      </c>
      <c r="H637" s="2" t="s">
        <v>338</v>
      </c>
      <c r="I637" s="2" t="s">
        <v>2437</v>
      </c>
      <c r="J637" s="2" t="s">
        <v>795</v>
      </c>
      <c r="K637" s="2" t="s">
        <v>96</v>
      </c>
      <c r="L637" s="3">
        <v>68.6</v>
      </c>
      <c r="M637" s="3">
        <v>72.02</v>
      </c>
      <c r="N637" s="3">
        <v>139.99</v>
      </c>
      <c r="O637" s="2" t="s">
        <v>97</v>
      </c>
      <c r="P637" s="2" t="s">
        <v>242</v>
      </c>
      <c r="Q637" s="2" t="s">
        <v>99</v>
      </c>
      <c r="R637" s="2" t="s">
        <v>100</v>
      </c>
      <c r="S637" s="2" t="s">
        <v>384</v>
      </c>
      <c r="T637" s="2" t="s">
        <v>100</v>
      </c>
      <c r="U637" s="2" t="s">
        <v>676</v>
      </c>
      <c r="V637" s="2" t="s">
        <v>344</v>
      </c>
      <c r="W637" s="2" t="s">
        <v>345</v>
      </c>
      <c r="X637" s="2" t="s">
        <v>346</v>
      </c>
      <c r="Y637" s="2" t="s">
        <v>385</v>
      </c>
      <c r="Z637" s="4">
        <v>462</v>
      </c>
      <c r="AA637" s="4">
        <f>=ROUNDDOWN(8.4,0)</f>
      </c>
      <c r="AB637" s="5">
        <v>55</v>
      </c>
      <c r="AC637" s="2" t="s">
        <v>347</v>
      </c>
      <c r="AD637" s="4">
        <v>200</v>
      </c>
      <c r="AE637" s="4">
        <v>1800</v>
      </c>
      <c r="AF637" s="6">
        <v>65</v>
      </c>
      <c r="AG637" s="6">
        <v>73</v>
      </c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/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40</v>
      </c>
      <c r="BK637" s="8">
        <v>2750.56</v>
      </c>
      <c r="BL637" s="2" t="s">
        <v>2450</v>
      </c>
      <c r="BM637" s="7"/>
      <c r="BN637" s="7"/>
      <c r="BO637" s="4"/>
      <c r="BP637" s="8"/>
      <c r="BQ637" s="4"/>
      <c r="BR637" s="8"/>
      <c r="BS637" s="7"/>
      <c r="BT637" s="7"/>
      <c r="BU637" s="2" t="s">
        <v>109</v>
      </c>
      <c r="BV637" s="2" t="s">
        <v>97</v>
      </c>
      <c r="BW637" s="2" t="s">
        <v>266</v>
      </c>
      <c r="BX637" s="2" t="s">
        <v>389</v>
      </c>
      <c r="BY637" s="2" t="s">
        <v>112</v>
      </c>
      <c r="BZ637" s="2" t="s">
        <v>100</v>
      </c>
    </row>
    <row r="638">
      <c r="A638" s="2" t="s">
        <v>2451</v>
      </c>
      <c r="B638" s="2" t="s">
        <v>87</v>
      </c>
      <c r="C638" s="2" t="s">
        <v>88</v>
      </c>
      <c r="D638" s="2" t="s">
        <v>2230</v>
      </c>
      <c r="E638" s="2" t="s">
        <v>2393</v>
      </c>
      <c r="F638" s="2" t="s">
        <v>336</v>
      </c>
      <c r="G638" s="2" t="s">
        <v>337</v>
      </c>
      <c r="H638" s="2" t="s">
        <v>338</v>
      </c>
      <c r="I638" s="2" t="s">
        <v>2437</v>
      </c>
      <c r="J638" s="2" t="s">
        <v>785</v>
      </c>
      <c r="K638" s="2" t="s">
        <v>357</v>
      </c>
      <c r="L638" s="3">
        <v>63.7</v>
      </c>
      <c r="M638" s="3">
        <v>66.88</v>
      </c>
      <c r="N638" s="3">
        <v>129.99</v>
      </c>
      <c r="O638" s="2" t="s">
        <v>97</v>
      </c>
      <c r="P638" s="2" t="s">
        <v>242</v>
      </c>
      <c r="Q638" s="2" t="s">
        <v>99</v>
      </c>
      <c r="R638" s="2" t="s">
        <v>100</v>
      </c>
      <c r="S638" s="2" t="s">
        <v>2452</v>
      </c>
      <c r="T638" s="2" t="s">
        <v>359</v>
      </c>
      <c r="U638" s="2" t="s">
        <v>676</v>
      </c>
      <c r="V638" s="2" t="s">
        <v>344</v>
      </c>
      <c r="W638" s="2" t="s">
        <v>345</v>
      </c>
      <c r="X638" s="2" t="s">
        <v>346</v>
      </c>
      <c r="Y638" s="2" t="s">
        <v>360</v>
      </c>
      <c r="Z638" s="4">
        <v>292</v>
      </c>
      <c r="AA638" s="4">
        <f>=ROUNDDOWN(7.48717948717949,0)</f>
      </c>
      <c r="AB638" s="5">
        <v>39</v>
      </c>
      <c r="AC638" s="2" t="s">
        <v>900</v>
      </c>
      <c r="AD638" s="4">
        <v>200</v>
      </c>
      <c r="AE638" s="4">
        <v>1240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/>
      <c r="AQ638" s="8"/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44</v>
      </c>
      <c r="BK638" s="8">
        <v>2892.37</v>
      </c>
      <c r="BL638" s="2" t="s">
        <v>2453</v>
      </c>
      <c r="BM638" s="7"/>
      <c r="BN638" s="7"/>
      <c r="BO638" s="4"/>
      <c r="BP638" s="8"/>
      <c r="BQ638" s="4"/>
      <c r="BR638" s="8"/>
      <c r="BS638" s="7"/>
      <c r="BT638" s="7"/>
      <c r="BU638" s="2" t="s">
        <v>109</v>
      </c>
      <c r="BV638" s="2" t="s">
        <v>97</v>
      </c>
      <c r="BW638" s="2" t="s">
        <v>266</v>
      </c>
      <c r="BX638" s="2" t="s">
        <v>389</v>
      </c>
      <c r="BY638" s="2" t="s">
        <v>112</v>
      </c>
      <c r="BZ638" s="2" t="s">
        <v>100</v>
      </c>
    </row>
    <row r="639">
      <c r="A639" s="2" t="s">
        <v>2454</v>
      </c>
      <c r="B639" s="2" t="s">
        <v>87</v>
      </c>
      <c r="C639" s="2" t="s">
        <v>88</v>
      </c>
      <c r="D639" s="2" t="s">
        <v>2230</v>
      </c>
      <c r="E639" s="2" t="s">
        <v>2393</v>
      </c>
      <c r="F639" s="2" t="s">
        <v>336</v>
      </c>
      <c r="G639" s="2" t="s">
        <v>337</v>
      </c>
      <c r="H639" s="2" t="s">
        <v>338</v>
      </c>
      <c r="I639" s="2" t="s">
        <v>2437</v>
      </c>
      <c r="J639" s="2" t="s">
        <v>795</v>
      </c>
      <c r="K639" s="2" t="s">
        <v>357</v>
      </c>
      <c r="L639" s="3">
        <v>68.6</v>
      </c>
      <c r="M639" s="3">
        <v>72.02</v>
      </c>
      <c r="N639" s="3">
        <v>139.99</v>
      </c>
      <c r="O639" s="2" t="s">
        <v>97</v>
      </c>
      <c r="P639" s="2" t="s">
        <v>242</v>
      </c>
      <c r="Q639" s="2" t="s">
        <v>99</v>
      </c>
      <c r="R639" s="2" t="s">
        <v>100</v>
      </c>
      <c r="S639" s="2" t="s">
        <v>2452</v>
      </c>
      <c r="T639" s="2" t="s">
        <v>359</v>
      </c>
      <c r="U639" s="2" t="s">
        <v>676</v>
      </c>
      <c r="V639" s="2" t="s">
        <v>344</v>
      </c>
      <c r="W639" s="2" t="s">
        <v>345</v>
      </c>
      <c r="X639" s="2" t="s">
        <v>346</v>
      </c>
      <c r="Y639" s="2" t="s">
        <v>360</v>
      </c>
      <c r="Z639" s="4">
        <v>710</v>
      </c>
      <c r="AA639" s="4">
        <f>=ROUNDDOWN(18.2051282051282,0)</f>
      </c>
      <c r="AB639" s="5">
        <v>39</v>
      </c>
      <c r="AC639" s="2" t="s">
        <v>361</v>
      </c>
      <c r="AD639" s="4">
        <v>100</v>
      </c>
      <c r="AE639" s="4">
        <v>950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34</v>
      </c>
      <c r="BK639" s="8">
        <v>2402</v>
      </c>
      <c r="BL639" s="2" t="s">
        <v>2455</v>
      </c>
      <c r="BM639" s="7"/>
      <c r="BN639" s="7"/>
      <c r="BO639" s="4"/>
      <c r="BP639" s="8"/>
      <c r="BQ639" s="4"/>
      <c r="BR639" s="8"/>
      <c r="BS639" s="7"/>
      <c r="BT639" s="7"/>
      <c r="BU639" s="2" t="s">
        <v>109</v>
      </c>
      <c r="BV639" s="2" t="s">
        <v>97</v>
      </c>
      <c r="BW639" s="2" t="s">
        <v>266</v>
      </c>
      <c r="BX639" s="2" t="s">
        <v>779</v>
      </c>
      <c r="BY639" s="2" t="s">
        <v>112</v>
      </c>
      <c r="BZ639" s="2" t="s">
        <v>100</v>
      </c>
    </row>
    <row r="640">
      <c r="A640" s="2" t="s">
        <v>2456</v>
      </c>
      <c r="B640" s="2" t="s">
        <v>87</v>
      </c>
      <c r="C640" s="2" t="s">
        <v>88</v>
      </c>
      <c r="D640" s="2" t="s">
        <v>2230</v>
      </c>
      <c r="E640" s="2" t="s">
        <v>2393</v>
      </c>
      <c r="F640" s="2" t="s">
        <v>2457</v>
      </c>
      <c r="G640" s="2" t="s">
        <v>2458</v>
      </c>
      <c r="H640" s="2" t="s">
        <v>2459</v>
      </c>
      <c r="I640" s="2" t="s">
        <v>2419</v>
      </c>
      <c r="J640" s="2" t="s">
        <v>795</v>
      </c>
      <c r="K640" s="2" t="s">
        <v>763</v>
      </c>
      <c r="L640" s="3">
        <v>63.7</v>
      </c>
      <c r="M640" s="3">
        <v>66.88</v>
      </c>
      <c r="N640" s="3">
        <v>129.99</v>
      </c>
      <c r="O640" s="2" t="s">
        <v>97</v>
      </c>
      <c r="P640" s="2" t="s">
        <v>447</v>
      </c>
      <c r="Q640" s="2" t="s">
        <v>99</v>
      </c>
      <c r="R640" s="2" t="s">
        <v>100</v>
      </c>
      <c r="S640" s="2" t="s">
        <v>2460</v>
      </c>
      <c r="T640" s="2" t="s">
        <v>100</v>
      </c>
      <c r="U640" s="2" t="s">
        <v>676</v>
      </c>
      <c r="V640" s="2" t="s">
        <v>632</v>
      </c>
      <c r="W640" s="2" t="s">
        <v>104</v>
      </c>
      <c r="X640" s="2" t="s">
        <v>2461</v>
      </c>
      <c r="Y640" s="2" t="s">
        <v>131</v>
      </c>
      <c r="Z640" s="4">
        <v>107</v>
      </c>
      <c r="AA640" s="4">
        <f>=ROUNDDOWN(13.375,0)</f>
      </c>
      <c r="AB640" s="5">
        <v>8</v>
      </c>
      <c r="AC640" s="2" t="s">
        <v>100</v>
      </c>
      <c r="AD640" s="4"/>
      <c r="AE640" s="4"/>
      <c r="AF640" s="6">
        <v>65</v>
      </c>
      <c r="AG640" s="6">
        <v>48</v>
      </c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1</v>
      </c>
      <c r="AQ640" s="8">
        <v>65.6</v>
      </c>
      <c r="AR640" s="4"/>
      <c r="AS640" s="8"/>
      <c r="AT640" s="7"/>
      <c r="AU640" s="7"/>
      <c r="AV640" s="4">
        <v>1</v>
      </c>
      <c r="AW640" s="8">
        <v>65.6</v>
      </c>
      <c r="AX640" s="4"/>
      <c r="AY640" s="8"/>
      <c r="AZ640" s="7"/>
      <c r="BA640" s="7"/>
      <c r="BB640" s="7">
        <v>1</v>
      </c>
      <c r="BC640" s="4">
        <v>1</v>
      </c>
      <c r="BD640" s="8">
        <v>65.6</v>
      </c>
      <c r="BE640" s="4"/>
      <c r="BF640" s="8"/>
      <c r="BG640" s="7"/>
      <c r="BH640" s="7"/>
      <c r="BI640" s="7">
        <v>1</v>
      </c>
      <c r="BJ640" s="4">
        <v>14</v>
      </c>
      <c r="BK640" s="8">
        <v>558.68</v>
      </c>
      <c r="BL640" s="2" t="s">
        <v>2241</v>
      </c>
      <c r="BM640" s="7">
        <v>0.0714</v>
      </c>
      <c r="BN640" s="7">
        <v>0.1174</v>
      </c>
      <c r="BO640" s="4">
        <v>1</v>
      </c>
      <c r="BP640" s="8">
        <v>65.6</v>
      </c>
      <c r="BQ640" s="4"/>
      <c r="BR640" s="8"/>
      <c r="BS640" s="7"/>
      <c r="BT640" s="7"/>
      <c r="BU640" s="2" t="s">
        <v>109</v>
      </c>
      <c r="BV640" s="2" t="s">
        <v>97</v>
      </c>
      <c r="BW640" s="2" t="s">
        <v>122</v>
      </c>
      <c r="BX640" s="2" t="s">
        <v>225</v>
      </c>
      <c r="BY640" s="2" t="s">
        <v>112</v>
      </c>
      <c r="BZ640" s="2" t="s">
        <v>100</v>
      </c>
    </row>
    <row r="641">
      <c r="A641" s="2" t="s">
        <v>2462</v>
      </c>
      <c r="B641" s="2" t="s">
        <v>87</v>
      </c>
      <c r="C641" s="2" t="s">
        <v>88</v>
      </c>
      <c r="D641" s="2" t="s">
        <v>2230</v>
      </c>
      <c r="E641" s="2" t="s">
        <v>2393</v>
      </c>
      <c r="F641" s="2" t="s">
        <v>836</v>
      </c>
      <c r="G641" s="2" t="s">
        <v>837</v>
      </c>
      <c r="H641" s="2" t="s">
        <v>838</v>
      </c>
      <c r="I641" s="2" t="s">
        <v>2463</v>
      </c>
      <c r="J641" s="2" t="s">
        <v>785</v>
      </c>
      <c r="K641" s="2" t="s">
        <v>163</v>
      </c>
      <c r="L641" s="3">
        <v>48</v>
      </c>
      <c r="M641" s="3">
        <v>50.39</v>
      </c>
      <c r="N641" s="3">
        <v>99.99</v>
      </c>
      <c r="O641" s="2" t="s">
        <v>97</v>
      </c>
      <c r="P641" s="2" t="s">
        <v>98</v>
      </c>
      <c r="Q641" s="2" t="s">
        <v>99</v>
      </c>
      <c r="R641" s="2" t="s">
        <v>100</v>
      </c>
      <c r="S641" s="2" t="s">
        <v>2464</v>
      </c>
      <c r="T641" s="2" t="s">
        <v>100</v>
      </c>
      <c r="U641" s="2" t="s">
        <v>1459</v>
      </c>
      <c r="V641" s="2" t="s">
        <v>734</v>
      </c>
      <c r="W641" s="2" t="s">
        <v>244</v>
      </c>
      <c r="X641" s="2" t="s">
        <v>285</v>
      </c>
      <c r="Y641" s="2" t="s">
        <v>2465</v>
      </c>
      <c r="Z641" s="4">
        <v>139</v>
      </c>
      <c r="AA641" s="4">
        <f>=ROUNDDOWN(8.17647058823529,0)</f>
      </c>
      <c r="AB641" s="5">
        <v>17</v>
      </c>
      <c r="AC641" s="2" t="s">
        <v>840</v>
      </c>
      <c r="AD641" s="4">
        <v>50</v>
      </c>
      <c r="AE641" s="4">
        <v>400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>
        <v>1</v>
      </c>
      <c r="AQ641" s="8">
        <v>50.73</v>
      </c>
      <c r="AR641" s="4"/>
      <c r="AS641" s="8"/>
      <c r="AT641" s="7"/>
      <c r="AU641" s="7"/>
      <c r="AV641" s="4">
        <v>1</v>
      </c>
      <c r="AW641" s="8">
        <v>50.73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1</v>
      </c>
      <c r="BC641" s="4">
        <v>1</v>
      </c>
      <c r="BD641" s="8">
        <v>50.73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>
        <v>1</v>
      </c>
      <c r="BJ641" s="4">
        <v>20</v>
      </c>
      <c r="BK641" s="8">
        <v>1047.13</v>
      </c>
      <c r="BL641" s="2" t="s">
        <v>1115</v>
      </c>
      <c r="BM641" s="7">
        <v>0.05</v>
      </c>
      <c r="BN641" s="7">
        <v>0.0484</v>
      </c>
      <c r="BO641" s="4">
        <v>1</v>
      </c>
      <c r="BP641" s="8">
        <v>50.73</v>
      </c>
      <c r="BQ641" s="4"/>
      <c r="BR641" s="8"/>
      <c r="BS641" s="7"/>
      <c r="BT641" s="7"/>
      <c r="BU641" s="2" t="s">
        <v>109</v>
      </c>
      <c r="BV641" s="2" t="s">
        <v>97</v>
      </c>
      <c r="BW641" s="2" t="s">
        <v>312</v>
      </c>
      <c r="BX641" s="2" t="s">
        <v>2466</v>
      </c>
      <c r="BY641" s="2" t="s">
        <v>112</v>
      </c>
      <c r="BZ641" s="2" t="s">
        <v>100</v>
      </c>
    </row>
    <row r="642">
      <c r="A642" s="2" t="s">
        <v>2467</v>
      </c>
      <c r="B642" s="2" t="s">
        <v>87</v>
      </c>
      <c r="C642" s="2" t="s">
        <v>88</v>
      </c>
      <c r="D642" s="2" t="s">
        <v>2230</v>
      </c>
      <c r="E642" s="2" t="s">
        <v>2393</v>
      </c>
      <c r="F642" s="2" t="s">
        <v>836</v>
      </c>
      <c r="G642" s="2" t="s">
        <v>837</v>
      </c>
      <c r="H642" s="2" t="s">
        <v>838</v>
      </c>
      <c r="I642" s="2" t="s">
        <v>2463</v>
      </c>
      <c r="J642" s="2" t="s">
        <v>795</v>
      </c>
      <c r="K642" s="2" t="s">
        <v>163</v>
      </c>
      <c r="L642" s="3">
        <v>52.8</v>
      </c>
      <c r="M642" s="3">
        <v>55.43</v>
      </c>
      <c r="N642" s="3">
        <v>109.99</v>
      </c>
      <c r="O642" s="2" t="s">
        <v>97</v>
      </c>
      <c r="P642" s="2" t="s">
        <v>98</v>
      </c>
      <c r="Q642" s="2" t="s">
        <v>99</v>
      </c>
      <c r="R642" s="2" t="s">
        <v>100</v>
      </c>
      <c r="S642" s="2" t="s">
        <v>2464</v>
      </c>
      <c r="T642" s="2" t="s">
        <v>100</v>
      </c>
      <c r="U642" s="2" t="s">
        <v>1459</v>
      </c>
      <c r="V642" s="2" t="s">
        <v>734</v>
      </c>
      <c r="W642" s="2" t="s">
        <v>244</v>
      </c>
      <c r="X642" s="2" t="s">
        <v>285</v>
      </c>
      <c r="Y642" s="2" t="s">
        <v>2465</v>
      </c>
      <c r="Z642" s="4">
        <v>67</v>
      </c>
      <c r="AA642" s="4">
        <f>=ROUNDDOWN(3.22115384615385,0)</f>
      </c>
      <c r="AB642" s="5">
        <v>20.8</v>
      </c>
      <c r="AC642" s="2" t="s">
        <v>1595</v>
      </c>
      <c r="AD642" s="4">
        <v>70</v>
      </c>
      <c r="AE642" s="4">
        <v>570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/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 t="s">
        <v>100</v>
      </c>
      <c r="BJ642" s="4">
        <v>14</v>
      </c>
      <c r="BK642" s="8">
        <v>794.99</v>
      </c>
      <c r="BL642" s="2" t="s">
        <v>2468</v>
      </c>
      <c r="BM642" s="7"/>
      <c r="BN642" s="7"/>
      <c r="BO642" s="4"/>
      <c r="BP642" s="8"/>
      <c r="BQ642" s="4"/>
      <c r="BR642" s="8"/>
      <c r="BS642" s="7"/>
      <c r="BT642" s="7"/>
      <c r="BU642" s="2" t="s">
        <v>109</v>
      </c>
      <c r="BV642" s="2" t="s">
        <v>97</v>
      </c>
      <c r="BW642" s="2" t="s">
        <v>312</v>
      </c>
      <c r="BX642" s="2" t="s">
        <v>2435</v>
      </c>
      <c r="BY642" s="2" t="s">
        <v>112</v>
      </c>
      <c r="BZ642" s="2" t="s">
        <v>100</v>
      </c>
    </row>
    <row r="643">
      <c r="A643" s="2" t="s">
        <v>2469</v>
      </c>
      <c r="B643" s="2" t="s">
        <v>87</v>
      </c>
      <c r="C643" s="2" t="s">
        <v>88</v>
      </c>
      <c r="D643" s="2" t="s">
        <v>2230</v>
      </c>
      <c r="E643" s="2" t="s">
        <v>2393</v>
      </c>
      <c r="F643" s="2" t="s">
        <v>836</v>
      </c>
      <c r="G643" s="2" t="s">
        <v>837</v>
      </c>
      <c r="H643" s="2" t="s">
        <v>838</v>
      </c>
      <c r="I643" s="2" t="s">
        <v>2463</v>
      </c>
      <c r="J643" s="2" t="s">
        <v>785</v>
      </c>
      <c r="K643" s="2" t="s">
        <v>146</v>
      </c>
      <c r="L643" s="3">
        <v>48</v>
      </c>
      <c r="M643" s="3">
        <v>50.39</v>
      </c>
      <c r="N643" s="3">
        <v>99.99</v>
      </c>
      <c r="O643" s="2" t="s">
        <v>97</v>
      </c>
      <c r="P643" s="2" t="s">
        <v>447</v>
      </c>
      <c r="Q643" s="2" t="s">
        <v>99</v>
      </c>
      <c r="R643" s="2" t="s">
        <v>100</v>
      </c>
      <c r="S643" s="2" t="s">
        <v>848</v>
      </c>
      <c r="T643" s="2" t="s">
        <v>100</v>
      </c>
      <c r="U643" s="2" t="s">
        <v>1459</v>
      </c>
      <c r="V643" s="2" t="s">
        <v>734</v>
      </c>
      <c r="W643" s="2" t="s">
        <v>244</v>
      </c>
      <c r="X643" s="2" t="s">
        <v>285</v>
      </c>
      <c r="Y643" s="2" t="s">
        <v>249</v>
      </c>
      <c r="Z643" s="4"/>
      <c r="AA643" s="4">
        <f>=ROUNDDOWN({0},0)</f>
      </c>
      <c r="AB643" s="5">
        <v>5</v>
      </c>
      <c r="AC643" s="2" t="s">
        <v>100</v>
      </c>
      <c r="AD643" s="4"/>
      <c r="AE643" s="4"/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/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8</v>
      </c>
      <c r="BK643" s="8">
        <v>401.58</v>
      </c>
      <c r="BL643" s="2" t="s">
        <v>2470</v>
      </c>
      <c r="BM643" s="7"/>
      <c r="BN643" s="7"/>
      <c r="BO643" s="4"/>
      <c r="BP643" s="8"/>
      <c r="BQ643" s="4"/>
      <c r="BR643" s="8"/>
      <c r="BS643" s="7"/>
      <c r="BT643" s="7"/>
      <c r="BU643" s="2" t="s">
        <v>109</v>
      </c>
      <c r="BV643" s="2" t="s">
        <v>97</v>
      </c>
      <c r="BW643" s="2" t="s">
        <v>326</v>
      </c>
      <c r="BX643" s="2" t="s">
        <v>327</v>
      </c>
      <c r="BY643" s="2" t="s">
        <v>112</v>
      </c>
      <c r="BZ643" s="2" t="s">
        <v>100</v>
      </c>
    </row>
    <row r="644">
      <c r="A644" s="2" t="s">
        <v>2471</v>
      </c>
      <c r="B644" s="2" t="s">
        <v>87</v>
      </c>
      <c r="C644" s="2" t="s">
        <v>88</v>
      </c>
      <c r="D644" s="2" t="s">
        <v>2230</v>
      </c>
      <c r="E644" s="2" t="s">
        <v>2393</v>
      </c>
      <c r="F644" s="2" t="s">
        <v>836</v>
      </c>
      <c r="G644" s="2" t="s">
        <v>837</v>
      </c>
      <c r="H644" s="2" t="s">
        <v>838</v>
      </c>
      <c r="I644" s="2" t="s">
        <v>2463</v>
      </c>
      <c r="J644" s="2" t="s">
        <v>795</v>
      </c>
      <c r="K644" s="2" t="s">
        <v>146</v>
      </c>
      <c r="L644" s="3">
        <v>52.8</v>
      </c>
      <c r="M644" s="3">
        <v>55.43</v>
      </c>
      <c r="N644" s="3">
        <v>109.99</v>
      </c>
      <c r="O644" s="2" t="s">
        <v>97</v>
      </c>
      <c r="P644" s="2" t="s">
        <v>447</v>
      </c>
      <c r="Q644" s="2" t="s">
        <v>99</v>
      </c>
      <c r="R644" s="2" t="s">
        <v>100</v>
      </c>
      <c r="S644" s="2" t="s">
        <v>848</v>
      </c>
      <c r="T644" s="2" t="s">
        <v>100</v>
      </c>
      <c r="U644" s="2" t="s">
        <v>1459</v>
      </c>
      <c r="V644" s="2" t="s">
        <v>734</v>
      </c>
      <c r="W644" s="2" t="s">
        <v>244</v>
      </c>
      <c r="X644" s="2" t="s">
        <v>285</v>
      </c>
      <c r="Y644" s="2" t="s">
        <v>249</v>
      </c>
      <c r="Z644" s="4">
        <v>109</v>
      </c>
      <c r="AA644" s="4">
        <f>=ROUNDDOWN(15.5714285714286,0)</f>
      </c>
      <c r="AB644" s="5">
        <v>7</v>
      </c>
      <c r="AC644" s="2" t="s">
        <v>100</v>
      </c>
      <c r="AD644" s="4"/>
      <c r="AE644" s="4"/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/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 t="s">
        <v>100</v>
      </c>
      <c r="BJ644" s="4">
        <v>17</v>
      </c>
      <c r="BK644" s="8">
        <v>869.88</v>
      </c>
      <c r="BL644" s="2" t="s">
        <v>705</v>
      </c>
      <c r="BM644" s="7"/>
      <c r="BN644" s="7"/>
      <c r="BO644" s="4"/>
      <c r="BP644" s="8"/>
      <c r="BQ644" s="4"/>
      <c r="BR644" s="8"/>
      <c r="BS644" s="7"/>
      <c r="BT644" s="7"/>
      <c r="BU644" s="2" t="s">
        <v>109</v>
      </c>
      <c r="BV644" s="2" t="s">
        <v>97</v>
      </c>
      <c r="BW644" s="2" t="s">
        <v>2472</v>
      </c>
      <c r="BX644" s="2" t="s">
        <v>2473</v>
      </c>
      <c r="BY644" s="2" t="s">
        <v>112</v>
      </c>
      <c r="BZ644" s="2" t="s">
        <v>100</v>
      </c>
    </row>
    <row r="645">
      <c r="A645" s="2" t="s">
        <v>2474</v>
      </c>
      <c r="B645" s="2" t="s">
        <v>87</v>
      </c>
      <c r="C645" s="2" t="s">
        <v>88</v>
      </c>
      <c r="D645" s="2" t="s">
        <v>2230</v>
      </c>
      <c r="E645" s="2" t="s">
        <v>2393</v>
      </c>
      <c r="F645" s="2" t="s">
        <v>2475</v>
      </c>
      <c r="G645" s="2" t="s">
        <v>2476</v>
      </c>
      <c r="H645" s="2" t="s">
        <v>2477</v>
      </c>
      <c r="I645" s="2" t="s">
        <v>2478</v>
      </c>
      <c r="J645" s="2" t="s">
        <v>785</v>
      </c>
      <c r="K645" s="2" t="s">
        <v>1413</v>
      </c>
      <c r="L645" s="3">
        <v>65</v>
      </c>
      <c r="M645" s="3">
        <v>68.24</v>
      </c>
      <c r="N645" s="3">
        <v>129.99</v>
      </c>
      <c r="O645" s="2" t="s">
        <v>97</v>
      </c>
      <c r="P645" s="2" t="s">
        <v>242</v>
      </c>
      <c r="Q645" s="2" t="s">
        <v>99</v>
      </c>
      <c r="R645" s="2" t="s">
        <v>100</v>
      </c>
      <c r="S645" s="2" t="s">
        <v>2479</v>
      </c>
      <c r="T645" s="2" t="s">
        <v>100</v>
      </c>
      <c r="U645" s="2" t="s">
        <v>102</v>
      </c>
      <c r="V645" s="2" t="s">
        <v>103</v>
      </c>
      <c r="W645" s="2" t="s">
        <v>104</v>
      </c>
      <c r="X645" s="2" t="s">
        <v>898</v>
      </c>
      <c r="Y645" s="2" t="s">
        <v>131</v>
      </c>
      <c r="Z645" s="4">
        <v>313</v>
      </c>
      <c r="AA645" s="4">
        <f>=ROUNDDOWN(8.94285714285714,0)</f>
      </c>
      <c r="AB645" s="5">
        <v>35</v>
      </c>
      <c r="AC645" s="2" t="s">
        <v>132</v>
      </c>
      <c r="AD645" s="4">
        <v>30</v>
      </c>
      <c r="AE645" s="4">
        <v>990</v>
      </c>
      <c r="AF645" s="6">
        <v>65</v>
      </c>
      <c r="AG645" s="6">
        <v>48</v>
      </c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/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/>
      <c r="BJ645" s="4">
        <v>37</v>
      </c>
      <c r="BK645" s="8">
        <v>2425.37</v>
      </c>
      <c r="BL645" s="2" t="s">
        <v>1162</v>
      </c>
      <c r="BM645" s="7"/>
      <c r="BN645" s="7"/>
      <c r="BO645" s="4"/>
      <c r="BP645" s="8"/>
      <c r="BQ645" s="4"/>
      <c r="BR645" s="8"/>
      <c r="BS645" s="7"/>
      <c r="BT645" s="7"/>
      <c r="BU645" s="2" t="s">
        <v>109</v>
      </c>
      <c r="BV645" s="2" t="s">
        <v>97</v>
      </c>
      <c r="BW645" s="2" t="s">
        <v>137</v>
      </c>
      <c r="BX645" s="2" t="s">
        <v>202</v>
      </c>
      <c r="BY645" s="2" t="s">
        <v>112</v>
      </c>
      <c r="BZ645" s="2" t="s">
        <v>100</v>
      </c>
    </row>
    <row r="646">
      <c r="A646" s="2" t="s">
        <v>2480</v>
      </c>
      <c r="B646" s="2" t="s">
        <v>87</v>
      </c>
      <c r="C646" s="2" t="s">
        <v>88</v>
      </c>
      <c r="D646" s="2" t="s">
        <v>2230</v>
      </c>
      <c r="E646" s="2" t="s">
        <v>2393</v>
      </c>
      <c r="F646" s="2" t="s">
        <v>2475</v>
      </c>
      <c r="G646" s="2" t="s">
        <v>2476</v>
      </c>
      <c r="H646" s="2" t="s">
        <v>2477</v>
      </c>
      <c r="I646" s="2" t="s">
        <v>2478</v>
      </c>
      <c r="J646" s="2" t="s">
        <v>795</v>
      </c>
      <c r="K646" s="2" t="s">
        <v>1413</v>
      </c>
      <c r="L646" s="3">
        <v>76.49</v>
      </c>
      <c r="M646" s="3">
        <v>80.32</v>
      </c>
      <c r="N646" s="3">
        <v>149.99</v>
      </c>
      <c r="O646" s="2" t="s">
        <v>97</v>
      </c>
      <c r="P646" s="2" t="s">
        <v>242</v>
      </c>
      <c r="Q646" s="2" t="s">
        <v>99</v>
      </c>
      <c r="R646" s="2" t="s">
        <v>100</v>
      </c>
      <c r="S646" s="2" t="s">
        <v>2479</v>
      </c>
      <c r="T646" s="2" t="s">
        <v>100</v>
      </c>
      <c r="U646" s="2" t="s">
        <v>102</v>
      </c>
      <c r="V646" s="2" t="s">
        <v>103</v>
      </c>
      <c r="W646" s="2" t="s">
        <v>104</v>
      </c>
      <c r="X646" s="2" t="s">
        <v>898</v>
      </c>
      <c r="Y646" s="2" t="s">
        <v>131</v>
      </c>
      <c r="Z646" s="4">
        <v>483</v>
      </c>
      <c r="AA646" s="4">
        <f>=ROUNDDOWN(9.85714285714286,0)</f>
      </c>
      <c r="AB646" s="5">
        <v>49</v>
      </c>
      <c r="AC646" s="2" t="s">
        <v>132</v>
      </c>
      <c r="AD646" s="4">
        <v>130</v>
      </c>
      <c r="AE646" s="4">
        <v>1310</v>
      </c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/>
      <c r="BJ646" s="4">
        <v>32</v>
      </c>
      <c r="BK646" s="8">
        <v>2335.2</v>
      </c>
      <c r="BL646" s="2" t="s">
        <v>1154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97</v>
      </c>
      <c r="BW646" s="2" t="s">
        <v>137</v>
      </c>
      <c r="BX646" s="2" t="s">
        <v>178</v>
      </c>
      <c r="BY646" s="2" t="s">
        <v>112</v>
      </c>
      <c r="BZ646" s="2" t="s">
        <v>100</v>
      </c>
    </row>
    <row r="647">
      <c r="A647" s="2" t="s">
        <v>2481</v>
      </c>
      <c r="B647" s="2" t="s">
        <v>87</v>
      </c>
      <c r="C647" s="2" t="s">
        <v>88</v>
      </c>
      <c r="D647" s="2" t="s">
        <v>2230</v>
      </c>
      <c r="E647" s="2" t="s">
        <v>2393</v>
      </c>
      <c r="F647" s="2" t="s">
        <v>2475</v>
      </c>
      <c r="G647" s="2" t="s">
        <v>2476</v>
      </c>
      <c r="H647" s="2" t="s">
        <v>2477</v>
      </c>
      <c r="I647" s="2" t="s">
        <v>2478</v>
      </c>
      <c r="J647" s="2" t="s">
        <v>785</v>
      </c>
      <c r="K647" s="2" t="s">
        <v>185</v>
      </c>
      <c r="L647" s="3">
        <v>65</v>
      </c>
      <c r="M647" s="3">
        <v>68.24</v>
      </c>
      <c r="N647" s="3">
        <v>129.99</v>
      </c>
      <c r="O647" s="2" t="s">
        <v>97</v>
      </c>
      <c r="P647" s="2" t="s">
        <v>98</v>
      </c>
      <c r="Q647" s="2" t="s">
        <v>99</v>
      </c>
      <c r="R647" s="2" t="s">
        <v>100</v>
      </c>
      <c r="S647" s="2" t="s">
        <v>2482</v>
      </c>
      <c r="T647" s="2" t="s">
        <v>100</v>
      </c>
      <c r="U647" s="2" t="s">
        <v>102</v>
      </c>
      <c r="V647" s="2" t="s">
        <v>103</v>
      </c>
      <c r="W647" s="2" t="s">
        <v>104</v>
      </c>
      <c r="X647" s="2" t="s">
        <v>898</v>
      </c>
      <c r="Y647" s="2" t="s">
        <v>131</v>
      </c>
      <c r="Z647" s="4">
        <v>263</v>
      </c>
      <c r="AA647" s="4">
        <f>=ROUNDDOWN(13.8421052631579,0)</f>
      </c>
      <c r="AB647" s="5">
        <v>19</v>
      </c>
      <c r="AC647" s="2" t="s">
        <v>132</v>
      </c>
      <c r="AD647" s="4">
        <v>30</v>
      </c>
      <c r="AE647" s="4">
        <v>580</v>
      </c>
      <c r="AF647" s="6">
        <v>65</v>
      </c>
      <c r="AG647" s="6">
        <v>48</v>
      </c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/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/>
      <c r="BJ647" s="4">
        <v>12</v>
      </c>
      <c r="BK647" s="8">
        <v>822.63</v>
      </c>
      <c r="BL647" s="2" t="s">
        <v>2483</v>
      </c>
      <c r="BM647" s="7"/>
      <c r="BN647" s="7"/>
      <c r="BO647" s="4"/>
      <c r="BP647" s="8"/>
      <c r="BQ647" s="4"/>
      <c r="BR647" s="8"/>
      <c r="BS647" s="7"/>
      <c r="BT647" s="7"/>
      <c r="BU647" s="2" t="s">
        <v>109</v>
      </c>
      <c r="BV647" s="2" t="s">
        <v>97</v>
      </c>
      <c r="BW647" s="2" t="s">
        <v>122</v>
      </c>
      <c r="BX647" s="2" t="s">
        <v>889</v>
      </c>
      <c r="BY647" s="2" t="s">
        <v>112</v>
      </c>
      <c r="BZ647" s="2" t="s">
        <v>100</v>
      </c>
    </row>
    <row r="648">
      <c r="A648" s="2" t="s">
        <v>2484</v>
      </c>
      <c r="B648" s="2" t="s">
        <v>87</v>
      </c>
      <c r="C648" s="2" t="s">
        <v>88</v>
      </c>
      <c r="D648" s="2" t="s">
        <v>2230</v>
      </c>
      <c r="E648" s="2" t="s">
        <v>2393</v>
      </c>
      <c r="F648" s="2" t="s">
        <v>2475</v>
      </c>
      <c r="G648" s="2" t="s">
        <v>2476</v>
      </c>
      <c r="H648" s="2" t="s">
        <v>2477</v>
      </c>
      <c r="I648" s="2" t="s">
        <v>2478</v>
      </c>
      <c r="J648" s="2" t="s">
        <v>795</v>
      </c>
      <c r="K648" s="2" t="s">
        <v>185</v>
      </c>
      <c r="L648" s="3">
        <v>76.49</v>
      </c>
      <c r="M648" s="3">
        <v>80.32</v>
      </c>
      <c r="N648" s="3">
        <v>149.99</v>
      </c>
      <c r="O648" s="2" t="s">
        <v>97</v>
      </c>
      <c r="P648" s="2" t="s">
        <v>98</v>
      </c>
      <c r="Q648" s="2" t="s">
        <v>99</v>
      </c>
      <c r="R648" s="2" t="s">
        <v>100</v>
      </c>
      <c r="S648" s="2" t="s">
        <v>2482</v>
      </c>
      <c r="T648" s="2" t="s">
        <v>100</v>
      </c>
      <c r="U648" s="2" t="s">
        <v>102</v>
      </c>
      <c r="V648" s="2" t="s">
        <v>103</v>
      </c>
      <c r="W648" s="2" t="s">
        <v>104</v>
      </c>
      <c r="X648" s="2" t="s">
        <v>898</v>
      </c>
      <c r="Y648" s="2" t="s">
        <v>131</v>
      </c>
      <c r="Z648" s="4">
        <v>201</v>
      </c>
      <c r="AA648" s="4">
        <f>=ROUNDDOWN(8.04,0)</f>
      </c>
      <c r="AB648" s="5">
        <v>25</v>
      </c>
      <c r="AC648" s="2" t="s">
        <v>132</v>
      </c>
      <c r="AD648" s="4">
        <v>30</v>
      </c>
      <c r="AE648" s="4">
        <v>860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 t="s">
        <v>100</v>
      </c>
      <c r="AW648" s="8" t="s">
        <v>100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/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/>
      <c r="BJ648" s="4">
        <v>14</v>
      </c>
      <c r="BK648" s="8">
        <v>1056.45</v>
      </c>
      <c r="BL648" s="2" t="s">
        <v>2485</v>
      </c>
      <c r="BM648" s="7"/>
      <c r="BN648" s="7"/>
      <c r="BO648" s="4"/>
      <c r="BP648" s="8"/>
      <c r="BQ648" s="4"/>
      <c r="BR648" s="8"/>
      <c r="BS648" s="7"/>
      <c r="BT648" s="7"/>
      <c r="BU648" s="2" t="s">
        <v>109</v>
      </c>
      <c r="BV648" s="2" t="s">
        <v>97</v>
      </c>
      <c r="BW648" s="2" t="s">
        <v>122</v>
      </c>
      <c r="BX648" s="2" t="s">
        <v>1078</v>
      </c>
      <c r="BY648" s="2" t="s">
        <v>112</v>
      </c>
      <c r="BZ648" s="2" t="s">
        <v>100</v>
      </c>
    </row>
    <row r="649">
      <c r="A649" s="2" t="s">
        <v>2486</v>
      </c>
      <c r="B649" s="2" t="s">
        <v>87</v>
      </c>
      <c r="C649" s="2" t="s">
        <v>88</v>
      </c>
      <c r="D649" s="2" t="s">
        <v>2230</v>
      </c>
      <c r="E649" s="2" t="s">
        <v>2393</v>
      </c>
      <c r="F649" s="2" t="s">
        <v>1945</v>
      </c>
      <c r="G649" s="2" t="s">
        <v>1946</v>
      </c>
      <c r="H649" s="2" t="s">
        <v>1947</v>
      </c>
      <c r="I649" s="2" t="s">
        <v>2487</v>
      </c>
      <c r="J649" s="2" t="s">
        <v>785</v>
      </c>
      <c r="K649" s="2" t="s">
        <v>185</v>
      </c>
      <c r="L649" s="3">
        <v>54.99</v>
      </c>
      <c r="M649" s="3">
        <v>57.74</v>
      </c>
      <c r="N649" s="3">
        <v>109.99</v>
      </c>
      <c r="O649" s="2" t="s">
        <v>97</v>
      </c>
      <c r="P649" s="2" t="s">
        <v>98</v>
      </c>
      <c r="Q649" s="2" t="s">
        <v>99</v>
      </c>
      <c r="R649" s="2" t="s">
        <v>100</v>
      </c>
      <c r="S649" s="2" t="s">
        <v>2488</v>
      </c>
      <c r="T649" s="2" t="s">
        <v>100</v>
      </c>
      <c r="U649" s="2" t="s">
        <v>676</v>
      </c>
      <c r="V649" s="2" t="s">
        <v>632</v>
      </c>
      <c r="W649" s="2" t="s">
        <v>244</v>
      </c>
      <c r="X649" s="2" t="s">
        <v>609</v>
      </c>
      <c r="Y649" s="2" t="s">
        <v>131</v>
      </c>
      <c r="Z649" s="4">
        <v>262</v>
      </c>
      <c r="AA649" s="4">
        <f>=ROUNDDOWN(32.75,0)</f>
      </c>
      <c r="AB649" s="5">
        <v>8</v>
      </c>
      <c r="AC649" s="2" t="s">
        <v>287</v>
      </c>
      <c r="AD649" s="4">
        <v>114</v>
      </c>
      <c r="AE649" s="4">
        <v>274</v>
      </c>
      <c r="AF649" s="6">
        <v>65</v>
      </c>
      <c r="AG649" s="6">
        <v>48</v>
      </c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/>
      <c r="BJ649" s="4">
        <v>4</v>
      </c>
      <c r="BK649" s="8">
        <v>229.9</v>
      </c>
      <c r="BL649" s="2" t="s">
        <v>776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97</v>
      </c>
      <c r="BW649" s="2" t="s">
        <v>122</v>
      </c>
      <c r="BX649" s="2" t="s">
        <v>192</v>
      </c>
      <c r="BY649" s="2" t="s">
        <v>112</v>
      </c>
      <c r="BZ649" s="2" t="s">
        <v>100</v>
      </c>
    </row>
    <row r="650">
      <c r="A650" s="2" t="s">
        <v>2489</v>
      </c>
      <c r="B650" s="2" t="s">
        <v>87</v>
      </c>
      <c r="C650" s="2" t="s">
        <v>88</v>
      </c>
      <c r="D650" s="2" t="s">
        <v>2230</v>
      </c>
      <c r="E650" s="2" t="s">
        <v>2393</v>
      </c>
      <c r="F650" s="2" t="s">
        <v>1945</v>
      </c>
      <c r="G650" s="2" t="s">
        <v>1946</v>
      </c>
      <c r="H650" s="2" t="s">
        <v>1947</v>
      </c>
      <c r="I650" s="2" t="s">
        <v>2487</v>
      </c>
      <c r="J650" s="2" t="s">
        <v>795</v>
      </c>
      <c r="K650" s="2" t="s">
        <v>185</v>
      </c>
      <c r="L650" s="3">
        <v>59.99</v>
      </c>
      <c r="M650" s="3">
        <v>62.99</v>
      </c>
      <c r="N650" s="3">
        <v>119.99</v>
      </c>
      <c r="O650" s="2" t="s">
        <v>97</v>
      </c>
      <c r="P650" s="2" t="s">
        <v>98</v>
      </c>
      <c r="Q650" s="2" t="s">
        <v>99</v>
      </c>
      <c r="R650" s="2" t="s">
        <v>100</v>
      </c>
      <c r="S650" s="2" t="s">
        <v>2488</v>
      </c>
      <c r="T650" s="2" t="s">
        <v>100</v>
      </c>
      <c r="U650" s="2" t="s">
        <v>676</v>
      </c>
      <c r="V650" s="2" t="s">
        <v>632</v>
      </c>
      <c r="W650" s="2" t="s">
        <v>244</v>
      </c>
      <c r="X650" s="2" t="s">
        <v>609</v>
      </c>
      <c r="Y650" s="2" t="s">
        <v>131</v>
      </c>
      <c r="Z650" s="4">
        <v>480</v>
      </c>
      <c r="AA650" s="4">
        <f>=ROUNDDOWN(34.2857142857143,0)</f>
      </c>
      <c r="AB650" s="5">
        <v>14</v>
      </c>
      <c r="AC650" s="2" t="s">
        <v>287</v>
      </c>
      <c r="AD650" s="4">
        <v>87</v>
      </c>
      <c r="AE650" s="4">
        <v>247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/>
      <c r="BJ650" s="4">
        <v>12</v>
      </c>
      <c r="BK650" s="8">
        <v>723.03</v>
      </c>
      <c r="BL650" s="2" t="s">
        <v>305</v>
      </c>
      <c r="BM650" s="7"/>
      <c r="BN650" s="7"/>
      <c r="BO650" s="4"/>
      <c r="BP650" s="8"/>
      <c r="BQ650" s="4"/>
      <c r="BR650" s="8"/>
      <c r="BS650" s="7"/>
      <c r="BT650" s="7"/>
      <c r="BU650" s="2" t="s">
        <v>109</v>
      </c>
      <c r="BV650" s="2" t="s">
        <v>97</v>
      </c>
      <c r="BW650" s="2" t="s">
        <v>122</v>
      </c>
      <c r="BX650" s="2" t="s">
        <v>166</v>
      </c>
      <c r="BY650" s="2" t="s">
        <v>112</v>
      </c>
      <c r="BZ650" s="2" t="s">
        <v>100</v>
      </c>
    </row>
    <row r="651">
      <c r="A651" s="2" t="s">
        <v>2490</v>
      </c>
      <c r="B651" s="2" t="s">
        <v>87</v>
      </c>
      <c r="C651" s="2" t="s">
        <v>88</v>
      </c>
      <c r="D651" s="2" t="s">
        <v>2230</v>
      </c>
      <c r="E651" s="2" t="s">
        <v>2393</v>
      </c>
      <c r="F651" s="2" t="s">
        <v>1250</v>
      </c>
      <c r="G651" s="2" t="s">
        <v>1251</v>
      </c>
      <c r="H651" s="2" t="s">
        <v>1252</v>
      </c>
      <c r="I651" s="2" t="s">
        <v>2491</v>
      </c>
      <c r="J651" s="2" t="s">
        <v>673</v>
      </c>
      <c r="K651" s="2" t="s">
        <v>253</v>
      </c>
      <c r="L651" s="3">
        <v>49.99</v>
      </c>
      <c r="M651" s="3">
        <v>52.49</v>
      </c>
      <c r="N651" s="3">
        <v>99.99</v>
      </c>
      <c r="O651" s="2" t="s">
        <v>97</v>
      </c>
      <c r="P651" s="2" t="s">
        <v>98</v>
      </c>
      <c r="Q651" s="2" t="s">
        <v>99</v>
      </c>
      <c r="R651" s="2" t="s">
        <v>100</v>
      </c>
      <c r="S651" s="2" t="s">
        <v>1253</v>
      </c>
      <c r="T651" s="2" t="s">
        <v>100</v>
      </c>
      <c r="U651" s="2" t="s">
        <v>644</v>
      </c>
      <c r="V651" s="2" t="s">
        <v>551</v>
      </c>
      <c r="W651" s="2" t="s">
        <v>551</v>
      </c>
      <c r="X651" s="2" t="s">
        <v>563</v>
      </c>
      <c r="Y651" s="2" t="s">
        <v>131</v>
      </c>
      <c r="Z651" s="4">
        <v>211</v>
      </c>
      <c r="AA651" s="4">
        <f>=ROUNDDOWN(23.4444444444444,0)</f>
      </c>
      <c r="AB651" s="5">
        <v>9</v>
      </c>
      <c r="AC651" s="2" t="s">
        <v>1962</v>
      </c>
      <c r="AD651" s="4">
        <v>70</v>
      </c>
      <c r="AE651" s="4">
        <v>220</v>
      </c>
      <c r="AF651" s="6">
        <v>65</v>
      </c>
      <c r="AG651" s="6">
        <v>73</v>
      </c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/>
      <c r="BJ651" s="4">
        <v>9</v>
      </c>
      <c r="BK651" s="8">
        <v>451.7</v>
      </c>
      <c r="BL651" s="2" t="s">
        <v>2492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97</v>
      </c>
      <c r="BW651" s="2" t="s">
        <v>137</v>
      </c>
      <c r="BX651" s="2" t="s">
        <v>144</v>
      </c>
      <c r="BY651" s="2" t="s">
        <v>112</v>
      </c>
      <c r="BZ651" s="2" t="s">
        <v>100</v>
      </c>
    </row>
    <row r="652">
      <c r="A652" s="2" t="s">
        <v>2493</v>
      </c>
      <c r="B652" s="2" t="s">
        <v>87</v>
      </c>
      <c r="C652" s="2" t="s">
        <v>88</v>
      </c>
      <c r="D652" s="2" t="s">
        <v>2230</v>
      </c>
      <c r="E652" s="2" t="s">
        <v>2393</v>
      </c>
      <c r="F652" s="2" t="s">
        <v>1250</v>
      </c>
      <c r="G652" s="2" t="s">
        <v>1251</v>
      </c>
      <c r="H652" s="2" t="s">
        <v>1252</v>
      </c>
      <c r="I652" s="2" t="s">
        <v>2491</v>
      </c>
      <c r="J652" s="2" t="s">
        <v>785</v>
      </c>
      <c r="K652" s="2" t="s">
        <v>253</v>
      </c>
      <c r="L652" s="3">
        <v>54.99</v>
      </c>
      <c r="M652" s="3">
        <v>57.74</v>
      </c>
      <c r="N652" s="3">
        <v>109.99</v>
      </c>
      <c r="O652" s="2" t="s">
        <v>97</v>
      </c>
      <c r="P652" s="2" t="s">
        <v>98</v>
      </c>
      <c r="Q652" s="2" t="s">
        <v>99</v>
      </c>
      <c r="R652" s="2" t="s">
        <v>100</v>
      </c>
      <c r="S652" s="2" t="s">
        <v>1253</v>
      </c>
      <c r="T652" s="2" t="s">
        <v>100</v>
      </c>
      <c r="U652" s="2" t="s">
        <v>676</v>
      </c>
      <c r="V652" s="2" t="s">
        <v>551</v>
      </c>
      <c r="W652" s="2" t="s">
        <v>551</v>
      </c>
      <c r="X652" s="2" t="s">
        <v>563</v>
      </c>
      <c r="Y652" s="2" t="s">
        <v>131</v>
      </c>
      <c r="Z652" s="4">
        <v>710</v>
      </c>
      <c r="AA652" s="4">
        <f>=ROUNDDOWN(47.3333333333333,0)</f>
      </c>
      <c r="AB652" s="5">
        <v>15</v>
      </c>
      <c r="AC652" s="2" t="s">
        <v>1962</v>
      </c>
      <c r="AD652" s="4">
        <v>150</v>
      </c>
      <c r="AE652" s="4">
        <v>280</v>
      </c>
      <c r="AF652" s="6">
        <v>65</v>
      </c>
      <c r="AG652" s="6">
        <v>73</v>
      </c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/>
      <c r="BJ652" s="4">
        <v>17</v>
      </c>
      <c r="BK652" s="8">
        <v>941.24</v>
      </c>
      <c r="BL652" s="2" t="s">
        <v>2494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97</v>
      </c>
      <c r="BW652" s="2" t="s">
        <v>137</v>
      </c>
      <c r="BX652" s="2" t="s">
        <v>2495</v>
      </c>
      <c r="BY652" s="2" t="s">
        <v>112</v>
      </c>
      <c r="BZ652" s="2" t="s">
        <v>100</v>
      </c>
    </row>
    <row r="653">
      <c r="A653" s="2" t="s">
        <v>2496</v>
      </c>
      <c r="B653" s="2" t="s">
        <v>87</v>
      </c>
      <c r="C653" s="2" t="s">
        <v>88</v>
      </c>
      <c r="D653" s="2" t="s">
        <v>2230</v>
      </c>
      <c r="E653" s="2" t="s">
        <v>2393</v>
      </c>
      <c r="F653" s="2" t="s">
        <v>1250</v>
      </c>
      <c r="G653" s="2" t="s">
        <v>1251</v>
      </c>
      <c r="H653" s="2" t="s">
        <v>1252</v>
      </c>
      <c r="I653" s="2" t="s">
        <v>2491</v>
      </c>
      <c r="J653" s="2" t="s">
        <v>120</v>
      </c>
      <c r="K653" s="2" t="s">
        <v>253</v>
      </c>
      <c r="L653" s="3">
        <v>59.99</v>
      </c>
      <c r="M653" s="3">
        <v>62.99</v>
      </c>
      <c r="N653" s="3">
        <v>119.99</v>
      </c>
      <c r="O653" s="2" t="s">
        <v>97</v>
      </c>
      <c r="P653" s="2" t="s">
        <v>98</v>
      </c>
      <c r="Q653" s="2" t="s">
        <v>99</v>
      </c>
      <c r="R653" s="2" t="s">
        <v>100</v>
      </c>
      <c r="S653" s="2" t="s">
        <v>1253</v>
      </c>
      <c r="T653" s="2" t="s">
        <v>100</v>
      </c>
      <c r="U653" s="2" t="s">
        <v>676</v>
      </c>
      <c r="V653" s="2" t="s">
        <v>551</v>
      </c>
      <c r="W653" s="2" t="s">
        <v>551</v>
      </c>
      <c r="X653" s="2" t="s">
        <v>563</v>
      </c>
      <c r="Y653" s="2" t="s">
        <v>131</v>
      </c>
      <c r="Z653" s="4">
        <v>449</v>
      </c>
      <c r="AA653" s="4">
        <f>=ROUNDDOWN(28.0625,0)</f>
      </c>
      <c r="AB653" s="5">
        <v>16</v>
      </c>
      <c r="AC653" s="2" t="s">
        <v>1962</v>
      </c>
      <c r="AD653" s="4">
        <v>170</v>
      </c>
      <c r="AE653" s="4">
        <v>470</v>
      </c>
      <c r="AF653" s="6">
        <v>65</v>
      </c>
      <c r="AG653" s="6">
        <v>73</v>
      </c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/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/>
      <c r="BJ653" s="4">
        <v>11</v>
      </c>
      <c r="BK653" s="8">
        <v>645.21</v>
      </c>
      <c r="BL653" s="2" t="s">
        <v>2497</v>
      </c>
      <c r="BM653" s="7"/>
      <c r="BN653" s="7"/>
      <c r="BO653" s="4"/>
      <c r="BP653" s="8"/>
      <c r="BQ653" s="4"/>
      <c r="BR653" s="8"/>
      <c r="BS653" s="7"/>
      <c r="BT653" s="7"/>
      <c r="BU653" s="2" t="s">
        <v>109</v>
      </c>
      <c r="BV653" s="2" t="s">
        <v>97</v>
      </c>
      <c r="BW653" s="2" t="s">
        <v>137</v>
      </c>
      <c r="BX653" s="2" t="s">
        <v>2498</v>
      </c>
      <c r="BY653" s="2" t="s">
        <v>112</v>
      </c>
      <c r="BZ653" s="2" t="s">
        <v>100</v>
      </c>
    </row>
    <row r="654">
      <c r="A654" s="2" t="s">
        <v>2499</v>
      </c>
      <c r="B654" s="2" t="s">
        <v>87</v>
      </c>
      <c r="C654" s="2" t="s">
        <v>88</v>
      </c>
      <c r="D654" s="2" t="s">
        <v>2230</v>
      </c>
      <c r="E654" s="2" t="s">
        <v>2393</v>
      </c>
      <c r="F654" s="2" t="s">
        <v>602</v>
      </c>
      <c r="G654" s="2" t="s">
        <v>603</v>
      </c>
      <c r="H654" s="2" t="s">
        <v>604</v>
      </c>
      <c r="I654" s="2" t="s">
        <v>2487</v>
      </c>
      <c r="J654" s="2" t="s">
        <v>785</v>
      </c>
      <c r="K654" s="2" t="s">
        <v>606</v>
      </c>
      <c r="L654" s="3">
        <v>54.99</v>
      </c>
      <c r="M654" s="3">
        <v>57.74</v>
      </c>
      <c r="N654" s="3">
        <v>109.99</v>
      </c>
      <c r="O654" s="2" t="s">
        <v>97</v>
      </c>
      <c r="P654" s="2" t="s">
        <v>341</v>
      </c>
      <c r="Q654" s="2" t="s">
        <v>99</v>
      </c>
      <c r="R654" s="2" t="s">
        <v>100</v>
      </c>
      <c r="S654" s="2" t="s">
        <v>2500</v>
      </c>
      <c r="T654" s="2" t="s">
        <v>100</v>
      </c>
      <c r="U654" s="2" t="s">
        <v>676</v>
      </c>
      <c r="V654" s="2" t="s">
        <v>608</v>
      </c>
      <c r="W654" s="2" t="s">
        <v>244</v>
      </c>
      <c r="X654" s="2" t="s">
        <v>609</v>
      </c>
      <c r="Y654" s="2" t="s">
        <v>131</v>
      </c>
      <c r="Z654" s="4">
        <v>595</v>
      </c>
      <c r="AA654" s="4">
        <f>=ROUNDDOWN(15.2564102564103,0)</f>
      </c>
      <c r="AB654" s="5">
        <v>39</v>
      </c>
      <c r="AC654" s="2" t="s">
        <v>107</v>
      </c>
      <c r="AD654" s="4">
        <v>260</v>
      </c>
      <c r="AE654" s="4">
        <v>1840</v>
      </c>
      <c r="AF654" s="6">
        <v>65</v>
      </c>
      <c r="AG654" s="6">
        <v>48</v>
      </c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/>
      <c r="AQ654" s="8"/>
      <c r="AR654" s="4"/>
      <c r="AS654" s="8"/>
      <c r="AT654" s="7"/>
      <c r="AU654" s="7"/>
      <c r="AV654" s="4" t="s">
        <v>100</v>
      </c>
      <c r="AW654" s="8" t="s">
        <v>100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/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/>
      <c r="BJ654" s="4">
        <v>30</v>
      </c>
      <c r="BK654" s="8">
        <v>1703.75</v>
      </c>
      <c r="BL654" s="2" t="s">
        <v>2501</v>
      </c>
      <c r="BM654" s="7"/>
      <c r="BN654" s="7"/>
      <c r="BO654" s="4"/>
      <c r="BP654" s="8"/>
      <c r="BQ654" s="4"/>
      <c r="BR654" s="8"/>
      <c r="BS654" s="7"/>
      <c r="BT654" s="7"/>
      <c r="BU654" s="2" t="s">
        <v>109</v>
      </c>
      <c r="BV654" s="2" t="s">
        <v>97</v>
      </c>
      <c r="BW654" s="2" t="s">
        <v>137</v>
      </c>
      <c r="BX654" s="2" t="s">
        <v>2069</v>
      </c>
      <c r="BY654" s="2" t="s">
        <v>112</v>
      </c>
      <c r="BZ654" s="2" t="s">
        <v>100</v>
      </c>
    </row>
    <row r="655">
      <c r="A655" s="2" t="s">
        <v>2502</v>
      </c>
      <c r="B655" s="2" t="s">
        <v>87</v>
      </c>
      <c r="C655" s="2" t="s">
        <v>88</v>
      </c>
      <c r="D655" s="2" t="s">
        <v>2230</v>
      </c>
      <c r="E655" s="2" t="s">
        <v>2393</v>
      </c>
      <c r="F655" s="2" t="s">
        <v>602</v>
      </c>
      <c r="G655" s="2" t="s">
        <v>603</v>
      </c>
      <c r="H655" s="2" t="s">
        <v>604</v>
      </c>
      <c r="I655" s="2" t="s">
        <v>2487</v>
      </c>
      <c r="J655" s="2" t="s">
        <v>795</v>
      </c>
      <c r="K655" s="2" t="s">
        <v>606</v>
      </c>
      <c r="L655" s="3">
        <v>59.99</v>
      </c>
      <c r="M655" s="3">
        <v>62.99</v>
      </c>
      <c r="N655" s="3">
        <v>119.99</v>
      </c>
      <c r="O655" s="2" t="s">
        <v>97</v>
      </c>
      <c r="P655" s="2" t="s">
        <v>341</v>
      </c>
      <c r="Q655" s="2" t="s">
        <v>99</v>
      </c>
      <c r="R655" s="2" t="s">
        <v>100</v>
      </c>
      <c r="S655" s="2" t="s">
        <v>2500</v>
      </c>
      <c r="T655" s="2" t="s">
        <v>100</v>
      </c>
      <c r="U655" s="2" t="s">
        <v>676</v>
      </c>
      <c r="V655" s="2" t="s">
        <v>608</v>
      </c>
      <c r="W655" s="2" t="s">
        <v>244</v>
      </c>
      <c r="X655" s="2" t="s">
        <v>609</v>
      </c>
      <c r="Y655" s="2" t="s">
        <v>131</v>
      </c>
      <c r="Z655" s="4">
        <v>759</v>
      </c>
      <c r="AA655" s="4">
        <f>=ROUNDDOWN(10.8428571428571,0)</f>
      </c>
      <c r="AB655" s="5">
        <v>70</v>
      </c>
      <c r="AC655" s="2" t="s">
        <v>107</v>
      </c>
      <c r="AD655" s="4">
        <v>500</v>
      </c>
      <c r="AE655" s="4">
        <v>3520</v>
      </c>
      <c r="AF655" s="6">
        <v>65</v>
      </c>
      <c r="AG655" s="6">
        <v>48</v>
      </c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/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/>
      <c r="BJ655" s="4">
        <v>70</v>
      </c>
      <c r="BK655" s="8">
        <v>4381.21</v>
      </c>
      <c r="BL655" s="2" t="s">
        <v>2503</v>
      </c>
      <c r="BM655" s="7"/>
      <c r="BN655" s="7"/>
      <c r="BO655" s="4"/>
      <c r="BP655" s="8"/>
      <c r="BQ655" s="4"/>
      <c r="BR655" s="8"/>
      <c r="BS655" s="7"/>
      <c r="BT655" s="7"/>
      <c r="BU655" s="2" t="s">
        <v>109</v>
      </c>
      <c r="BV655" s="2" t="s">
        <v>97</v>
      </c>
      <c r="BW655" s="2" t="s">
        <v>137</v>
      </c>
      <c r="BX655" s="2" t="s">
        <v>2504</v>
      </c>
      <c r="BY655" s="2" t="s">
        <v>112</v>
      </c>
      <c r="BZ655" s="2" t="s">
        <v>100</v>
      </c>
    </row>
    <row r="656">
      <c r="A656" s="2" t="s">
        <v>2505</v>
      </c>
      <c r="B656" s="2" t="s">
        <v>87</v>
      </c>
      <c r="C656" s="2" t="s">
        <v>88</v>
      </c>
      <c r="D656" s="2" t="s">
        <v>2230</v>
      </c>
      <c r="E656" s="2" t="s">
        <v>2393</v>
      </c>
      <c r="F656" s="2" t="s">
        <v>2506</v>
      </c>
      <c r="G656" s="2" t="s">
        <v>2507</v>
      </c>
      <c r="H656" s="2" t="s">
        <v>2508</v>
      </c>
      <c r="I656" s="2" t="s">
        <v>2509</v>
      </c>
      <c r="J656" s="2" t="s">
        <v>785</v>
      </c>
      <c r="K656" s="2" t="s">
        <v>253</v>
      </c>
      <c r="L656" s="3">
        <v>54.99</v>
      </c>
      <c r="M656" s="3">
        <v>57.74</v>
      </c>
      <c r="N656" s="3">
        <v>109.99</v>
      </c>
      <c r="O656" s="2" t="s">
        <v>97</v>
      </c>
      <c r="P656" s="2" t="s">
        <v>242</v>
      </c>
      <c r="Q656" s="2" t="s">
        <v>99</v>
      </c>
      <c r="R656" s="2" t="s">
        <v>100</v>
      </c>
      <c r="S656" s="2" t="s">
        <v>2510</v>
      </c>
      <c r="T656" s="2" t="s">
        <v>100</v>
      </c>
      <c r="U656" s="2" t="s">
        <v>676</v>
      </c>
      <c r="V656" s="2" t="s">
        <v>663</v>
      </c>
      <c r="W656" s="2" t="s">
        <v>104</v>
      </c>
      <c r="X656" s="2" t="s">
        <v>2511</v>
      </c>
      <c r="Y656" s="2" t="s">
        <v>131</v>
      </c>
      <c r="Z656" s="4">
        <v>1696</v>
      </c>
      <c r="AA656" s="4">
        <f>=ROUNDDOWN(51.3939393939394,0)</f>
      </c>
      <c r="AB656" s="5">
        <v>33</v>
      </c>
      <c r="AC656" s="2" t="s">
        <v>1282</v>
      </c>
      <c r="AD656" s="4">
        <v>650</v>
      </c>
      <c r="AE656" s="4">
        <v>650</v>
      </c>
      <c r="AF656" s="6">
        <v>64</v>
      </c>
      <c r="AG656" s="6">
        <v>47</v>
      </c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/>
      <c r="AQ656" s="8"/>
      <c r="AR656" s="4"/>
      <c r="AS656" s="8"/>
      <c r="AT656" s="7"/>
      <c r="AU656" s="7"/>
      <c r="AV656" s="4" t="s">
        <v>100</v>
      </c>
      <c r="AW656" s="8" t="s">
        <v>100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/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/>
      <c r="BJ656" s="4">
        <v>19</v>
      </c>
      <c r="BK656" s="8">
        <v>1113.2</v>
      </c>
      <c r="BL656" s="2" t="s">
        <v>2512</v>
      </c>
      <c r="BM656" s="7"/>
      <c r="BN656" s="7"/>
      <c r="BO656" s="4"/>
      <c r="BP656" s="8"/>
      <c r="BQ656" s="4"/>
      <c r="BR656" s="8"/>
      <c r="BS656" s="7"/>
      <c r="BT656" s="7"/>
      <c r="BU656" s="2" t="s">
        <v>109</v>
      </c>
      <c r="BV656" s="2" t="s">
        <v>97</v>
      </c>
      <c r="BW656" s="2" t="s">
        <v>2513</v>
      </c>
      <c r="BX656" s="2" t="s">
        <v>2514</v>
      </c>
      <c r="BY656" s="2" t="s">
        <v>112</v>
      </c>
      <c r="BZ656" s="2" t="s">
        <v>100</v>
      </c>
    </row>
    <row r="657">
      <c r="A657" s="2" t="s">
        <v>2515</v>
      </c>
      <c r="B657" s="2" t="s">
        <v>87</v>
      </c>
      <c r="C657" s="2" t="s">
        <v>88</v>
      </c>
      <c r="D657" s="2" t="s">
        <v>2230</v>
      </c>
      <c r="E657" s="2" t="s">
        <v>2393</v>
      </c>
      <c r="F657" s="2" t="s">
        <v>2506</v>
      </c>
      <c r="G657" s="2" t="s">
        <v>2507</v>
      </c>
      <c r="H657" s="2" t="s">
        <v>2508</v>
      </c>
      <c r="I657" s="2" t="s">
        <v>2509</v>
      </c>
      <c r="J657" s="2" t="s">
        <v>795</v>
      </c>
      <c r="K657" s="2" t="s">
        <v>253</v>
      </c>
      <c r="L657" s="3">
        <v>59.99</v>
      </c>
      <c r="M657" s="3">
        <v>62.99</v>
      </c>
      <c r="N657" s="3">
        <v>119.99</v>
      </c>
      <c r="O657" s="2" t="s">
        <v>97</v>
      </c>
      <c r="P657" s="2" t="s">
        <v>242</v>
      </c>
      <c r="Q657" s="2" t="s">
        <v>99</v>
      </c>
      <c r="R657" s="2" t="s">
        <v>100</v>
      </c>
      <c r="S657" s="2" t="s">
        <v>2510</v>
      </c>
      <c r="T657" s="2" t="s">
        <v>100</v>
      </c>
      <c r="U657" s="2" t="s">
        <v>676</v>
      </c>
      <c r="V657" s="2" t="s">
        <v>663</v>
      </c>
      <c r="W657" s="2" t="s">
        <v>104</v>
      </c>
      <c r="X657" s="2" t="s">
        <v>2511</v>
      </c>
      <c r="Y657" s="2" t="s">
        <v>131</v>
      </c>
      <c r="Z657" s="4">
        <v>1794</v>
      </c>
      <c r="AA657" s="4">
        <f>=ROUNDDOWN(54.3636363636364,0)</f>
      </c>
      <c r="AB657" s="5">
        <v>33</v>
      </c>
      <c r="AC657" s="2" t="s">
        <v>1282</v>
      </c>
      <c r="AD657" s="4">
        <v>50</v>
      </c>
      <c r="AE657" s="4">
        <v>50</v>
      </c>
      <c r="AF657" s="6">
        <v>64</v>
      </c>
      <c r="AG657" s="6">
        <v>47</v>
      </c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/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/>
      <c r="BJ657" s="4">
        <v>37</v>
      </c>
      <c r="BK657" s="8">
        <v>2312.39</v>
      </c>
      <c r="BL657" s="2" t="s">
        <v>2516</v>
      </c>
      <c r="BM657" s="7"/>
      <c r="BN657" s="7"/>
      <c r="BO657" s="4"/>
      <c r="BP657" s="8"/>
      <c r="BQ657" s="4"/>
      <c r="BR657" s="8"/>
      <c r="BS657" s="7"/>
      <c r="BT657" s="7"/>
      <c r="BU657" s="2" t="s">
        <v>109</v>
      </c>
      <c r="BV657" s="2" t="s">
        <v>97</v>
      </c>
      <c r="BW657" s="2" t="s">
        <v>122</v>
      </c>
      <c r="BX657" s="2" t="s">
        <v>749</v>
      </c>
      <c r="BY657" s="2" t="s">
        <v>112</v>
      </c>
      <c r="BZ657" s="2" t="s">
        <v>100</v>
      </c>
    </row>
    <row r="658">
      <c r="A658" s="2" t="s">
        <v>2517</v>
      </c>
      <c r="B658" s="2" t="s">
        <v>87</v>
      </c>
      <c r="C658" s="2" t="s">
        <v>88</v>
      </c>
      <c r="D658" s="2" t="s">
        <v>2230</v>
      </c>
      <c r="E658" s="2" t="s">
        <v>2393</v>
      </c>
      <c r="F658" s="2" t="s">
        <v>2506</v>
      </c>
      <c r="G658" s="2" t="s">
        <v>2507</v>
      </c>
      <c r="H658" s="2" t="s">
        <v>2508</v>
      </c>
      <c r="I658" s="2" t="s">
        <v>2509</v>
      </c>
      <c r="J658" s="2" t="s">
        <v>785</v>
      </c>
      <c r="K658" s="2" t="s">
        <v>357</v>
      </c>
      <c r="L658" s="3">
        <v>54.99</v>
      </c>
      <c r="M658" s="3">
        <v>57.74</v>
      </c>
      <c r="N658" s="3">
        <v>109.99</v>
      </c>
      <c r="O658" s="2" t="s">
        <v>97</v>
      </c>
      <c r="P658" s="2" t="s">
        <v>98</v>
      </c>
      <c r="Q658" s="2" t="s">
        <v>99</v>
      </c>
      <c r="R658" s="2" t="s">
        <v>100</v>
      </c>
      <c r="S658" s="2" t="s">
        <v>2518</v>
      </c>
      <c r="T658" s="2" t="s">
        <v>100</v>
      </c>
      <c r="U658" s="2" t="s">
        <v>676</v>
      </c>
      <c r="V658" s="2" t="s">
        <v>663</v>
      </c>
      <c r="W658" s="2" t="s">
        <v>104</v>
      </c>
      <c r="X658" s="2" t="s">
        <v>2511</v>
      </c>
      <c r="Y658" s="2" t="s">
        <v>131</v>
      </c>
      <c r="Z658" s="4">
        <v>763</v>
      </c>
      <c r="AA658" s="4">
        <f>=ROUNDDOWN(40.1578947368421,0)</f>
      </c>
      <c r="AB658" s="5">
        <v>19</v>
      </c>
      <c r="AC658" s="2" t="s">
        <v>1282</v>
      </c>
      <c r="AD658" s="4">
        <v>230</v>
      </c>
      <c r="AE658" s="4">
        <v>230</v>
      </c>
      <c r="AF658" s="6">
        <v>64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/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/>
      <c r="BJ658" s="4">
        <v>12</v>
      </c>
      <c r="BK658" s="8">
        <v>652.71</v>
      </c>
      <c r="BL658" s="2" t="s">
        <v>224</v>
      </c>
      <c r="BM658" s="7"/>
      <c r="BN658" s="7"/>
      <c r="BO658" s="4"/>
      <c r="BP658" s="8"/>
      <c r="BQ658" s="4"/>
      <c r="BR658" s="8"/>
      <c r="BS658" s="7"/>
      <c r="BT658" s="7"/>
      <c r="BU658" s="2" t="s">
        <v>109</v>
      </c>
      <c r="BV658" s="2" t="s">
        <v>97</v>
      </c>
      <c r="BW658" s="2" t="s">
        <v>122</v>
      </c>
      <c r="BX658" s="2" t="s">
        <v>249</v>
      </c>
      <c r="BY658" s="2" t="s">
        <v>112</v>
      </c>
      <c r="BZ658" s="2" t="s">
        <v>100</v>
      </c>
    </row>
    <row r="659">
      <c r="A659" s="2" t="s">
        <v>2519</v>
      </c>
      <c r="B659" s="2" t="s">
        <v>87</v>
      </c>
      <c r="C659" s="2" t="s">
        <v>88</v>
      </c>
      <c r="D659" s="2" t="s">
        <v>2230</v>
      </c>
      <c r="E659" s="2" t="s">
        <v>2393</v>
      </c>
      <c r="F659" s="2" t="s">
        <v>2506</v>
      </c>
      <c r="G659" s="2" t="s">
        <v>2507</v>
      </c>
      <c r="H659" s="2" t="s">
        <v>2508</v>
      </c>
      <c r="I659" s="2" t="s">
        <v>2509</v>
      </c>
      <c r="J659" s="2" t="s">
        <v>795</v>
      </c>
      <c r="K659" s="2" t="s">
        <v>357</v>
      </c>
      <c r="L659" s="3">
        <v>59.99</v>
      </c>
      <c r="M659" s="3">
        <v>62.99</v>
      </c>
      <c r="N659" s="3">
        <v>119.99</v>
      </c>
      <c r="O659" s="2" t="s">
        <v>97</v>
      </c>
      <c r="P659" s="2" t="s">
        <v>98</v>
      </c>
      <c r="Q659" s="2" t="s">
        <v>99</v>
      </c>
      <c r="R659" s="2" t="s">
        <v>100</v>
      </c>
      <c r="S659" s="2" t="s">
        <v>2518</v>
      </c>
      <c r="T659" s="2" t="s">
        <v>100</v>
      </c>
      <c r="U659" s="2" t="s">
        <v>676</v>
      </c>
      <c r="V659" s="2" t="s">
        <v>663</v>
      </c>
      <c r="W659" s="2" t="s">
        <v>104</v>
      </c>
      <c r="X659" s="2" t="s">
        <v>2511</v>
      </c>
      <c r="Y659" s="2" t="s">
        <v>131</v>
      </c>
      <c r="Z659" s="4">
        <v>964</v>
      </c>
      <c r="AA659" s="4">
        <f>=ROUNDDOWN(60.25,0)</f>
      </c>
      <c r="AB659" s="5">
        <v>16</v>
      </c>
      <c r="AC659" s="2" t="s">
        <v>1282</v>
      </c>
      <c r="AD659" s="4">
        <v>330</v>
      </c>
      <c r="AE659" s="4">
        <v>330</v>
      </c>
      <c r="AF659" s="6">
        <v>64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/>
      <c r="AQ659" s="8"/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/>
      <c r="BJ659" s="4">
        <v>18</v>
      </c>
      <c r="BK659" s="8">
        <v>1095.92</v>
      </c>
      <c r="BL659" s="2" t="s">
        <v>2520</v>
      </c>
      <c r="BM659" s="7"/>
      <c r="BN659" s="7"/>
      <c r="BO659" s="4"/>
      <c r="BP659" s="8"/>
      <c r="BQ659" s="4"/>
      <c r="BR659" s="8"/>
      <c r="BS659" s="7"/>
      <c r="BT659" s="7"/>
      <c r="BU659" s="2" t="s">
        <v>109</v>
      </c>
      <c r="BV659" s="2" t="s">
        <v>97</v>
      </c>
      <c r="BW659" s="2" t="s">
        <v>122</v>
      </c>
      <c r="BX659" s="2" t="s">
        <v>219</v>
      </c>
      <c r="BY659" s="2" t="s">
        <v>112</v>
      </c>
      <c r="BZ659" s="2" t="s">
        <v>100</v>
      </c>
    </row>
    <row r="660">
      <c r="A660" s="2" t="s">
        <v>2521</v>
      </c>
      <c r="B660" s="2" t="s">
        <v>87</v>
      </c>
      <c r="C660" s="2" t="s">
        <v>88</v>
      </c>
      <c r="D660" s="2" t="s">
        <v>2230</v>
      </c>
      <c r="E660" s="2" t="s">
        <v>2393</v>
      </c>
      <c r="F660" s="2" t="s">
        <v>2522</v>
      </c>
      <c r="G660" s="2" t="s">
        <v>2523</v>
      </c>
      <c r="H660" s="2" t="s">
        <v>2524</v>
      </c>
      <c r="I660" s="2" t="s">
        <v>2397</v>
      </c>
      <c r="J660" s="2" t="s">
        <v>785</v>
      </c>
      <c r="K660" s="2" t="s">
        <v>2525</v>
      </c>
      <c r="L660" s="3">
        <v>54.99</v>
      </c>
      <c r="M660" s="3">
        <v>57.74</v>
      </c>
      <c r="N660" s="3">
        <v>109.99</v>
      </c>
      <c r="O660" s="2" t="s">
        <v>97</v>
      </c>
      <c r="P660" s="2" t="s">
        <v>98</v>
      </c>
      <c r="Q660" s="2" t="s">
        <v>99</v>
      </c>
      <c r="R660" s="2" t="s">
        <v>100</v>
      </c>
      <c r="S660" s="2" t="s">
        <v>2526</v>
      </c>
      <c r="T660" s="2" t="s">
        <v>100</v>
      </c>
      <c r="U660" s="2" t="s">
        <v>676</v>
      </c>
      <c r="V660" s="2" t="s">
        <v>284</v>
      </c>
      <c r="W660" s="2" t="s">
        <v>104</v>
      </c>
      <c r="X660" s="2" t="s">
        <v>2527</v>
      </c>
      <c r="Y660" s="2" t="s">
        <v>131</v>
      </c>
      <c r="Z660" s="4">
        <v>258</v>
      </c>
      <c r="AA660" s="4">
        <f>=ROUNDDOWN(36.8571428571429,0)</f>
      </c>
      <c r="AB660" s="5">
        <v>7</v>
      </c>
      <c r="AC660" s="2" t="s">
        <v>2404</v>
      </c>
      <c r="AD660" s="4">
        <v>99</v>
      </c>
      <c r="AE660" s="4">
        <v>99</v>
      </c>
      <c r="AF660" s="6">
        <v>65</v>
      </c>
      <c r="AG660" s="6">
        <v>73</v>
      </c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/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/>
      <c r="BJ660" s="4">
        <v>5</v>
      </c>
      <c r="BK660" s="8">
        <v>281.93</v>
      </c>
      <c r="BL660" s="2" t="s">
        <v>1963</v>
      </c>
      <c r="BM660" s="7"/>
      <c r="BN660" s="7"/>
      <c r="BO660" s="4"/>
      <c r="BP660" s="8"/>
      <c r="BQ660" s="4"/>
      <c r="BR660" s="8"/>
      <c r="BS660" s="7"/>
      <c r="BT660" s="7"/>
      <c r="BU660" s="2" t="s">
        <v>109</v>
      </c>
      <c r="BV660" s="2" t="s">
        <v>97</v>
      </c>
      <c r="BW660" s="2" t="s">
        <v>122</v>
      </c>
      <c r="BX660" s="2" t="s">
        <v>166</v>
      </c>
      <c r="BY660" s="2" t="s">
        <v>112</v>
      </c>
      <c r="BZ660" s="2" t="s">
        <v>100</v>
      </c>
    </row>
    <row r="661">
      <c r="A661" s="2" t="s">
        <v>2528</v>
      </c>
      <c r="B661" s="2" t="s">
        <v>87</v>
      </c>
      <c r="C661" s="2" t="s">
        <v>88</v>
      </c>
      <c r="D661" s="2" t="s">
        <v>2230</v>
      </c>
      <c r="E661" s="2" t="s">
        <v>2393</v>
      </c>
      <c r="F661" s="2" t="s">
        <v>2522</v>
      </c>
      <c r="G661" s="2" t="s">
        <v>2523</v>
      </c>
      <c r="H661" s="2" t="s">
        <v>2524</v>
      </c>
      <c r="I661" s="2" t="s">
        <v>2397</v>
      </c>
      <c r="J661" s="2" t="s">
        <v>795</v>
      </c>
      <c r="K661" s="2" t="s">
        <v>2525</v>
      </c>
      <c r="L661" s="3">
        <v>59.99</v>
      </c>
      <c r="M661" s="3">
        <v>62.99</v>
      </c>
      <c r="N661" s="3">
        <v>119.99</v>
      </c>
      <c r="O661" s="2" t="s">
        <v>97</v>
      </c>
      <c r="P661" s="2" t="s">
        <v>98</v>
      </c>
      <c r="Q661" s="2" t="s">
        <v>99</v>
      </c>
      <c r="R661" s="2" t="s">
        <v>100</v>
      </c>
      <c r="S661" s="2" t="s">
        <v>2526</v>
      </c>
      <c r="T661" s="2" t="s">
        <v>100</v>
      </c>
      <c r="U661" s="2" t="s">
        <v>676</v>
      </c>
      <c r="V661" s="2" t="s">
        <v>284</v>
      </c>
      <c r="W661" s="2" t="s">
        <v>104</v>
      </c>
      <c r="X661" s="2" t="s">
        <v>2527</v>
      </c>
      <c r="Y661" s="2" t="s">
        <v>131</v>
      </c>
      <c r="Z661" s="4">
        <v>831</v>
      </c>
      <c r="AA661" s="4">
        <f>=ROUNDDOWN(34.625,0)</f>
      </c>
      <c r="AB661" s="5">
        <v>24</v>
      </c>
      <c r="AC661" s="2" t="s">
        <v>907</v>
      </c>
      <c r="AD661" s="4">
        <v>140</v>
      </c>
      <c r="AE661" s="4">
        <v>420</v>
      </c>
      <c r="AF661" s="6">
        <v>65</v>
      </c>
      <c r="AG661" s="6">
        <v>73</v>
      </c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/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/>
      <c r="BJ661" s="4">
        <v>15</v>
      </c>
      <c r="BK661" s="8">
        <v>940.63</v>
      </c>
      <c r="BL661" s="2" t="s">
        <v>705</v>
      </c>
      <c r="BM661" s="7"/>
      <c r="BN661" s="7"/>
      <c r="BO661" s="4"/>
      <c r="BP661" s="8"/>
      <c r="BQ661" s="4"/>
      <c r="BR661" s="8"/>
      <c r="BS661" s="7"/>
      <c r="BT661" s="7"/>
      <c r="BU661" s="2" t="s">
        <v>109</v>
      </c>
      <c r="BV661" s="2" t="s">
        <v>97</v>
      </c>
      <c r="BW661" s="2" t="s">
        <v>122</v>
      </c>
      <c r="BX661" s="2" t="s">
        <v>723</v>
      </c>
      <c r="BY661" s="2" t="s">
        <v>112</v>
      </c>
      <c r="BZ661" s="2" t="s">
        <v>100</v>
      </c>
    </row>
    <row r="662">
      <c r="A662" s="2" t="s">
        <v>2529</v>
      </c>
      <c r="B662" s="2" t="s">
        <v>87</v>
      </c>
      <c r="C662" s="2" t="s">
        <v>88</v>
      </c>
      <c r="D662" s="2" t="s">
        <v>2230</v>
      </c>
      <c r="E662" s="2" t="s">
        <v>2393</v>
      </c>
      <c r="F662" s="2" t="s">
        <v>639</v>
      </c>
      <c r="G662" s="2" t="s">
        <v>640</v>
      </c>
      <c r="H662" s="2" t="s">
        <v>641</v>
      </c>
      <c r="I662" s="2" t="s">
        <v>2530</v>
      </c>
      <c r="J662" s="2" t="s">
        <v>785</v>
      </c>
      <c r="K662" s="2" t="s">
        <v>213</v>
      </c>
      <c r="L662" s="3">
        <v>52.8</v>
      </c>
      <c r="M662" s="3">
        <v>55.43</v>
      </c>
      <c r="N662" s="3">
        <v>109.99</v>
      </c>
      <c r="O662" s="2" t="s">
        <v>97</v>
      </c>
      <c r="P662" s="2" t="s">
        <v>242</v>
      </c>
      <c r="Q662" s="2" t="s">
        <v>99</v>
      </c>
      <c r="R662" s="2" t="s">
        <v>100</v>
      </c>
      <c r="S662" s="2" t="s">
        <v>643</v>
      </c>
      <c r="T662" s="2" t="s">
        <v>100</v>
      </c>
      <c r="U662" s="2" t="s">
        <v>1459</v>
      </c>
      <c r="V662" s="2" t="s">
        <v>645</v>
      </c>
      <c r="W662" s="2" t="s">
        <v>646</v>
      </c>
      <c r="X662" s="2" t="s">
        <v>647</v>
      </c>
      <c r="Y662" s="2" t="s">
        <v>131</v>
      </c>
      <c r="Z662" s="4">
        <v>6</v>
      </c>
      <c r="AA662" s="4">
        <f>=ROUNDDOWN(0.461538461538462,0)</f>
      </c>
      <c r="AB662" s="5">
        <v>13</v>
      </c>
      <c r="AC662" s="2" t="s">
        <v>107</v>
      </c>
      <c r="AD662" s="4">
        <v>50</v>
      </c>
      <c r="AE662" s="4">
        <v>430</v>
      </c>
      <c r="AF662" s="6">
        <v>65</v>
      </c>
      <c r="AG662" s="6">
        <v>48</v>
      </c>
      <c r="AH662" s="7">
        <v>0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 t="s">
        <v>100</v>
      </c>
      <c r="AW662" s="8" t="s">
        <v>100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/>
      <c r="BC662" s="4" t="s">
        <v>100</v>
      </c>
      <c r="BD662" s="8" t="s">
        <v>100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/>
      <c r="BJ662" s="4">
        <v>2</v>
      </c>
      <c r="BK662" s="8">
        <v>111.95</v>
      </c>
      <c r="BL662" s="2" t="s">
        <v>2531</v>
      </c>
      <c r="BM662" s="7"/>
      <c r="BN662" s="7"/>
      <c r="BO662" s="4"/>
      <c r="BP662" s="8"/>
      <c r="BQ662" s="4"/>
      <c r="BR662" s="8"/>
      <c r="BS662" s="7"/>
      <c r="BT662" s="7"/>
      <c r="BU662" s="2" t="s">
        <v>109</v>
      </c>
      <c r="BV662" s="2" t="s">
        <v>97</v>
      </c>
      <c r="BW662" s="2" t="s">
        <v>122</v>
      </c>
      <c r="BX662" s="2" t="s">
        <v>170</v>
      </c>
      <c r="BY662" s="2" t="s">
        <v>112</v>
      </c>
      <c r="BZ662" s="2" t="s">
        <v>100</v>
      </c>
    </row>
    <row r="663">
      <c r="A663" s="2" t="s">
        <v>2532</v>
      </c>
      <c r="B663" s="2" t="s">
        <v>87</v>
      </c>
      <c r="C663" s="2" t="s">
        <v>88</v>
      </c>
      <c r="D663" s="2" t="s">
        <v>2230</v>
      </c>
      <c r="E663" s="2" t="s">
        <v>2393</v>
      </c>
      <c r="F663" s="2" t="s">
        <v>639</v>
      </c>
      <c r="G663" s="2" t="s">
        <v>640</v>
      </c>
      <c r="H663" s="2" t="s">
        <v>641</v>
      </c>
      <c r="I663" s="2" t="s">
        <v>2530</v>
      </c>
      <c r="J663" s="2" t="s">
        <v>795</v>
      </c>
      <c r="K663" s="2" t="s">
        <v>213</v>
      </c>
      <c r="L663" s="3">
        <v>57.6</v>
      </c>
      <c r="M663" s="3">
        <v>60.47</v>
      </c>
      <c r="N663" s="3">
        <v>119.99</v>
      </c>
      <c r="O663" s="2" t="s">
        <v>97</v>
      </c>
      <c r="P663" s="2" t="s">
        <v>242</v>
      </c>
      <c r="Q663" s="2" t="s">
        <v>99</v>
      </c>
      <c r="R663" s="2" t="s">
        <v>100</v>
      </c>
      <c r="S663" s="2" t="s">
        <v>643</v>
      </c>
      <c r="T663" s="2" t="s">
        <v>100</v>
      </c>
      <c r="U663" s="2" t="s">
        <v>1459</v>
      </c>
      <c r="V663" s="2" t="s">
        <v>645</v>
      </c>
      <c r="W663" s="2" t="s">
        <v>646</v>
      </c>
      <c r="X663" s="2" t="s">
        <v>647</v>
      </c>
      <c r="Y663" s="2" t="s">
        <v>131</v>
      </c>
      <c r="Z663" s="4">
        <v>246</v>
      </c>
      <c r="AA663" s="4">
        <f>=ROUNDDOWN(17.5714285714286,0)</f>
      </c>
      <c r="AB663" s="5">
        <v>14</v>
      </c>
      <c r="AC663" s="2" t="s">
        <v>648</v>
      </c>
      <c r="AD663" s="4">
        <v>30</v>
      </c>
      <c r="AE663" s="4">
        <v>250</v>
      </c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/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/>
      <c r="BJ663" s="4">
        <v>13</v>
      </c>
      <c r="BK663" s="8">
        <v>798.38</v>
      </c>
      <c r="BL663" s="2" t="s">
        <v>2533</v>
      </c>
      <c r="BM663" s="7"/>
      <c r="BN663" s="7"/>
      <c r="BO663" s="4"/>
      <c r="BP663" s="8"/>
      <c r="BQ663" s="4"/>
      <c r="BR663" s="8"/>
      <c r="BS663" s="7"/>
      <c r="BT663" s="7"/>
      <c r="BU663" s="2" t="s">
        <v>109</v>
      </c>
      <c r="BV663" s="2" t="s">
        <v>97</v>
      </c>
      <c r="BW663" s="2" t="s">
        <v>452</v>
      </c>
      <c r="BX663" s="2" t="s">
        <v>2534</v>
      </c>
      <c r="BY663" s="2" t="s">
        <v>112</v>
      </c>
      <c r="BZ663" s="2" t="s">
        <v>100</v>
      </c>
    </row>
    <row r="664">
      <c r="A664" s="2" t="s">
        <v>2535</v>
      </c>
      <c r="B664" s="2" t="s">
        <v>87</v>
      </c>
      <c r="C664" s="2" t="s">
        <v>88</v>
      </c>
      <c r="D664" s="2" t="s">
        <v>2230</v>
      </c>
      <c r="E664" s="2" t="s">
        <v>2393</v>
      </c>
      <c r="F664" s="2" t="s">
        <v>2536</v>
      </c>
      <c r="G664" s="2" t="s">
        <v>2537</v>
      </c>
      <c r="H664" s="2" t="s">
        <v>2538</v>
      </c>
      <c r="I664" s="2" t="s">
        <v>2419</v>
      </c>
      <c r="J664" s="2" t="s">
        <v>785</v>
      </c>
      <c r="K664" s="2" t="s">
        <v>340</v>
      </c>
      <c r="L664" s="3">
        <v>49.5</v>
      </c>
      <c r="M664" s="3">
        <v>51.98</v>
      </c>
      <c r="N664" s="3">
        <v>99.99</v>
      </c>
      <c r="O664" s="2" t="s">
        <v>97</v>
      </c>
      <c r="P664" s="2" t="s">
        <v>98</v>
      </c>
      <c r="Q664" s="2" t="s">
        <v>99</v>
      </c>
      <c r="R664" s="2" t="s">
        <v>100</v>
      </c>
      <c r="S664" s="2" t="s">
        <v>2539</v>
      </c>
      <c r="T664" s="2" t="s">
        <v>100</v>
      </c>
      <c r="U664" s="2" t="s">
        <v>676</v>
      </c>
      <c r="V664" s="2" t="s">
        <v>608</v>
      </c>
      <c r="W664" s="2" t="s">
        <v>104</v>
      </c>
      <c r="X664" s="2" t="s">
        <v>399</v>
      </c>
      <c r="Y664" s="2" t="s">
        <v>131</v>
      </c>
      <c r="Z664" s="4">
        <v>581</v>
      </c>
      <c r="AA664" s="4">
        <f>=ROUNDDOWN(64.5555555555556,0)</f>
      </c>
      <c r="AB664" s="5">
        <v>9</v>
      </c>
      <c r="AC664" s="2" t="s">
        <v>100</v>
      </c>
      <c r="AD664" s="4"/>
      <c r="AE664" s="4"/>
      <c r="AF664" s="6">
        <v>65</v>
      </c>
      <c r="AG664" s="6">
        <v>73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 t="s">
        <v>100</v>
      </c>
      <c r="AW664" s="8" t="s">
        <v>100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/>
      <c r="BJ664" s="4">
        <v>6</v>
      </c>
      <c r="BK664" s="8">
        <v>335.07</v>
      </c>
      <c r="BL664" s="2" t="s">
        <v>705</v>
      </c>
      <c r="BM664" s="7"/>
      <c r="BN664" s="7"/>
      <c r="BO664" s="4"/>
      <c r="BP664" s="8"/>
      <c r="BQ664" s="4"/>
      <c r="BR664" s="8"/>
      <c r="BS664" s="7"/>
      <c r="BT664" s="7"/>
      <c r="BU664" s="2" t="s">
        <v>109</v>
      </c>
      <c r="BV664" s="2" t="s">
        <v>97</v>
      </c>
      <c r="BW664" s="2" t="s">
        <v>122</v>
      </c>
      <c r="BX664" s="2" t="s">
        <v>219</v>
      </c>
      <c r="BY664" s="2" t="s">
        <v>112</v>
      </c>
      <c r="BZ664" s="2" t="s">
        <v>100</v>
      </c>
    </row>
    <row r="665">
      <c r="A665" s="2" t="s">
        <v>2540</v>
      </c>
      <c r="B665" s="2" t="s">
        <v>87</v>
      </c>
      <c r="C665" s="2" t="s">
        <v>88</v>
      </c>
      <c r="D665" s="2" t="s">
        <v>2230</v>
      </c>
      <c r="E665" s="2" t="s">
        <v>2393</v>
      </c>
      <c r="F665" s="2" t="s">
        <v>2536</v>
      </c>
      <c r="G665" s="2" t="s">
        <v>2537</v>
      </c>
      <c r="H665" s="2" t="s">
        <v>2538</v>
      </c>
      <c r="I665" s="2" t="s">
        <v>2419</v>
      </c>
      <c r="J665" s="2" t="s">
        <v>795</v>
      </c>
      <c r="K665" s="2" t="s">
        <v>340</v>
      </c>
      <c r="L665" s="3">
        <v>53.99</v>
      </c>
      <c r="M665" s="3">
        <v>56.69</v>
      </c>
      <c r="N665" s="3">
        <v>109.99</v>
      </c>
      <c r="O665" s="2" t="s">
        <v>97</v>
      </c>
      <c r="P665" s="2" t="s">
        <v>98</v>
      </c>
      <c r="Q665" s="2" t="s">
        <v>99</v>
      </c>
      <c r="R665" s="2" t="s">
        <v>100</v>
      </c>
      <c r="S665" s="2" t="s">
        <v>2539</v>
      </c>
      <c r="T665" s="2" t="s">
        <v>100</v>
      </c>
      <c r="U665" s="2" t="s">
        <v>676</v>
      </c>
      <c r="V665" s="2" t="s">
        <v>608</v>
      </c>
      <c r="W665" s="2" t="s">
        <v>104</v>
      </c>
      <c r="X665" s="2" t="s">
        <v>399</v>
      </c>
      <c r="Y665" s="2" t="s">
        <v>131</v>
      </c>
      <c r="Z665" s="4">
        <v>956</v>
      </c>
      <c r="AA665" s="4">
        <f>=ROUNDDOWN(68.2857142857143,0)</f>
      </c>
      <c r="AB665" s="5">
        <v>14</v>
      </c>
      <c r="AC665" s="2" t="s">
        <v>100</v>
      </c>
      <c r="AD665" s="4"/>
      <c r="AE665" s="4"/>
      <c r="AF665" s="6">
        <v>65</v>
      </c>
      <c r="AG665" s="6">
        <v>73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/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/>
      <c r="BJ665" s="4">
        <v>11</v>
      </c>
      <c r="BK665" s="8">
        <v>665.66</v>
      </c>
      <c r="BL665" s="2" t="s">
        <v>2541</v>
      </c>
      <c r="BM665" s="7"/>
      <c r="BN665" s="7"/>
      <c r="BO665" s="4"/>
      <c r="BP665" s="8"/>
      <c r="BQ665" s="4"/>
      <c r="BR665" s="8"/>
      <c r="BS665" s="7"/>
      <c r="BT665" s="7"/>
      <c r="BU665" s="2" t="s">
        <v>109</v>
      </c>
      <c r="BV665" s="2" t="s">
        <v>97</v>
      </c>
      <c r="BW665" s="2" t="s">
        <v>122</v>
      </c>
      <c r="BX665" s="2" t="s">
        <v>457</v>
      </c>
      <c r="BY665" s="2" t="s">
        <v>112</v>
      </c>
      <c r="BZ665" s="2" t="s">
        <v>100</v>
      </c>
    </row>
    <row r="666">
      <c r="A666" s="2" t="s">
        <v>2542</v>
      </c>
      <c r="B666" s="2" t="s">
        <v>87</v>
      </c>
      <c r="C666" s="2" t="s">
        <v>88</v>
      </c>
      <c r="D666" s="2" t="s">
        <v>2230</v>
      </c>
      <c r="E666" s="2" t="s">
        <v>2393</v>
      </c>
      <c r="F666" s="2" t="s">
        <v>2536</v>
      </c>
      <c r="G666" s="2" t="s">
        <v>2537</v>
      </c>
      <c r="H666" s="2" t="s">
        <v>2538</v>
      </c>
      <c r="I666" s="2" t="s">
        <v>2419</v>
      </c>
      <c r="J666" s="2" t="s">
        <v>785</v>
      </c>
      <c r="K666" s="2" t="s">
        <v>1659</v>
      </c>
      <c r="L666" s="3">
        <v>49.5</v>
      </c>
      <c r="M666" s="3">
        <v>51.98</v>
      </c>
      <c r="N666" s="3">
        <v>99.99</v>
      </c>
      <c r="O666" s="2" t="s">
        <v>473</v>
      </c>
      <c r="P666" s="2" t="s">
        <v>447</v>
      </c>
      <c r="Q666" s="2" t="s">
        <v>99</v>
      </c>
      <c r="R666" s="2" t="s">
        <v>100</v>
      </c>
      <c r="S666" s="2" t="s">
        <v>2543</v>
      </c>
      <c r="T666" s="2" t="s">
        <v>100</v>
      </c>
      <c r="U666" s="2" t="s">
        <v>676</v>
      </c>
      <c r="V666" s="2" t="s">
        <v>608</v>
      </c>
      <c r="W666" s="2" t="s">
        <v>104</v>
      </c>
      <c r="X666" s="2" t="s">
        <v>399</v>
      </c>
      <c r="Y666" s="2" t="s">
        <v>131</v>
      </c>
      <c r="Z666" s="4">
        <v>701</v>
      </c>
      <c r="AA666" s="4">
        <f>=ROUNDDOWN(100.142857142857,0)</f>
      </c>
      <c r="AB666" s="5">
        <v>7</v>
      </c>
      <c r="AC666" s="2" t="s">
        <v>100</v>
      </c>
      <c r="AD666" s="4"/>
      <c r="AE666" s="4"/>
      <c r="AF666" s="6">
        <v>65</v>
      </c>
      <c r="AG666" s="6">
        <v>73</v>
      </c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 t="s">
        <v>100</v>
      </c>
      <c r="AW666" s="8" t="s">
        <v>100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/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/>
      <c r="BJ666" s="4">
        <v>1</v>
      </c>
      <c r="BK666" s="8">
        <v>38.99</v>
      </c>
      <c r="BL666" s="2" t="s">
        <v>2544</v>
      </c>
      <c r="BM666" s="7"/>
      <c r="BN666" s="7"/>
      <c r="BO666" s="4"/>
      <c r="BP666" s="8"/>
      <c r="BQ666" s="4"/>
      <c r="BR666" s="8"/>
      <c r="BS666" s="7"/>
      <c r="BT666" s="7"/>
      <c r="BU666" s="2" t="s">
        <v>109</v>
      </c>
      <c r="BV666" s="2" t="s">
        <v>97</v>
      </c>
      <c r="BW666" s="2" t="s">
        <v>122</v>
      </c>
      <c r="BX666" s="2" t="s">
        <v>225</v>
      </c>
      <c r="BY666" s="2" t="s">
        <v>112</v>
      </c>
      <c r="BZ666" s="2" t="s">
        <v>100</v>
      </c>
    </row>
    <row r="667">
      <c r="A667" s="2" t="s">
        <v>2545</v>
      </c>
      <c r="B667" s="2" t="s">
        <v>87</v>
      </c>
      <c r="C667" s="2" t="s">
        <v>88</v>
      </c>
      <c r="D667" s="2" t="s">
        <v>2230</v>
      </c>
      <c r="E667" s="2" t="s">
        <v>2393</v>
      </c>
      <c r="F667" s="2" t="s">
        <v>2536</v>
      </c>
      <c r="G667" s="2" t="s">
        <v>2537</v>
      </c>
      <c r="H667" s="2" t="s">
        <v>2538</v>
      </c>
      <c r="I667" s="2" t="s">
        <v>2419</v>
      </c>
      <c r="J667" s="2" t="s">
        <v>795</v>
      </c>
      <c r="K667" s="2" t="s">
        <v>1659</v>
      </c>
      <c r="L667" s="3">
        <v>53.99</v>
      </c>
      <c r="M667" s="3">
        <v>56.69</v>
      </c>
      <c r="N667" s="3">
        <v>109.99</v>
      </c>
      <c r="O667" s="2" t="s">
        <v>473</v>
      </c>
      <c r="P667" s="2" t="s">
        <v>447</v>
      </c>
      <c r="Q667" s="2" t="s">
        <v>99</v>
      </c>
      <c r="R667" s="2" t="s">
        <v>100</v>
      </c>
      <c r="S667" s="2" t="s">
        <v>2543</v>
      </c>
      <c r="T667" s="2" t="s">
        <v>100</v>
      </c>
      <c r="U667" s="2" t="s">
        <v>676</v>
      </c>
      <c r="V667" s="2" t="s">
        <v>608</v>
      </c>
      <c r="W667" s="2" t="s">
        <v>104</v>
      </c>
      <c r="X667" s="2" t="s">
        <v>399</v>
      </c>
      <c r="Y667" s="2" t="s">
        <v>131</v>
      </c>
      <c r="Z667" s="4">
        <v>966</v>
      </c>
      <c r="AA667" s="4">
        <f>=ROUNDDOWN(87.8181818181818,0)</f>
      </c>
      <c r="AB667" s="5">
        <v>11</v>
      </c>
      <c r="AC667" s="2" t="s">
        <v>100</v>
      </c>
      <c r="AD667" s="4"/>
      <c r="AE667" s="4"/>
      <c r="AF667" s="6">
        <v>65</v>
      </c>
      <c r="AG667" s="6">
        <v>73</v>
      </c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/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/>
      <c r="BJ667" s="4">
        <v>7</v>
      </c>
      <c r="BK667" s="8">
        <v>367.51</v>
      </c>
      <c r="BL667" s="2" t="s">
        <v>830</v>
      </c>
      <c r="BM667" s="7"/>
      <c r="BN667" s="7"/>
      <c r="BO667" s="4"/>
      <c r="BP667" s="8"/>
      <c r="BQ667" s="4"/>
      <c r="BR667" s="8"/>
      <c r="BS667" s="7"/>
      <c r="BT667" s="7"/>
      <c r="BU667" s="2" t="s">
        <v>109</v>
      </c>
      <c r="BV667" s="2" t="s">
        <v>97</v>
      </c>
      <c r="BW667" s="2" t="s">
        <v>160</v>
      </c>
      <c r="BX667" s="2" t="s">
        <v>222</v>
      </c>
      <c r="BY667" s="2" t="s">
        <v>112</v>
      </c>
      <c r="BZ667" s="2" t="s">
        <v>100</v>
      </c>
    </row>
    <row r="668">
      <c r="A668" s="2" t="s">
        <v>2546</v>
      </c>
      <c r="B668" s="2" t="s">
        <v>87</v>
      </c>
      <c r="C668" s="2" t="s">
        <v>88</v>
      </c>
      <c r="D668" s="2" t="s">
        <v>2230</v>
      </c>
      <c r="E668" s="2" t="s">
        <v>2393</v>
      </c>
      <c r="F668" s="2" t="s">
        <v>669</v>
      </c>
      <c r="G668" s="2" t="s">
        <v>670</v>
      </c>
      <c r="H668" s="2" t="s">
        <v>671</v>
      </c>
      <c r="I668" s="2" t="s">
        <v>2547</v>
      </c>
      <c r="J668" s="2" t="s">
        <v>785</v>
      </c>
      <c r="K668" s="2" t="s">
        <v>340</v>
      </c>
      <c r="L668" s="3">
        <v>59.99</v>
      </c>
      <c r="M668" s="3">
        <v>62.99</v>
      </c>
      <c r="N668" s="3">
        <v>119.99</v>
      </c>
      <c r="O668" s="2" t="s">
        <v>97</v>
      </c>
      <c r="P668" s="2" t="s">
        <v>98</v>
      </c>
      <c r="Q668" s="2" t="s">
        <v>99</v>
      </c>
      <c r="R668" s="2" t="s">
        <v>100</v>
      </c>
      <c r="S668" s="2" t="s">
        <v>708</v>
      </c>
      <c r="T668" s="2" t="s">
        <v>100</v>
      </c>
      <c r="U668" s="2" t="s">
        <v>676</v>
      </c>
      <c r="V668" s="2" t="s">
        <v>677</v>
      </c>
      <c r="W668" s="2" t="s">
        <v>104</v>
      </c>
      <c r="X668" s="2" t="s">
        <v>678</v>
      </c>
      <c r="Y668" s="2" t="s">
        <v>131</v>
      </c>
      <c r="Z668" s="4">
        <v>493</v>
      </c>
      <c r="AA668" s="4">
        <f>=ROUNDDOWN(37.9230769230769,0)</f>
      </c>
      <c r="AB668" s="5">
        <v>13</v>
      </c>
      <c r="AC668" s="2" t="s">
        <v>100</v>
      </c>
      <c r="AD668" s="4"/>
      <c r="AE668" s="4"/>
      <c r="AF668" s="6">
        <v>65</v>
      </c>
      <c r="AG668" s="6">
        <v>73</v>
      </c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 t="s">
        <v>100</v>
      </c>
      <c r="AW668" s="8" t="s">
        <v>100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/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/>
      <c r="BJ668" s="4">
        <v>8</v>
      </c>
      <c r="BK668" s="8">
        <v>500.05</v>
      </c>
      <c r="BL668" s="2" t="s">
        <v>2548</v>
      </c>
      <c r="BM668" s="7"/>
      <c r="BN668" s="7"/>
      <c r="BO668" s="4"/>
      <c r="BP668" s="8"/>
      <c r="BQ668" s="4"/>
      <c r="BR668" s="8"/>
      <c r="BS668" s="7"/>
      <c r="BT668" s="7"/>
      <c r="BU668" s="2" t="s">
        <v>109</v>
      </c>
      <c r="BV668" s="2" t="s">
        <v>97</v>
      </c>
      <c r="BW668" s="2" t="s">
        <v>122</v>
      </c>
      <c r="BX668" s="2" t="s">
        <v>621</v>
      </c>
      <c r="BY668" s="2" t="s">
        <v>112</v>
      </c>
      <c r="BZ668" s="2" t="s">
        <v>100</v>
      </c>
    </row>
    <row r="669">
      <c r="A669" s="2" t="s">
        <v>2549</v>
      </c>
      <c r="B669" s="2" t="s">
        <v>87</v>
      </c>
      <c r="C669" s="2" t="s">
        <v>88</v>
      </c>
      <c r="D669" s="2" t="s">
        <v>2230</v>
      </c>
      <c r="E669" s="2" t="s">
        <v>2393</v>
      </c>
      <c r="F669" s="2" t="s">
        <v>669</v>
      </c>
      <c r="G669" s="2" t="s">
        <v>670</v>
      </c>
      <c r="H669" s="2" t="s">
        <v>671</v>
      </c>
      <c r="I669" s="2" t="s">
        <v>2547</v>
      </c>
      <c r="J669" s="2" t="s">
        <v>795</v>
      </c>
      <c r="K669" s="2" t="s">
        <v>340</v>
      </c>
      <c r="L669" s="3">
        <v>66.29</v>
      </c>
      <c r="M669" s="3">
        <v>69.61</v>
      </c>
      <c r="N669" s="3">
        <v>129.99</v>
      </c>
      <c r="O669" s="2" t="s">
        <v>97</v>
      </c>
      <c r="P669" s="2" t="s">
        <v>98</v>
      </c>
      <c r="Q669" s="2" t="s">
        <v>99</v>
      </c>
      <c r="R669" s="2" t="s">
        <v>100</v>
      </c>
      <c r="S669" s="2" t="s">
        <v>708</v>
      </c>
      <c r="T669" s="2" t="s">
        <v>100</v>
      </c>
      <c r="U669" s="2" t="s">
        <v>676</v>
      </c>
      <c r="V669" s="2" t="s">
        <v>677</v>
      </c>
      <c r="W669" s="2" t="s">
        <v>104</v>
      </c>
      <c r="X669" s="2" t="s">
        <v>678</v>
      </c>
      <c r="Y669" s="2" t="s">
        <v>131</v>
      </c>
      <c r="Z669" s="4">
        <v>590</v>
      </c>
      <c r="AA669" s="4">
        <f>=ROUNDDOWN(42.1428571428571,0)</f>
      </c>
      <c r="AB669" s="5">
        <v>14</v>
      </c>
      <c r="AC669" s="2" t="s">
        <v>100</v>
      </c>
      <c r="AD669" s="4"/>
      <c r="AE669" s="4"/>
      <c r="AF669" s="6">
        <v>65</v>
      </c>
      <c r="AG669" s="6">
        <v>73</v>
      </c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/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/>
      <c r="BJ669" s="4">
        <v>6</v>
      </c>
      <c r="BK669" s="8">
        <v>411.87</v>
      </c>
      <c r="BL669" s="2" t="s">
        <v>200</v>
      </c>
      <c r="BM669" s="7"/>
      <c r="BN669" s="7"/>
      <c r="BO669" s="4"/>
      <c r="BP669" s="8"/>
      <c r="BQ669" s="4"/>
      <c r="BR669" s="8"/>
      <c r="BS669" s="7"/>
      <c r="BT669" s="7"/>
      <c r="BU669" s="2" t="s">
        <v>109</v>
      </c>
      <c r="BV669" s="2" t="s">
        <v>97</v>
      </c>
      <c r="BW669" s="2" t="s">
        <v>122</v>
      </c>
      <c r="BX669" s="2" t="s">
        <v>2385</v>
      </c>
      <c r="BY669" s="2" t="s">
        <v>112</v>
      </c>
      <c r="BZ669" s="2" t="s">
        <v>100</v>
      </c>
    </row>
    <row r="670">
      <c r="A670" s="2" t="s">
        <v>2550</v>
      </c>
      <c r="B670" s="2" t="s">
        <v>87</v>
      </c>
      <c r="C670" s="2" t="s">
        <v>88</v>
      </c>
      <c r="D670" s="2" t="s">
        <v>2230</v>
      </c>
      <c r="E670" s="2" t="s">
        <v>2393</v>
      </c>
      <c r="F670" s="2" t="s">
        <v>669</v>
      </c>
      <c r="G670" s="2" t="s">
        <v>670</v>
      </c>
      <c r="H670" s="2" t="s">
        <v>671</v>
      </c>
      <c r="I670" s="2" t="s">
        <v>2547</v>
      </c>
      <c r="J670" s="2" t="s">
        <v>785</v>
      </c>
      <c r="K670" s="2" t="s">
        <v>674</v>
      </c>
      <c r="L670" s="3">
        <v>59.99</v>
      </c>
      <c r="M670" s="3">
        <v>62.99</v>
      </c>
      <c r="N670" s="3">
        <v>119.99</v>
      </c>
      <c r="O670" s="2" t="s">
        <v>97</v>
      </c>
      <c r="P670" s="2" t="s">
        <v>242</v>
      </c>
      <c r="Q670" s="2" t="s">
        <v>99</v>
      </c>
      <c r="R670" s="2" t="s">
        <v>100</v>
      </c>
      <c r="S670" s="2" t="s">
        <v>675</v>
      </c>
      <c r="T670" s="2" t="s">
        <v>100</v>
      </c>
      <c r="U670" s="2" t="s">
        <v>676</v>
      </c>
      <c r="V670" s="2" t="s">
        <v>677</v>
      </c>
      <c r="W670" s="2" t="s">
        <v>104</v>
      </c>
      <c r="X670" s="2" t="s">
        <v>678</v>
      </c>
      <c r="Y670" s="2" t="s">
        <v>2551</v>
      </c>
      <c r="Z670" s="4">
        <v>325</v>
      </c>
      <c r="AA670" s="4">
        <f>=ROUNDDOWN(23.2142857142857,0)</f>
      </c>
      <c r="AB670" s="5">
        <v>14</v>
      </c>
      <c r="AC670" s="2" t="s">
        <v>2552</v>
      </c>
      <c r="AD670" s="4">
        <v>200</v>
      </c>
      <c r="AE670" s="4">
        <v>350</v>
      </c>
      <c r="AF670" s="6">
        <v>65</v>
      </c>
      <c r="AG670" s="6">
        <v>73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 t="s">
        <v>100</v>
      </c>
      <c r="AW670" s="8" t="s">
        <v>100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/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/>
      <c r="BJ670" s="4">
        <v>7</v>
      </c>
      <c r="BK670" s="8">
        <v>431.84</v>
      </c>
      <c r="BL670" s="2" t="s">
        <v>1220</v>
      </c>
      <c r="BM670" s="7"/>
      <c r="BN670" s="7"/>
      <c r="BO670" s="4"/>
      <c r="BP670" s="8"/>
      <c r="BQ670" s="4"/>
      <c r="BR670" s="8"/>
      <c r="BS670" s="7"/>
      <c r="BT670" s="7"/>
      <c r="BU670" s="2" t="s">
        <v>109</v>
      </c>
      <c r="BV670" s="2" t="s">
        <v>97</v>
      </c>
      <c r="BW670" s="2" t="s">
        <v>266</v>
      </c>
      <c r="BX670" s="2" t="s">
        <v>2553</v>
      </c>
      <c r="BY670" s="2" t="s">
        <v>112</v>
      </c>
      <c r="BZ670" s="2" t="s">
        <v>100</v>
      </c>
    </row>
    <row r="671">
      <c r="A671" s="2" t="s">
        <v>2554</v>
      </c>
      <c r="B671" s="2" t="s">
        <v>87</v>
      </c>
      <c r="C671" s="2" t="s">
        <v>88</v>
      </c>
      <c r="D671" s="2" t="s">
        <v>2230</v>
      </c>
      <c r="E671" s="2" t="s">
        <v>2393</v>
      </c>
      <c r="F671" s="2" t="s">
        <v>669</v>
      </c>
      <c r="G671" s="2" t="s">
        <v>670</v>
      </c>
      <c r="H671" s="2" t="s">
        <v>671</v>
      </c>
      <c r="I671" s="2" t="s">
        <v>2547</v>
      </c>
      <c r="J671" s="2" t="s">
        <v>795</v>
      </c>
      <c r="K671" s="2" t="s">
        <v>674</v>
      </c>
      <c r="L671" s="3">
        <v>66.29</v>
      </c>
      <c r="M671" s="3">
        <v>69.61</v>
      </c>
      <c r="N671" s="3">
        <v>129.99</v>
      </c>
      <c r="O671" s="2" t="s">
        <v>97</v>
      </c>
      <c r="P671" s="2" t="s">
        <v>242</v>
      </c>
      <c r="Q671" s="2" t="s">
        <v>99</v>
      </c>
      <c r="R671" s="2" t="s">
        <v>100</v>
      </c>
      <c r="S671" s="2" t="s">
        <v>675</v>
      </c>
      <c r="T671" s="2" t="s">
        <v>100</v>
      </c>
      <c r="U671" s="2" t="s">
        <v>676</v>
      </c>
      <c r="V671" s="2" t="s">
        <v>677</v>
      </c>
      <c r="W671" s="2" t="s">
        <v>104</v>
      </c>
      <c r="X671" s="2" t="s">
        <v>678</v>
      </c>
      <c r="Y671" s="2" t="s">
        <v>2551</v>
      </c>
      <c r="Z671" s="4">
        <v>554</v>
      </c>
      <c r="AA671" s="4">
        <f>=ROUNDDOWN(29.1578947368421,0)</f>
      </c>
      <c r="AB671" s="5">
        <v>19</v>
      </c>
      <c r="AC671" s="2" t="s">
        <v>2555</v>
      </c>
      <c r="AD671" s="4">
        <v>150</v>
      </c>
      <c r="AE671" s="4">
        <v>150</v>
      </c>
      <c r="AF671" s="6">
        <v>65</v>
      </c>
      <c r="AG671" s="6">
        <v>73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/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/>
      <c r="BJ671" s="4">
        <v>10</v>
      </c>
      <c r="BK671" s="8">
        <v>676.57</v>
      </c>
      <c r="BL671" s="2" t="s">
        <v>698</v>
      </c>
      <c r="BM671" s="7"/>
      <c r="BN671" s="7"/>
      <c r="BO671" s="4"/>
      <c r="BP671" s="8"/>
      <c r="BQ671" s="4"/>
      <c r="BR671" s="8"/>
      <c r="BS671" s="7"/>
      <c r="BT671" s="7"/>
      <c r="BU671" s="2" t="s">
        <v>109</v>
      </c>
      <c r="BV671" s="2" t="s">
        <v>97</v>
      </c>
      <c r="BW671" s="2" t="s">
        <v>266</v>
      </c>
      <c r="BX671" s="2" t="s">
        <v>389</v>
      </c>
      <c r="BY671" s="2" t="s">
        <v>112</v>
      </c>
      <c r="BZ671" s="2" t="s">
        <v>100</v>
      </c>
    </row>
    <row r="672">
      <c r="A672" s="2" t="s">
        <v>2556</v>
      </c>
      <c r="B672" s="2" t="s">
        <v>87</v>
      </c>
      <c r="C672" s="2" t="s">
        <v>88</v>
      </c>
      <c r="D672" s="2" t="s">
        <v>2230</v>
      </c>
      <c r="E672" s="2" t="s">
        <v>2393</v>
      </c>
      <c r="F672" s="2" t="s">
        <v>669</v>
      </c>
      <c r="G672" s="2" t="s">
        <v>670</v>
      </c>
      <c r="H672" s="2" t="s">
        <v>671</v>
      </c>
      <c r="I672" s="2" t="s">
        <v>2547</v>
      </c>
      <c r="J672" s="2" t="s">
        <v>785</v>
      </c>
      <c r="K672" s="2" t="s">
        <v>718</v>
      </c>
      <c r="L672" s="3">
        <v>59.99</v>
      </c>
      <c r="M672" s="3">
        <v>62.99</v>
      </c>
      <c r="N672" s="3">
        <v>119.99</v>
      </c>
      <c r="O672" s="2" t="s">
        <v>97</v>
      </c>
      <c r="P672" s="2" t="s">
        <v>242</v>
      </c>
      <c r="Q672" s="2" t="s">
        <v>99</v>
      </c>
      <c r="R672" s="2" t="s">
        <v>100</v>
      </c>
      <c r="S672" s="2" t="s">
        <v>719</v>
      </c>
      <c r="T672" s="2" t="s">
        <v>100</v>
      </c>
      <c r="U672" s="2" t="s">
        <v>676</v>
      </c>
      <c r="V672" s="2" t="s">
        <v>677</v>
      </c>
      <c r="W672" s="2" t="s">
        <v>104</v>
      </c>
      <c r="X672" s="2" t="s">
        <v>678</v>
      </c>
      <c r="Y672" s="2" t="s">
        <v>870</v>
      </c>
      <c r="Z672" s="4">
        <v>429</v>
      </c>
      <c r="AA672" s="4">
        <f>=ROUNDDOWN(28.6,0)</f>
      </c>
      <c r="AB672" s="5">
        <v>15</v>
      </c>
      <c r="AC672" s="2" t="s">
        <v>2557</v>
      </c>
      <c r="AD672" s="4">
        <v>30</v>
      </c>
      <c r="AE672" s="4">
        <v>200</v>
      </c>
      <c r="AF672" s="6">
        <v>65</v>
      </c>
      <c r="AG672" s="6">
        <v>73</v>
      </c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100</v>
      </c>
      <c r="AW672" s="8" t="s">
        <v>100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/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/>
      <c r="BJ672" s="4">
        <v>9</v>
      </c>
      <c r="BK672" s="8">
        <v>566.91</v>
      </c>
      <c r="BL672" s="2" t="s">
        <v>2558</v>
      </c>
      <c r="BM672" s="7"/>
      <c r="BN672" s="7"/>
      <c r="BO672" s="4"/>
      <c r="BP672" s="8"/>
      <c r="BQ672" s="4"/>
      <c r="BR672" s="8"/>
      <c r="BS672" s="7"/>
      <c r="BT672" s="7"/>
      <c r="BU672" s="2" t="s">
        <v>109</v>
      </c>
      <c r="BV672" s="2" t="s">
        <v>97</v>
      </c>
      <c r="BW672" s="2" t="s">
        <v>122</v>
      </c>
      <c r="BX672" s="2" t="s">
        <v>723</v>
      </c>
      <c r="BY672" s="2" t="s">
        <v>112</v>
      </c>
      <c r="BZ672" s="2" t="s">
        <v>100</v>
      </c>
    </row>
    <row r="673">
      <c r="A673" s="2" t="s">
        <v>2559</v>
      </c>
      <c r="B673" s="2" t="s">
        <v>87</v>
      </c>
      <c r="C673" s="2" t="s">
        <v>88</v>
      </c>
      <c r="D673" s="2" t="s">
        <v>2230</v>
      </c>
      <c r="E673" s="2" t="s">
        <v>2393</v>
      </c>
      <c r="F673" s="2" t="s">
        <v>669</v>
      </c>
      <c r="G673" s="2" t="s">
        <v>670</v>
      </c>
      <c r="H673" s="2" t="s">
        <v>671</v>
      </c>
      <c r="I673" s="2" t="s">
        <v>2547</v>
      </c>
      <c r="J673" s="2" t="s">
        <v>795</v>
      </c>
      <c r="K673" s="2" t="s">
        <v>718</v>
      </c>
      <c r="L673" s="3">
        <v>66.29</v>
      </c>
      <c r="M673" s="3">
        <v>69.61</v>
      </c>
      <c r="N673" s="3">
        <v>129.99</v>
      </c>
      <c r="O673" s="2" t="s">
        <v>97</v>
      </c>
      <c r="P673" s="2" t="s">
        <v>242</v>
      </c>
      <c r="Q673" s="2" t="s">
        <v>99</v>
      </c>
      <c r="R673" s="2" t="s">
        <v>100</v>
      </c>
      <c r="S673" s="2" t="s">
        <v>719</v>
      </c>
      <c r="T673" s="2" t="s">
        <v>100</v>
      </c>
      <c r="U673" s="2" t="s">
        <v>676</v>
      </c>
      <c r="V673" s="2" t="s">
        <v>677</v>
      </c>
      <c r="W673" s="2" t="s">
        <v>104</v>
      </c>
      <c r="X673" s="2" t="s">
        <v>678</v>
      </c>
      <c r="Y673" s="2" t="s">
        <v>131</v>
      </c>
      <c r="Z673" s="4">
        <v>512</v>
      </c>
      <c r="AA673" s="4">
        <f>=ROUNDDOWN(30.1176470588235,0)</f>
      </c>
      <c r="AB673" s="5">
        <v>17</v>
      </c>
      <c r="AC673" s="2" t="s">
        <v>2552</v>
      </c>
      <c r="AD673" s="4">
        <v>50</v>
      </c>
      <c r="AE673" s="4">
        <v>200</v>
      </c>
      <c r="AF673" s="6">
        <v>65</v>
      </c>
      <c r="AG673" s="6">
        <v>73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/>
      <c r="AQ673" s="8"/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/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/>
      <c r="BJ673" s="4">
        <v>5</v>
      </c>
      <c r="BK673" s="8">
        <v>333.61</v>
      </c>
      <c r="BL673" s="2" t="s">
        <v>2560</v>
      </c>
      <c r="BM673" s="7"/>
      <c r="BN673" s="7"/>
      <c r="BO673" s="4"/>
      <c r="BP673" s="8"/>
      <c r="BQ673" s="4"/>
      <c r="BR673" s="8"/>
      <c r="BS673" s="7"/>
      <c r="BT673" s="7"/>
      <c r="BU673" s="2" t="s">
        <v>109</v>
      </c>
      <c r="BV673" s="2" t="s">
        <v>97</v>
      </c>
      <c r="BW673" s="2" t="s">
        <v>122</v>
      </c>
      <c r="BX673" s="2" t="s">
        <v>127</v>
      </c>
      <c r="BY673" s="2" t="s">
        <v>112</v>
      </c>
      <c r="BZ673" s="2" t="s">
        <v>100</v>
      </c>
    </row>
    <row r="674">
      <c r="A674" s="2" t="s">
        <v>2561</v>
      </c>
      <c r="B674" s="2" t="s">
        <v>87</v>
      </c>
      <c r="C674" s="2" t="s">
        <v>88</v>
      </c>
      <c r="D674" s="2" t="s">
        <v>2230</v>
      </c>
      <c r="E674" s="2" t="s">
        <v>2393</v>
      </c>
      <c r="F674" s="2" t="s">
        <v>669</v>
      </c>
      <c r="G674" s="2" t="s">
        <v>670</v>
      </c>
      <c r="H674" s="2" t="s">
        <v>671</v>
      </c>
      <c r="I674" s="2" t="s">
        <v>2547</v>
      </c>
      <c r="J674" s="2" t="s">
        <v>785</v>
      </c>
      <c r="K674" s="2" t="s">
        <v>693</v>
      </c>
      <c r="L674" s="3">
        <v>59.99</v>
      </c>
      <c r="M674" s="3">
        <v>62.99</v>
      </c>
      <c r="N674" s="3">
        <v>119.99</v>
      </c>
      <c r="O674" s="2" t="s">
        <v>97</v>
      </c>
      <c r="P674" s="2" t="s">
        <v>98</v>
      </c>
      <c r="Q674" s="2" t="s">
        <v>99</v>
      </c>
      <c r="R674" s="2" t="s">
        <v>100</v>
      </c>
      <c r="S674" s="2" t="s">
        <v>2562</v>
      </c>
      <c r="T674" s="2" t="s">
        <v>100</v>
      </c>
      <c r="U674" s="2" t="s">
        <v>676</v>
      </c>
      <c r="V674" s="2" t="s">
        <v>677</v>
      </c>
      <c r="W674" s="2" t="s">
        <v>104</v>
      </c>
      <c r="X674" s="2" t="s">
        <v>678</v>
      </c>
      <c r="Y674" s="2" t="s">
        <v>131</v>
      </c>
      <c r="Z674" s="4">
        <v>561</v>
      </c>
      <c r="AA674" s="4">
        <f>=ROUNDDOWN(43.1538461538462,0)</f>
      </c>
      <c r="AB674" s="5">
        <v>13</v>
      </c>
      <c r="AC674" s="2" t="s">
        <v>2563</v>
      </c>
      <c r="AD674" s="4">
        <v>40</v>
      </c>
      <c r="AE674" s="4">
        <v>40</v>
      </c>
      <c r="AF674" s="6">
        <v>65</v>
      </c>
      <c r="AG674" s="6">
        <v>73</v>
      </c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</v>
      </c>
      <c r="AP674" s="4"/>
      <c r="AQ674" s="8"/>
      <c r="AR674" s="4"/>
      <c r="AS674" s="8"/>
      <c r="AT674" s="7"/>
      <c r="AU674" s="7"/>
      <c r="AV674" s="4" t="s">
        <v>100</v>
      </c>
      <c r="AW674" s="8" t="s">
        <v>100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/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/>
      <c r="BJ674" s="4">
        <v>9</v>
      </c>
      <c r="BK674" s="8">
        <v>596.83</v>
      </c>
      <c r="BL674" s="2" t="s">
        <v>2564</v>
      </c>
      <c r="BM674" s="7"/>
      <c r="BN674" s="7"/>
      <c r="BO674" s="4"/>
      <c r="BP674" s="8"/>
      <c r="BQ674" s="4"/>
      <c r="BR674" s="8"/>
      <c r="BS674" s="7"/>
      <c r="BT674" s="7"/>
      <c r="BU674" s="2" t="s">
        <v>109</v>
      </c>
      <c r="BV674" s="2" t="s">
        <v>97</v>
      </c>
      <c r="BW674" s="2" t="s">
        <v>137</v>
      </c>
      <c r="BX674" s="2" t="s">
        <v>154</v>
      </c>
      <c r="BY674" s="2" t="s">
        <v>112</v>
      </c>
      <c r="BZ674" s="2" t="s">
        <v>100</v>
      </c>
    </row>
    <row r="675">
      <c r="A675" s="2" t="s">
        <v>2565</v>
      </c>
      <c r="B675" s="2" t="s">
        <v>87</v>
      </c>
      <c r="C675" s="2" t="s">
        <v>88</v>
      </c>
      <c r="D675" s="2" t="s">
        <v>2230</v>
      </c>
      <c r="E675" s="2" t="s">
        <v>2393</v>
      </c>
      <c r="F675" s="2" t="s">
        <v>669</v>
      </c>
      <c r="G675" s="2" t="s">
        <v>670</v>
      </c>
      <c r="H675" s="2" t="s">
        <v>671</v>
      </c>
      <c r="I675" s="2" t="s">
        <v>2547</v>
      </c>
      <c r="J675" s="2" t="s">
        <v>795</v>
      </c>
      <c r="K675" s="2" t="s">
        <v>693</v>
      </c>
      <c r="L675" s="3">
        <v>66.29</v>
      </c>
      <c r="M675" s="3">
        <v>69.61</v>
      </c>
      <c r="N675" s="3">
        <v>129.99</v>
      </c>
      <c r="O675" s="2" t="s">
        <v>97</v>
      </c>
      <c r="P675" s="2" t="s">
        <v>98</v>
      </c>
      <c r="Q675" s="2" t="s">
        <v>99</v>
      </c>
      <c r="R675" s="2" t="s">
        <v>100</v>
      </c>
      <c r="S675" s="2" t="s">
        <v>2562</v>
      </c>
      <c r="T675" s="2" t="s">
        <v>100</v>
      </c>
      <c r="U675" s="2" t="s">
        <v>676</v>
      </c>
      <c r="V675" s="2" t="s">
        <v>677</v>
      </c>
      <c r="W675" s="2" t="s">
        <v>104</v>
      </c>
      <c r="X675" s="2" t="s">
        <v>678</v>
      </c>
      <c r="Y675" s="2" t="s">
        <v>131</v>
      </c>
      <c r="Z675" s="4">
        <v>506</v>
      </c>
      <c r="AA675" s="4">
        <f>=ROUNDDOWN(29.7647058823529,0)</f>
      </c>
      <c r="AB675" s="5">
        <v>17</v>
      </c>
      <c r="AC675" s="2" t="s">
        <v>2555</v>
      </c>
      <c r="AD675" s="4">
        <v>170</v>
      </c>
      <c r="AE675" s="4">
        <v>220</v>
      </c>
      <c r="AF675" s="6">
        <v>65</v>
      </c>
      <c r="AG675" s="6">
        <v>73</v>
      </c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/>
      <c r="AQ675" s="8"/>
      <c r="AR675" s="4"/>
      <c r="AS675" s="8"/>
      <c r="AT675" s="7"/>
      <c r="AU675" s="7"/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/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/>
      <c r="BJ675" s="4">
        <v>15</v>
      </c>
      <c r="BK675" s="8">
        <v>1093.7</v>
      </c>
      <c r="BL675" s="2" t="s">
        <v>1247</v>
      </c>
      <c r="BM675" s="7"/>
      <c r="BN675" s="7"/>
      <c r="BO675" s="4"/>
      <c r="BP675" s="8"/>
      <c r="BQ675" s="4"/>
      <c r="BR675" s="8"/>
      <c r="BS675" s="7"/>
      <c r="BT675" s="7"/>
      <c r="BU675" s="2" t="s">
        <v>109</v>
      </c>
      <c r="BV675" s="2" t="s">
        <v>97</v>
      </c>
      <c r="BW675" s="2" t="s">
        <v>137</v>
      </c>
      <c r="BX675" s="2" t="s">
        <v>432</v>
      </c>
      <c r="BY675" s="2" t="s">
        <v>112</v>
      </c>
      <c r="BZ675" s="2" t="s">
        <v>100</v>
      </c>
    </row>
    <row r="676">
      <c r="A676" s="2" t="s">
        <v>2566</v>
      </c>
      <c r="B676" s="2" t="s">
        <v>87</v>
      </c>
      <c r="C676" s="2" t="s">
        <v>88</v>
      </c>
      <c r="D676" s="2" t="s">
        <v>2230</v>
      </c>
      <c r="E676" s="2" t="s">
        <v>2393</v>
      </c>
      <c r="F676" s="2" t="s">
        <v>1602</v>
      </c>
      <c r="G676" s="2" t="s">
        <v>1603</v>
      </c>
      <c r="H676" s="2" t="s">
        <v>1604</v>
      </c>
      <c r="I676" s="2" t="s">
        <v>2567</v>
      </c>
      <c r="J676" s="2" t="s">
        <v>785</v>
      </c>
      <c r="K676" s="2" t="s">
        <v>227</v>
      </c>
      <c r="L676" s="3">
        <v>59.8</v>
      </c>
      <c r="M676" s="3">
        <v>62.79</v>
      </c>
      <c r="N676" s="3">
        <v>129.99</v>
      </c>
      <c r="O676" s="2" t="s">
        <v>97</v>
      </c>
      <c r="P676" s="2" t="s">
        <v>447</v>
      </c>
      <c r="Q676" s="2" t="s">
        <v>99</v>
      </c>
      <c r="R676" s="2" t="s">
        <v>100</v>
      </c>
      <c r="S676" s="2" t="s">
        <v>1606</v>
      </c>
      <c r="T676" s="2" t="s">
        <v>100</v>
      </c>
      <c r="U676" s="2" t="s">
        <v>676</v>
      </c>
      <c r="V676" s="2" t="s">
        <v>608</v>
      </c>
      <c r="W676" s="2" t="s">
        <v>1064</v>
      </c>
      <c r="X676" s="2" t="s">
        <v>450</v>
      </c>
      <c r="Y676" s="2" t="s">
        <v>1317</v>
      </c>
      <c r="Z676" s="4"/>
      <c r="AA676" s="4">
        <f>=ROUNDDOWN({0},0)</f>
      </c>
      <c r="AB676" s="5">
        <v>12</v>
      </c>
      <c r="AC676" s="2" t="s">
        <v>100</v>
      </c>
      <c r="AD676" s="4"/>
      <c r="AE676" s="4"/>
      <c r="AF676" s="6">
        <v>64</v>
      </c>
      <c r="AG676" s="6"/>
      <c r="AH676" s="7">
        <v>0.4286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/>
      <c r="AQ676" s="8"/>
      <c r="AR676" s="4"/>
      <c r="AS676" s="8"/>
      <c r="AT676" s="7"/>
      <c r="AU676" s="7"/>
      <c r="AV676" s="4" t="s">
        <v>100</v>
      </c>
      <c r="AW676" s="8" t="s">
        <v>100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/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/>
      <c r="BJ676" s="4">
        <v>6</v>
      </c>
      <c r="BK676" s="8">
        <v>234.31</v>
      </c>
      <c r="BL676" s="2" t="s">
        <v>204</v>
      </c>
      <c r="BM676" s="7"/>
      <c r="BN676" s="7"/>
      <c r="BO676" s="4"/>
      <c r="BP676" s="8"/>
      <c r="BQ676" s="4"/>
      <c r="BR676" s="8"/>
      <c r="BS676" s="7"/>
      <c r="BT676" s="7"/>
      <c r="BU676" s="2" t="s">
        <v>109</v>
      </c>
      <c r="BV676" s="2" t="s">
        <v>97</v>
      </c>
      <c r="BW676" s="2" t="s">
        <v>1159</v>
      </c>
      <c r="BX676" s="2" t="s">
        <v>2374</v>
      </c>
      <c r="BY676" s="2" t="s">
        <v>112</v>
      </c>
      <c r="BZ676" s="2" t="s">
        <v>100</v>
      </c>
    </row>
    <row r="677">
      <c r="A677" s="2" t="s">
        <v>2568</v>
      </c>
      <c r="B677" s="2" t="s">
        <v>87</v>
      </c>
      <c r="C677" s="2" t="s">
        <v>88</v>
      </c>
      <c r="D677" s="2" t="s">
        <v>2230</v>
      </c>
      <c r="E677" s="2" t="s">
        <v>2393</v>
      </c>
      <c r="F677" s="2" t="s">
        <v>1602</v>
      </c>
      <c r="G677" s="2" t="s">
        <v>1603</v>
      </c>
      <c r="H677" s="2" t="s">
        <v>1604</v>
      </c>
      <c r="I677" s="2" t="s">
        <v>2567</v>
      </c>
      <c r="J677" s="2" t="s">
        <v>795</v>
      </c>
      <c r="K677" s="2" t="s">
        <v>227</v>
      </c>
      <c r="L677" s="3">
        <v>64.4</v>
      </c>
      <c r="M677" s="3">
        <v>67.62</v>
      </c>
      <c r="N677" s="3">
        <v>139.99</v>
      </c>
      <c r="O677" s="2" t="s">
        <v>97</v>
      </c>
      <c r="P677" s="2" t="s">
        <v>447</v>
      </c>
      <c r="Q677" s="2" t="s">
        <v>99</v>
      </c>
      <c r="R677" s="2" t="s">
        <v>100</v>
      </c>
      <c r="S677" s="2" t="s">
        <v>1606</v>
      </c>
      <c r="T677" s="2" t="s">
        <v>100</v>
      </c>
      <c r="U677" s="2" t="s">
        <v>676</v>
      </c>
      <c r="V677" s="2" t="s">
        <v>608</v>
      </c>
      <c r="W677" s="2" t="s">
        <v>1064</v>
      </c>
      <c r="X677" s="2" t="s">
        <v>450</v>
      </c>
      <c r="Y677" s="2" t="s">
        <v>1317</v>
      </c>
      <c r="Z677" s="4"/>
      <c r="AA677" s="4">
        <f>=ROUNDDOWN({0},0)</f>
      </c>
      <c r="AB677" s="5">
        <v>37.7</v>
      </c>
      <c r="AC677" s="2" t="s">
        <v>100</v>
      </c>
      <c r="AD677" s="4"/>
      <c r="AE677" s="4"/>
      <c r="AF677" s="6">
        <v>64</v>
      </c>
      <c r="AG677" s="6"/>
      <c r="AH677" s="7">
        <v>0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/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/>
      <c r="BJ677" s="4"/>
      <c r="BK677" s="8"/>
      <c r="BL677" s="2" t="s">
        <v>100</v>
      </c>
      <c r="BM677" s="7"/>
      <c r="BN677" s="7"/>
      <c r="BO677" s="4"/>
      <c r="BP677" s="8"/>
      <c r="BQ677" s="4"/>
      <c r="BR677" s="8"/>
      <c r="BS677" s="7"/>
      <c r="BT677" s="7"/>
      <c r="BU677" s="2" t="s">
        <v>109</v>
      </c>
      <c r="BV677" s="2" t="s">
        <v>97</v>
      </c>
      <c r="BW677" s="2" t="s">
        <v>1159</v>
      </c>
      <c r="BX677" s="2" t="s">
        <v>2569</v>
      </c>
      <c r="BY677" s="2" t="s">
        <v>112</v>
      </c>
      <c r="BZ677" s="2" t="s">
        <v>100</v>
      </c>
    </row>
    <row r="678">
      <c r="A678" s="2" t="s">
        <v>2570</v>
      </c>
      <c r="B678" s="2" t="s">
        <v>87</v>
      </c>
      <c r="C678" s="2" t="s">
        <v>88</v>
      </c>
      <c r="D678" s="2" t="s">
        <v>2230</v>
      </c>
      <c r="E678" s="2" t="s">
        <v>2393</v>
      </c>
      <c r="F678" s="2" t="s">
        <v>1610</v>
      </c>
      <c r="G678" s="2" t="s">
        <v>1611</v>
      </c>
      <c r="H678" s="2" t="s">
        <v>1612</v>
      </c>
      <c r="I678" s="2" t="s">
        <v>2571</v>
      </c>
      <c r="J678" s="2" t="s">
        <v>785</v>
      </c>
      <c r="K678" s="2" t="s">
        <v>434</v>
      </c>
      <c r="L678" s="3">
        <v>59.8</v>
      </c>
      <c r="M678" s="3">
        <v>62.79</v>
      </c>
      <c r="N678" s="3">
        <v>129.99</v>
      </c>
      <c r="O678" s="2" t="s">
        <v>97</v>
      </c>
      <c r="P678" s="2" t="s">
        <v>447</v>
      </c>
      <c r="Q678" s="2" t="s">
        <v>99</v>
      </c>
      <c r="R678" s="2" t="s">
        <v>100</v>
      </c>
      <c r="S678" s="2" t="s">
        <v>1614</v>
      </c>
      <c r="T678" s="2" t="s">
        <v>100</v>
      </c>
      <c r="U678" s="2" t="s">
        <v>676</v>
      </c>
      <c r="V678" s="2" t="s">
        <v>677</v>
      </c>
      <c r="W678" s="2" t="s">
        <v>104</v>
      </c>
      <c r="X678" s="2" t="s">
        <v>647</v>
      </c>
      <c r="Y678" s="2" t="s">
        <v>2572</v>
      </c>
      <c r="Z678" s="4">
        <v>145</v>
      </c>
      <c r="AA678" s="4">
        <f>=ROUNDDOWN(20.7142857142857,0)</f>
      </c>
      <c r="AB678" s="5">
        <v>7</v>
      </c>
      <c r="AC678" s="2" t="s">
        <v>100</v>
      </c>
      <c r="AD678" s="4"/>
      <c r="AE678" s="4"/>
      <c r="AF678" s="6">
        <v>65</v>
      </c>
      <c r="AG678" s="6">
        <v>73</v>
      </c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/>
      <c r="AQ678" s="8"/>
      <c r="AR678" s="4"/>
      <c r="AS678" s="8"/>
      <c r="AT678" s="7"/>
      <c r="AU678" s="7"/>
      <c r="AV678" s="4" t="s">
        <v>100</v>
      </c>
      <c r="AW678" s="8" t="s">
        <v>100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/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/>
      <c r="BJ678" s="4">
        <v>8</v>
      </c>
      <c r="BK678" s="8">
        <v>508.78</v>
      </c>
      <c r="BL678" s="2" t="s">
        <v>705</v>
      </c>
      <c r="BM678" s="7"/>
      <c r="BN678" s="7"/>
      <c r="BO678" s="4"/>
      <c r="BP678" s="8"/>
      <c r="BQ678" s="4"/>
      <c r="BR678" s="8"/>
      <c r="BS678" s="7"/>
      <c r="BT678" s="7"/>
      <c r="BU678" s="2" t="s">
        <v>109</v>
      </c>
      <c r="BV678" s="2" t="s">
        <v>97</v>
      </c>
      <c r="BW678" s="2" t="s">
        <v>122</v>
      </c>
      <c r="BX678" s="2" t="s">
        <v>2573</v>
      </c>
      <c r="BY678" s="2" t="s">
        <v>112</v>
      </c>
      <c r="BZ678" s="2" t="s">
        <v>100</v>
      </c>
    </row>
    <row r="679">
      <c r="A679" s="2" t="s">
        <v>2574</v>
      </c>
      <c r="B679" s="2" t="s">
        <v>87</v>
      </c>
      <c r="C679" s="2" t="s">
        <v>88</v>
      </c>
      <c r="D679" s="2" t="s">
        <v>2230</v>
      </c>
      <c r="E679" s="2" t="s">
        <v>2393</v>
      </c>
      <c r="F679" s="2" t="s">
        <v>1610</v>
      </c>
      <c r="G679" s="2" t="s">
        <v>1611</v>
      </c>
      <c r="H679" s="2" t="s">
        <v>1612</v>
      </c>
      <c r="I679" s="2" t="s">
        <v>2571</v>
      </c>
      <c r="J679" s="2" t="s">
        <v>795</v>
      </c>
      <c r="K679" s="2" t="s">
        <v>434</v>
      </c>
      <c r="L679" s="3">
        <v>64.4</v>
      </c>
      <c r="M679" s="3">
        <v>67.62</v>
      </c>
      <c r="N679" s="3">
        <v>139.99</v>
      </c>
      <c r="O679" s="2" t="s">
        <v>97</v>
      </c>
      <c r="P679" s="2" t="s">
        <v>447</v>
      </c>
      <c r="Q679" s="2" t="s">
        <v>99</v>
      </c>
      <c r="R679" s="2" t="s">
        <v>100</v>
      </c>
      <c r="S679" s="2" t="s">
        <v>1614</v>
      </c>
      <c r="T679" s="2" t="s">
        <v>100</v>
      </c>
      <c r="U679" s="2" t="s">
        <v>676</v>
      </c>
      <c r="V679" s="2" t="s">
        <v>677</v>
      </c>
      <c r="W679" s="2" t="s">
        <v>104</v>
      </c>
      <c r="X679" s="2" t="s">
        <v>647</v>
      </c>
      <c r="Y679" s="2" t="s">
        <v>2572</v>
      </c>
      <c r="Z679" s="4">
        <v>170</v>
      </c>
      <c r="AA679" s="4">
        <f>=ROUNDDOWN(18.8888888888889,0)</f>
      </c>
      <c r="AB679" s="5">
        <v>9</v>
      </c>
      <c r="AC679" s="2" t="s">
        <v>871</v>
      </c>
      <c r="AD679" s="4">
        <v>29</v>
      </c>
      <c r="AE679" s="4">
        <v>29</v>
      </c>
      <c r="AF679" s="6">
        <v>65</v>
      </c>
      <c r="AG679" s="6">
        <v>73</v>
      </c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/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/>
      <c r="BJ679" s="4">
        <v>9</v>
      </c>
      <c r="BK679" s="8">
        <v>625.18</v>
      </c>
      <c r="BL679" s="2" t="s">
        <v>2575</v>
      </c>
      <c r="BM679" s="7"/>
      <c r="BN679" s="7"/>
      <c r="BO679" s="4"/>
      <c r="BP679" s="8"/>
      <c r="BQ679" s="4"/>
      <c r="BR679" s="8"/>
      <c r="BS679" s="7"/>
      <c r="BT679" s="7"/>
      <c r="BU679" s="2" t="s">
        <v>109</v>
      </c>
      <c r="BV679" s="2" t="s">
        <v>97</v>
      </c>
      <c r="BW679" s="2" t="s">
        <v>122</v>
      </c>
      <c r="BX679" s="2" t="s">
        <v>360</v>
      </c>
      <c r="BY679" s="2" t="s">
        <v>112</v>
      </c>
      <c r="BZ679" s="2" t="s">
        <v>100</v>
      </c>
    </row>
    <row r="680">
      <c r="A680" s="2" t="s">
        <v>2576</v>
      </c>
      <c r="B680" s="2" t="s">
        <v>87</v>
      </c>
      <c r="C680" s="2" t="s">
        <v>88</v>
      </c>
      <c r="D680" s="2" t="s">
        <v>2230</v>
      </c>
      <c r="E680" s="2" t="s">
        <v>2393</v>
      </c>
      <c r="F680" s="2" t="s">
        <v>2053</v>
      </c>
      <c r="G680" s="2" t="s">
        <v>2577</v>
      </c>
      <c r="H680" s="2" t="s">
        <v>1213</v>
      </c>
      <c r="I680" s="2" t="s">
        <v>2419</v>
      </c>
      <c r="J680" s="2" t="s">
        <v>785</v>
      </c>
      <c r="K680" s="2" t="s">
        <v>253</v>
      </c>
      <c r="L680" s="3">
        <v>51.84</v>
      </c>
      <c r="M680" s="3">
        <v>54.43</v>
      </c>
      <c r="N680" s="3">
        <v>109.99</v>
      </c>
      <c r="O680" s="2" t="s">
        <v>97</v>
      </c>
      <c r="P680" s="2" t="s">
        <v>242</v>
      </c>
      <c r="Q680" s="2" t="s">
        <v>99</v>
      </c>
      <c r="R680" s="2" t="s">
        <v>100</v>
      </c>
      <c r="S680" s="2" t="s">
        <v>2578</v>
      </c>
      <c r="T680" s="2" t="s">
        <v>100</v>
      </c>
      <c r="U680" s="2" t="s">
        <v>676</v>
      </c>
      <c r="V680" s="2" t="s">
        <v>677</v>
      </c>
      <c r="W680" s="2" t="s">
        <v>104</v>
      </c>
      <c r="X680" s="2" t="s">
        <v>581</v>
      </c>
      <c r="Y680" s="2" t="s">
        <v>131</v>
      </c>
      <c r="Z680" s="4">
        <v>1410</v>
      </c>
      <c r="AA680" s="4">
        <f>=ROUNDDOWN(20.1428571428571,0)</f>
      </c>
      <c r="AB680" s="5">
        <v>70</v>
      </c>
      <c r="AC680" s="2" t="s">
        <v>2579</v>
      </c>
      <c r="AD680" s="4">
        <v>300</v>
      </c>
      <c r="AE680" s="4">
        <v>1100</v>
      </c>
      <c r="AF680" s="6">
        <v>65</v>
      </c>
      <c r="AG680" s="6">
        <v>73</v>
      </c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/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/>
      <c r="BJ680" s="4">
        <v>59</v>
      </c>
      <c r="BK680" s="8">
        <v>3390.32</v>
      </c>
      <c r="BL680" s="2" t="s">
        <v>2274</v>
      </c>
      <c r="BM680" s="7"/>
      <c r="BN680" s="7"/>
      <c r="BO680" s="4"/>
      <c r="BP680" s="8"/>
      <c r="BQ680" s="4"/>
      <c r="BR680" s="8"/>
      <c r="BS680" s="7"/>
      <c r="BT680" s="7"/>
      <c r="BU680" s="2" t="s">
        <v>109</v>
      </c>
      <c r="BV680" s="2" t="s">
        <v>97</v>
      </c>
      <c r="BW680" s="2" t="s">
        <v>122</v>
      </c>
      <c r="BX680" s="2" t="s">
        <v>469</v>
      </c>
      <c r="BY680" s="2" t="s">
        <v>112</v>
      </c>
      <c r="BZ680" s="2" t="s">
        <v>100</v>
      </c>
    </row>
    <row r="681">
      <c r="A681" s="2" t="s">
        <v>2580</v>
      </c>
      <c r="B681" s="2" t="s">
        <v>87</v>
      </c>
      <c r="C681" s="2" t="s">
        <v>88</v>
      </c>
      <c r="D681" s="2" t="s">
        <v>2230</v>
      </c>
      <c r="E681" s="2" t="s">
        <v>2393</v>
      </c>
      <c r="F681" s="2" t="s">
        <v>2053</v>
      </c>
      <c r="G681" s="2" t="s">
        <v>2577</v>
      </c>
      <c r="H681" s="2" t="s">
        <v>1213</v>
      </c>
      <c r="I681" s="2" t="s">
        <v>2419</v>
      </c>
      <c r="J681" s="2" t="s">
        <v>795</v>
      </c>
      <c r="K681" s="2" t="s">
        <v>253</v>
      </c>
      <c r="L681" s="3">
        <v>57.32</v>
      </c>
      <c r="M681" s="3">
        <v>60.19</v>
      </c>
      <c r="N681" s="3">
        <v>119.99</v>
      </c>
      <c r="O681" s="2" t="s">
        <v>97</v>
      </c>
      <c r="P681" s="2" t="s">
        <v>242</v>
      </c>
      <c r="Q681" s="2" t="s">
        <v>99</v>
      </c>
      <c r="R681" s="2" t="s">
        <v>100</v>
      </c>
      <c r="S681" s="2" t="s">
        <v>2578</v>
      </c>
      <c r="T681" s="2" t="s">
        <v>100</v>
      </c>
      <c r="U681" s="2" t="s">
        <v>676</v>
      </c>
      <c r="V681" s="2" t="s">
        <v>677</v>
      </c>
      <c r="W681" s="2" t="s">
        <v>104</v>
      </c>
      <c r="X681" s="2" t="s">
        <v>581</v>
      </c>
      <c r="Y681" s="2" t="s">
        <v>131</v>
      </c>
      <c r="Z681" s="4">
        <v>1931</v>
      </c>
      <c r="AA681" s="4">
        <f>=ROUNDDOWN(26.0945945945946,0)</f>
      </c>
      <c r="AB681" s="5">
        <v>74</v>
      </c>
      <c r="AC681" s="2" t="s">
        <v>329</v>
      </c>
      <c r="AD681" s="4">
        <v>140</v>
      </c>
      <c r="AE681" s="4">
        <v>460</v>
      </c>
      <c r="AF681" s="6">
        <v>65</v>
      </c>
      <c r="AG681" s="6">
        <v>73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/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/>
      <c r="BJ681" s="4">
        <v>61</v>
      </c>
      <c r="BK681" s="8">
        <v>3805.88</v>
      </c>
      <c r="BL681" s="2" t="s">
        <v>2581</v>
      </c>
      <c r="BM681" s="7"/>
      <c r="BN681" s="7"/>
      <c r="BO681" s="4"/>
      <c r="BP681" s="8"/>
      <c r="BQ681" s="4"/>
      <c r="BR681" s="8"/>
      <c r="BS681" s="7"/>
      <c r="BT681" s="7"/>
      <c r="BU681" s="2" t="s">
        <v>109</v>
      </c>
      <c r="BV681" s="2" t="s">
        <v>97</v>
      </c>
      <c r="BW681" s="2" t="s">
        <v>452</v>
      </c>
      <c r="BX681" s="2" t="s">
        <v>758</v>
      </c>
      <c r="BY681" s="2" t="s">
        <v>112</v>
      </c>
      <c r="BZ681" s="2" t="s">
        <v>100</v>
      </c>
    </row>
    <row r="682">
      <c r="A682" s="2" t="s">
        <v>2582</v>
      </c>
      <c r="B682" s="2" t="s">
        <v>87</v>
      </c>
      <c r="C682" s="2" t="s">
        <v>88</v>
      </c>
      <c r="D682" s="2" t="s">
        <v>2230</v>
      </c>
      <c r="E682" s="2" t="s">
        <v>2393</v>
      </c>
      <c r="F682" s="2" t="s">
        <v>2053</v>
      </c>
      <c r="G682" s="2" t="s">
        <v>2577</v>
      </c>
      <c r="H682" s="2" t="s">
        <v>1213</v>
      </c>
      <c r="I682" s="2" t="s">
        <v>2419</v>
      </c>
      <c r="J682" s="2" t="s">
        <v>785</v>
      </c>
      <c r="K682" s="2" t="s">
        <v>175</v>
      </c>
      <c r="L682" s="3">
        <v>51.84</v>
      </c>
      <c r="M682" s="3">
        <v>54.43</v>
      </c>
      <c r="N682" s="3">
        <v>109.99</v>
      </c>
      <c r="O682" s="2" t="s">
        <v>97</v>
      </c>
      <c r="P682" s="2" t="s">
        <v>242</v>
      </c>
      <c r="Q682" s="2" t="s">
        <v>99</v>
      </c>
      <c r="R682" s="2" t="s">
        <v>100</v>
      </c>
      <c r="S682" s="2" t="s">
        <v>2583</v>
      </c>
      <c r="T682" s="2" t="s">
        <v>100</v>
      </c>
      <c r="U682" s="2" t="s">
        <v>676</v>
      </c>
      <c r="V682" s="2" t="s">
        <v>677</v>
      </c>
      <c r="W682" s="2" t="s">
        <v>104</v>
      </c>
      <c r="X682" s="2" t="s">
        <v>581</v>
      </c>
      <c r="Y682" s="2" t="s">
        <v>131</v>
      </c>
      <c r="Z682" s="4">
        <v>2397</v>
      </c>
      <c r="AA682" s="4">
        <f>=ROUNDDOWN(32.3918918918919,0)</f>
      </c>
      <c r="AB682" s="5">
        <v>74</v>
      </c>
      <c r="AC682" s="2" t="s">
        <v>1487</v>
      </c>
      <c r="AD682" s="4">
        <v>230</v>
      </c>
      <c r="AE682" s="4">
        <v>400</v>
      </c>
      <c r="AF682" s="6">
        <v>65</v>
      </c>
      <c r="AG682" s="6">
        <v>73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/>
      <c r="BJ682" s="4">
        <v>42</v>
      </c>
      <c r="BK682" s="8">
        <v>2370.6</v>
      </c>
      <c r="BL682" s="2" t="s">
        <v>305</v>
      </c>
      <c r="BM682" s="7"/>
      <c r="BN682" s="7"/>
      <c r="BO682" s="4"/>
      <c r="BP682" s="8"/>
      <c r="BQ682" s="4"/>
      <c r="BR682" s="8"/>
      <c r="BS682" s="7"/>
      <c r="BT682" s="7"/>
      <c r="BU682" s="2" t="s">
        <v>109</v>
      </c>
      <c r="BV682" s="2" t="s">
        <v>97</v>
      </c>
      <c r="BW682" s="2" t="s">
        <v>1159</v>
      </c>
      <c r="BX682" s="2" t="s">
        <v>2390</v>
      </c>
      <c r="BY682" s="2" t="s">
        <v>112</v>
      </c>
      <c r="BZ682" s="2" t="s">
        <v>100</v>
      </c>
    </row>
    <row r="683">
      <c r="A683" s="2" t="s">
        <v>2584</v>
      </c>
      <c r="B683" s="2" t="s">
        <v>87</v>
      </c>
      <c r="C683" s="2" t="s">
        <v>88</v>
      </c>
      <c r="D683" s="2" t="s">
        <v>2230</v>
      </c>
      <c r="E683" s="2" t="s">
        <v>2393</v>
      </c>
      <c r="F683" s="2" t="s">
        <v>2053</v>
      </c>
      <c r="G683" s="2" t="s">
        <v>2577</v>
      </c>
      <c r="H683" s="2" t="s">
        <v>1213</v>
      </c>
      <c r="I683" s="2" t="s">
        <v>2419</v>
      </c>
      <c r="J683" s="2" t="s">
        <v>795</v>
      </c>
      <c r="K683" s="2" t="s">
        <v>175</v>
      </c>
      <c r="L683" s="3">
        <v>57.32</v>
      </c>
      <c r="M683" s="3">
        <v>60.19</v>
      </c>
      <c r="N683" s="3">
        <v>119.99</v>
      </c>
      <c r="O683" s="2" t="s">
        <v>97</v>
      </c>
      <c r="P683" s="2" t="s">
        <v>242</v>
      </c>
      <c r="Q683" s="2" t="s">
        <v>99</v>
      </c>
      <c r="R683" s="2" t="s">
        <v>100</v>
      </c>
      <c r="S683" s="2" t="s">
        <v>2583</v>
      </c>
      <c r="T683" s="2" t="s">
        <v>100</v>
      </c>
      <c r="U683" s="2" t="s">
        <v>676</v>
      </c>
      <c r="V683" s="2" t="s">
        <v>677</v>
      </c>
      <c r="W683" s="2" t="s">
        <v>104</v>
      </c>
      <c r="X683" s="2" t="s">
        <v>581</v>
      </c>
      <c r="Y683" s="2" t="s">
        <v>131</v>
      </c>
      <c r="Z683" s="4">
        <v>1512</v>
      </c>
      <c r="AA683" s="4">
        <f>=ROUNDDOWN(19.1392405063291,0)</f>
      </c>
      <c r="AB683" s="5">
        <v>79</v>
      </c>
      <c r="AC683" s="2" t="s">
        <v>2579</v>
      </c>
      <c r="AD683" s="4">
        <v>520</v>
      </c>
      <c r="AE683" s="4">
        <v>1300</v>
      </c>
      <c r="AF683" s="6">
        <v>65</v>
      </c>
      <c r="AG683" s="6">
        <v>73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/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/>
      <c r="BJ683" s="4">
        <v>57</v>
      </c>
      <c r="BK683" s="8">
        <v>3609.36</v>
      </c>
      <c r="BL683" s="2" t="s">
        <v>2585</v>
      </c>
      <c r="BM683" s="7"/>
      <c r="BN683" s="7"/>
      <c r="BO683" s="4"/>
      <c r="BP683" s="8"/>
      <c r="BQ683" s="4"/>
      <c r="BR683" s="8"/>
      <c r="BS683" s="7"/>
      <c r="BT683" s="7"/>
      <c r="BU683" s="2" t="s">
        <v>109</v>
      </c>
      <c r="BV683" s="2" t="s">
        <v>97</v>
      </c>
      <c r="BW683" s="2" t="s">
        <v>1159</v>
      </c>
      <c r="BX683" s="2" t="s">
        <v>2374</v>
      </c>
      <c r="BY683" s="2" t="s">
        <v>112</v>
      </c>
      <c r="BZ683" s="2" t="s">
        <v>100</v>
      </c>
    </row>
    <row r="684">
      <c r="A684" s="2" t="s">
        <v>2586</v>
      </c>
      <c r="B684" s="2" t="s">
        <v>87</v>
      </c>
      <c r="C684" s="2" t="s">
        <v>88</v>
      </c>
      <c r="D684" s="2" t="s">
        <v>2230</v>
      </c>
      <c r="E684" s="2" t="s">
        <v>2393</v>
      </c>
      <c r="F684" s="2" t="s">
        <v>991</v>
      </c>
      <c r="G684" s="2" t="s">
        <v>992</v>
      </c>
      <c r="H684" s="2" t="s">
        <v>993</v>
      </c>
      <c r="I684" s="2" t="s">
        <v>2587</v>
      </c>
      <c r="J684" s="2" t="s">
        <v>785</v>
      </c>
      <c r="K684" s="2" t="s">
        <v>253</v>
      </c>
      <c r="L684" s="3">
        <v>44.99</v>
      </c>
      <c r="M684" s="3">
        <v>47.24</v>
      </c>
      <c r="N684" s="3">
        <v>89.99</v>
      </c>
      <c r="O684" s="2" t="s">
        <v>97</v>
      </c>
      <c r="P684" s="2" t="s">
        <v>98</v>
      </c>
      <c r="Q684" s="2" t="s">
        <v>99</v>
      </c>
      <c r="R684" s="2" t="s">
        <v>100</v>
      </c>
      <c r="S684" s="2" t="s">
        <v>994</v>
      </c>
      <c r="T684" s="2" t="s">
        <v>100</v>
      </c>
      <c r="U684" s="2" t="s">
        <v>644</v>
      </c>
      <c r="V684" s="2" t="s">
        <v>284</v>
      </c>
      <c r="W684" s="2" t="s">
        <v>244</v>
      </c>
      <c r="X684" s="2" t="s">
        <v>609</v>
      </c>
      <c r="Y684" s="2" t="s">
        <v>131</v>
      </c>
      <c r="Z684" s="4">
        <v>376</v>
      </c>
      <c r="AA684" s="4">
        <f>=ROUNDDOWN(27.4452554744526,0)</f>
      </c>
      <c r="AB684" s="5">
        <v>13.7</v>
      </c>
      <c r="AC684" s="2" t="s">
        <v>287</v>
      </c>
      <c r="AD684" s="4">
        <v>230</v>
      </c>
      <c r="AE684" s="4">
        <v>690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/>
      <c r="AQ684" s="8"/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/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/>
      <c r="BJ684" s="4">
        <v>16</v>
      </c>
      <c r="BK684" s="8">
        <v>794.91</v>
      </c>
      <c r="BL684" s="2" t="s">
        <v>305</v>
      </c>
      <c r="BM684" s="7"/>
      <c r="BN684" s="7"/>
      <c r="BO684" s="4"/>
      <c r="BP684" s="8"/>
      <c r="BQ684" s="4"/>
      <c r="BR684" s="8"/>
      <c r="BS684" s="7"/>
      <c r="BT684" s="7"/>
      <c r="BU684" s="2" t="s">
        <v>109</v>
      </c>
      <c r="BV684" s="2" t="s">
        <v>97</v>
      </c>
      <c r="BW684" s="2" t="s">
        <v>122</v>
      </c>
      <c r="BX684" s="2" t="s">
        <v>222</v>
      </c>
      <c r="BY684" s="2" t="s">
        <v>112</v>
      </c>
      <c r="BZ684" s="2" t="s">
        <v>100</v>
      </c>
    </row>
    <row r="685">
      <c r="A685" s="2" t="s">
        <v>2588</v>
      </c>
      <c r="B685" s="2" t="s">
        <v>87</v>
      </c>
      <c r="C685" s="2" t="s">
        <v>88</v>
      </c>
      <c r="D685" s="2" t="s">
        <v>2230</v>
      </c>
      <c r="E685" s="2" t="s">
        <v>2393</v>
      </c>
      <c r="F685" s="2" t="s">
        <v>991</v>
      </c>
      <c r="G685" s="2" t="s">
        <v>992</v>
      </c>
      <c r="H685" s="2" t="s">
        <v>993</v>
      </c>
      <c r="I685" s="2" t="s">
        <v>2587</v>
      </c>
      <c r="J685" s="2" t="s">
        <v>795</v>
      </c>
      <c r="K685" s="2" t="s">
        <v>253</v>
      </c>
      <c r="L685" s="3">
        <v>49.5</v>
      </c>
      <c r="M685" s="3">
        <v>51.98</v>
      </c>
      <c r="N685" s="3">
        <v>99.99</v>
      </c>
      <c r="O685" s="2" t="s">
        <v>97</v>
      </c>
      <c r="P685" s="2" t="s">
        <v>98</v>
      </c>
      <c r="Q685" s="2" t="s">
        <v>99</v>
      </c>
      <c r="R685" s="2" t="s">
        <v>100</v>
      </c>
      <c r="S685" s="2" t="s">
        <v>994</v>
      </c>
      <c r="T685" s="2" t="s">
        <v>100</v>
      </c>
      <c r="U685" s="2" t="s">
        <v>644</v>
      </c>
      <c r="V685" s="2" t="s">
        <v>284</v>
      </c>
      <c r="W685" s="2" t="s">
        <v>244</v>
      </c>
      <c r="X685" s="2" t="s">
        <v>609</v>
      </c>
      <c r="Y685" s="2" t="s">
        <v>131</v>
      </c>
      <c r="Z685" s="4">
        <v>735</v>
      </c>
      <c r="AA685" s="4">
        <f>=ROUNDDOWN(36.75,0)</f>
      </c>
      <c r="AB685" s="5">
        <v>20</v>
      </c>
      <c r="AC685" s="2" t="s">
        <v>583</v>
      </c>
      <c r="AD685" s="4">
        <v>30</v>
      </c>
      <c r="AE685" s="4">
        <v>320</v>
      </c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/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/>
      <c r="BJ685" s="4">
        <v>10</v>
      </c>
      <c r="BK685" s="8">
        <v>544.78</v>
      </c>
      <c r="BL685" s="2" t="s">
        <v>2589</v>
      </c>
      <c r="BM685" s="7"/>
      <c r="BN685" s="7"/>
      <c r="BO685" s="4"/>
      <c r="BP685" s="8"/>
      <c r="BQ685" s="4"/>
      <c r="BR685" s="8"/>
      <c r="BS685" s="7"/>
      <c r="BT685" s="7"/>
      <c r="BU685" s="2" t="s">
        <v>109</v>
      </c>
      <c r="BV685" s="2" t="s">
        <v>97</v>
      </c>
      <c r="BW685" s="2" t="s">
        <v>122</v>
      </c>
      <c r="BX685" s="2" t="s">
        <v>216</v>
      </c>
      <c r="BY685" s="2" t="s">
        <v>112</v>
      </c>
      <c r="BZ685" s="2" t="s">
        <v>100</v>
      </c>
    </row>
    <row r="686">
      <c r="A686" s="2" t="s">
        <v>2590</v>
      </c>
      <c r="B686" s="2" t="s">
        <v>87</v>
      </c>
      <c r="C686" s="2" t="s">
        <v>88</v>
      </c>
      <c r="D686" s="2" t="s">
        <v>2230</v>
      </c>
      <c r="E686" s="2" t="s">
        <v>2393</v>
      </c>
      <c r="F686" s="2" t="s">
        <v>991</v>
      </c>
      <c r="G686" s="2" t="s">
        <v>992</v>
      </c>
      <c r="H686" s="2" t="s">
        <v>993</v>
      </c>
      <c r="I686" s="2" t="s">
        <v>2587</v>
      </c>
      <c r="J686" s="2" t="s">
        <v>785</v>
      </c>
      <c r="K686" s="2" t="s">
        <v>434</v>
      </c>
      <c r="L686" s="3">
        <v>44.99</v>
      </c>
      <c r="M686" s="3">
        <v>47.24</v>
      </c>
      <c r="N686" s="3">
        <v>89.99</v>
      </c>
      <c r="O686" s="2" t="s">
        <v>97</v>
      </c>
      <c r="P686" s="2" t="s">
        <v>98</v>
      </c>
      <c r="Q686" s="2" t="s">
        <v>99</v>
      </c>
      <c r="R686" s="2" t="s">
        <v>100</v>
      </c>
      <c r="S686" s="2" t="s">
        <v>994</v>
      </c>
      <c r="T686" s="2" t="s">
        <v>100</v>
      </c>
      <c r="U686" s="2" t="s">
        <v>644</v>
      </c>
      <c r="V686" s="2" t="s">
        <v>284</v>
      </c>
      <c r="W686" s="2" t="s">
        <v>244</v>
      </c>
      <c r="X686" s="2" t="s">
        <v>609</v>
      </c>
      <c r="Y686" s="2" t="s">
        <v>131</v>
      </c>
      <c r="Z686" s="4">
        <v>194</v>
      </c>
      <c r="AA686" s="4">
        <f>=ROUNDDOWN(19.4,0)</f>
      </c>
      <c r="AB686" s="5">
        <v>10</v>
      </c>
      <c r="AC686" s="2" t="s">
        <v>955</v>
      </c>
      <c r="AD686" s="4">
        <v>70</v>
      </c>
      <c r="AE686" s="4">
        <v>390</v>
      </c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/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/>
      <c r="BJ686" s="4">
        <v>7</v>
      </c>
      <c r="BK686" s="8">
        <v>324.83</v>
      </c>
      <c r="BL686" s="2" t="s">
        <v>543</v>
      </c>
      <c r="BM686" s="7"/>
      <c r="BN686" s="7"/>
      <c r="BO686" s="4"/>
      <c r="BP686" s="8"/>
      <c r="BQ686" s="4"/>
      <c r="BR686" s="8"/>
      <c r="BS686" s="7"/>
      <c r="BT686" s="7"/>
      <c r="BU686" s="2" t="s">
        <v>109</v>
      </c>
      <c r="BV686" s="2" t="s">
        <v>97</v>
      </c>
      <c r="BW686" s="2" t="s">
        <v>2513</v>
      </c>
      <c r="BX686" s="2" t="s">
        <v>2591</v>
      </c>
      <c r="BY686" s="2" t="s">
        <v>112</v>
      </c>
      <c r="BZ686" s="2" t="s">
        <v>100</v>
      </c>
    </row>
    <row r="687">
      <c r="A687" s="2" t="s">
        <v>2592</v>
      </c>
      <c r="B687" s="2" t="s">
        <v>87</v>
      </c>
      <c r="C687" s="2" t="s">
        <v>88</v>
      </c>
      <c r="D687" s="2" t="s">
        <v>2230</v>
      </c>
      <c r="E687" s="2" t="s">
        <v>2393</v>
      </c>
      <c r="F687" s="2" t="s">
        <v>991</v>
      </c>
      <c r="G687" s="2" t="s">
        <v>992</v>
      </c>
      <c r="H687" s="2" t="s">
        <v>993</v>
      </c>
      <c r="I687" s="2" t="s">
        <v>2587</v>
      </c>
      <c r="J687" s="2" t="s">
        <v>795</v>
      </c>
      <c r="K687" s="2" t="s">
        <v>434</v>
      </c>
      <c r="L687" s="3">
        <v>49.5</v>
      </c>
      <c r="M687" s="3">
        <v>51.98</v>
      </c>
      <c r="N687" s="3">
        <v>99.99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994</v>
      </c>
      <c r="T687" s="2" t="s">
        <v>100</v>
      </c>
      <c r="U687" s="2" t="s">
        <v>644</v>
      </c>
      <c r="V687" s="2" t="s">
        <v>284</v>
      </c>
      <c r="W687" s="2" t="s">
        <v>244</v>
      </c>
      <c r="X687" s="2" t="s">
        <v>609</v>
      </c>
      <c r="Y687" s="2" t="s">
        <v>131</v>
      </c>
      <c r="Z687" s="4">
        <v>212</v>
      </c>
      <c r="AA687" s="4">
        <f>=ROUNDDOWN(17.6666666666667,0)</f>
      </c>
      <c r="AB687" s="5">
        <v>12</v>
      </c>
      <c r="AC687" s="2" t="s">
        <v>955</v>
      </c>
      <c r="AD687" s="4">
        <v>90</v>
      </c>
      <c r="AE687" s="4">
        <v>350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/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/>
      <c r="BJ687" s="4">
        <v>10</v>
      </c>
      <c r="BK687" s="8">
        <v>580.14</v>
      </c>
      <c r="BL687" s="2" t="s">
        <v>1247</v>
      </c>
      <c r="BM687" s="7"/>
      <c r="BN687" s="7"/>
      <c r="BO687" s="4"/>
      <c r="BP687" s="8"/>
      <c r="BQ687" s="4"/>
      <c r="BR687" s="8"/>
      <c r="BS687" s="7"/>
      <c r="BT687" s="7"/>
      <c r="BU687" s="2" t="s">
        <v>109</v>
      </c>
      <c r="BV687" s="2" t="s">
        <v>97</v>
      </c>
      <c r="BW687" s="2" t="s">
        <v>2513</v>
      </c>
      <c r="BX687" s="2" t="s">
        <v>2473</v>
      </c>
      <c r="BY687" s="2" t="s">
        <v>112</v>
      </c>
      <c r="BZ687" s="2" t="s">
        <v>100</v>
      </c>
    </row>
    <row r="688">
      <c r="A688" s="2" t="s">
        <v>2593</v>
      </c>
      <c r="B688" s="2" t="s">
        <v>87</v>
      </c>
      <c r="C688" s="2" t="s">
        <v>88</v>
      </c>
      <c r="D688" s="2" t="s">
        <v>2230</v>
      </c>
      <c r="E688" s="2" t="s">
        <v>2393</v>
      </c>
      <c r="F688" s="2" t="s">
        <v>1767</v>
      </c>
      <c r="G688" s="2" t="s">
        <v>1768</v>
      </c>
      <c r="H688" s="2" t="s">
        <v>1769</v>
      </c>
      <c r="I688" s="2" t="s">
        <v>2594</v>
      </c>
      <c r="J688" s="2" t="s">
        <v>785</v>
      </c>
      <c r="K688" s="2" t="s">
        <v>1770</v>
      </c>
      <c r="L688" s="3">
        <v>51.83</v>
      </c>
      <c r="M688" s="3">
        <v>54.42</v>
      </c>
      <c r="N688" s="3">
        <v>109.99</v>
      </c>
      <c r="O688" s="2" t="s">
        <v>97</v>
      </c>
      <c r="P688" s="2" t="s">
        <v>98</v>
      </c>
      <c r="Q688" s="2" t="s">
        <v>99</v>
      </c>
      <c r="R688" s="2" t="s">
        <v>100</v>
      </c>
      <c r="S688" s="2" t="s">
        <v>1771</v>
      </c>
      <c r="T688" s="2" t="s">
        <v>100</v>
      </c>
      <c r="U688" s="2" t="s">
        <v>676</v>
      </c>
      <c r="V688" s="2" t="s">
        <v>805</v>
      </c>
      <c r="W688" s="2" t="s">
        <v>104</v>
      </c>
      <c r="X688" s="2" t="s">
        <v>1772</v>
      </c>
      <c r="Y688" s="2" t="s">
        <v>2595</v>
      </c>
      <c r="Z688" s="4">
        <v>1426</v>
      </c>
      <c r="AA688" s="4">
        <f>=ROUNDDOWN(67.9047619047619,0)</f>
      </c>
      <c r="AB688" s="5">
        <v>21</v>
      </c>
      <c r="AC688" s="2" t="s">
        <v>100</v>
      </c>
      <c r="AD688" s="4"/>
      <c r="AE688" s="4"/>
      <c r="AF688" s="6">
        <v>66</v>
      </c>
      <c r="AG688" s="6">
        <v>49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/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/>
      <c r="BJ688" s="4">
        <v>17</v>
      </c>
      <c r="BK688" s="8">
        <v>1018.35</v>
      </c>
      <c r="BL688" s="2" t="s">
        <v>2596</v>
      </c>
      <c r="BM688" s="7"/>
      <c r="BN688" s="7"/>
      <c r="BO688" s="4"/>
      <c r="BP688" s="8"/>
      <c r="BQ688" s="4"/>
      <c r="BR688" s="8"/>
      <c r="BS688" s="7"/>
      <c r="BT688" s="7"/>
      <c r="BU688" s="2" t="s">
        <v>109</v>
      </c>
      <c r="BV688" s="2" t="s">
        <v>97</v>
      </c>
      <c r="BW688" s="2" t="s">
        <v>122</v>
      </c>
      <c r="BX688" s="2" t="s">
        <v>432</v>
      </c>
      <c r="BY688" s="2" t="s">
        <v>112</v>
      </c>
      <c r="BZ688" s="2" t="s">
        <v>100</v>
      </c>
    </row>
    <row r="689">
      <c r="A689" s="2" t="s">
        <v>2597</v>
      </c>
      <c r="B689" s="2" t="s">
        <v>87</v>
      </c>
      <c r="C689" s="2" t="s">
        <v>88</v>
      </c>
      <c r="D689" s="2" t="s">
        <v>2230</v>
      </c>
      <c r="E689" s="2" t="s">
        <v>2393</v>
      </c>
      <c r="F689" s="2" t="s">
        <v>1767</v>
      </c>
      <c r="G689" s="2" t="s">
        <v>1768</v>
      </c>
      <c r="H689" s="2" t="s">
        <v>1769</v>
      </c>
      <c r="I689" s="2" t="s">
        <v>2594</v>
      </c>
      <c r="J689" s="2" t="s">
        <v>795</v>
      </c>
      <c r="K689" s="2" t="s">
        <v>1770</v>
      </c>
      <c r="L689" s="3">
        <v>57.32</v>
      </c>
      <c r="M689" s="3">
        <v>60.19</v>
      </c>
      <c r="N689" s="3">
        <v>119.99</v>
      </c>
      <c r="O689" s="2" t="s">
        <v>97</v>
      </c>
      <c r="P689" s="2" t="s">
        <v>98</v>
      </c>
      <c r="Q689" s="2" t="s">
        <v>99</v>
      </c>
      <c r="R689" s="2" t="s">
        <v>100</v>
      </c>
      <c r="S689" s="2" t="s">
        <v>1771</v>
      </c>
      <c r="T689" s="2" t="s">
        <v>100</v>
      </c>
      <c r="U689" s="2" t="s">
        <v>676</v>
      </c>
      <c r="V689" s="2" t="s">
        <v>805</v>
      </c>
      <c r="W689" s="2" t="s">
        <v>104</v>
      </c>
      <c r="X689" s="2" t="s">
        <v>1772</v>
      </c>
      <c r="Y689" s="2" t="s">
        <v>2595</v>
      </c>
      <c r="Z689" s="4">
        <v>1096</v>
      </c>
      <c r="AA689" s="4">
        <f>=ROUNDDOWN(28.8421052631579,0)</f>
      </c>
      <c r="AB689" s="5">
        <v>38</v>
      </c>
      <c r="AC689" s="2" t="s">
        <v>2598</v>
      </c>
      <c r="AD689" s="4">
        <v>130</v>
      </c>
      <c r="AE689" s="4">
        <v>730</v>
      </c>
      <c r="AF689" s="6">
        <v>66</v>
      </c>
      <c r="AG689" s="6">
        <v>49</v>
      </c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/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/>
      <c r="BJ689" s="4">
        <v>26</v>
      </c>
      <c r="BK689" s="8">
        <v>1709.99</v>
      </c>
      <c r="BL689" s="2" t="s">
        <v>685</v>
      </c>
      <c r="BM689" s="7"/>
      <c r="BN689" s="7"/>
      <c r="BO689" s="4"/>
      <c r="BP689" s="8"/>
      <c r="BQ689" s="4"/>
      <c r="BR689" s="8"/>
      <c r="BS689" s="7"/>
      <c r="BT689" s="7"/>
      <c r="BU689" s="2" t="s">
        <v>109</v>
      </c>
      <c r="BV689" s="2" t="s">
        <v>97</v>
      </c>
      <c r="BW689" s="2" t="s">
        <v>122</v>
      </c>
      <c r="BX689" s="2" t="s">
        <v>196</v>
      </c>
      <c r="BY689" s="2" t="s">
        <v>112</v>
      </c>
      <c r="BZ689" s="2" t="s">
        <v>100</v>
      </c>
    </row>
    <row r="690">
      <c r="A690" s="2" t="s">
        <v>2599</v>
      </c>
      <c r="B690" s="2" t="s">
        <v>87</v>
      </c>
      <c r="C690" s="2" t="s">
        <v>88</v>
      </c>
      <c r="D690" s="2" t="s">
        <v>2230</v>
      </c>
      <c r="E690" s="2" t="s">
        <v>2393</v>
      </c>
      <c r="F690" s="2" t="s">
        <v>1767</v>
      </c>
      <c r="G690" s="2" t="s">
        <v>1768</v>
      </c>
      <c r="H690" s="2" t="s">
        <v>1769</v>
      </c>
      <c r="I690" s="2" t="s">
        <v>2594</v>
      </c>
      <c r="J690" s="2" t="s">
        <v>785</v>
      </c>
      <c r="K690" s="2" t="s">
        <v>163</v>
      </c>
      <c r="L690" s="3">
        <v>51.83</v>
      </c>
      <c r="M690" s="3">
        <v>54.42</v>
      </c>
      <c r="N690" s="3">
        <v>109.99</v>
      </c>
      <c r="O690" s="2" t="s">
        <v>97</v>
      </c>
      <c r="P690" s="2" t="s">
        <v>242</v>
      </c>
      <c r="Q690" s="2" t="s">
        <v>99</v>
      </c>
      <c r="R690" s="2" t="s">
        <v>100</v>
      </c>
      <c r="S690" s="2" t="s">
        <v>1777</v>
      </c>
      <c r="T690" s="2" t="s">
        <v>100</v>
      </c>
      <c r="U690" s="2" t="s">
        <v>676</v>
      </c>
      <c r="V690" s="2" t="s">
        <v>805</v>
      </c>
      <c r="W690" s="2" t="s">
        <v>104</v>
      </c>
      <c r="X690" s="2" t="s">
        <v>1778</v>
      </c>
      <c r="Y690" s="2" t="s">
        <v>1782</v>
      </c>
      <c r="Z690" s="4">
        <v>1297</v>
      </c>
      <c r="AA690" s="4">
        <f>=ROUNDDOWN(24.9423076923077,0)</f>
      </c>
      <c r="AB690" s="5">
        <v>52</v>
      </c>
      <c r="AC690" s="2" t="s">
        <v>860</v>
      </c>
      <c r="AD690" s="4">
        <v>600</v>
      </c>
      <c r="AE690" s="4">
        <v>1230</v>
      </c>
      <c r="AF690" s="6">
        <v>66</v>
      </c>
      <c r="AG690" s="6">
        <v>49</v>
      </c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/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/>
      <c r="BJ690" s="4">
        <v>41</v>
      </c>
      <c r="BK690" s="8">
        <v>2545.66</v>
      </c>
      <c r="BL690" s="2" t="s">
        <v>2600</v>
      </c>
      <c r="BM690" s="7"/>
      <c r="BN690" s="7"/>
      <c r="BO690" s="4"/>
      <c r="BP690" s="8"/>
      <c r="BQ690" s="4"/>
      <c r="BR690" s="8"/>
      <c r="BS690" s="7"/>
      <c r="BT690" s="7"/>
      <c r="BU690" s="2" t="s">
        <v>109</v>
      </c>
      <c r="BV690" s="2" t="s">
        <v>97</v>
      </c>
      <c r="BW690" s="2" t="s">
        <v>1780</v>
      </c>
      <c r="BX690" s="2" t="s">
        <v>2601</v>
      </c>
      <c r="BY690" s="2" t="s">
        <v>112</v>
      </c>
      <c r="BZ690" s="2" t="s">
        <v>100</v>
      </c>
    </row>
    <row r="691">
      <c r="A691" s="2" t="s">
        <v>2602</v>
      </c>
      <c r="B691" s="2" t="s">
        <v>87</v>
      </c>
      <c r="C691" s="2" t="s">
        <v>88</v>
      </c>
      <c r="D691" s="2" t="s">
        <v>2230</v>
      </c>
      <c r="E691" s="2" t="s">
        <v>2393</v>
      </c>
      <c r="F691" s="2" t="s">
        <v>1767</v>
      </c>
      <c r="G691" s="2" t="s">
        <v>1768</v>
      </c>
      <c r="H691" s="2" t="s">
        <v>1769</v>
      </c>
      <c r="I691" s="2" t="s">
        <v>2594</v>
      </c>
      <c r="J691" s="2" t="s">
        <v>795</v>
      </c>
      <c r="K691" s="2" t="s">
        <v>163</v>
      </c>
      <c r="L691" s="3">
        <v>57.32</v>
      </c>
      <c r="M691" s="3">
        <v>60.19</v>
      </c>
      <c r="N691" s="3">
        <v>119.99</v>
      </c>
      <c r="O691" s="2" t="s">
        <v>97</v>
      </c>
      <c r="P691" s="2" t="s">
        <v>242</v>
      </c>
      <c r="Q691" s="2" t="s">
        <v>99</v>
      </c>
      <c r="R691" s="2" t="s">
        <v>100</v>
      </c>
      <c r="S691" s="2" t="s">
        <v>1777</v>
      </c>
      <c r="T691" s="2" t="s">
        <v>100</v>
      </c>
      <c r="U691" s="2" t="s">
        <v>676</v>
      </c>
      <c r="V691" s="2" t="s">
        <v>805</v>
      </c>
      <c r="W691" s="2" t="s">
        <v>104</v>
      </c>
      <c r="X691" s="2" t="s">
        <v>1778</v>
      </c>
      <c r="Y691" s="2" t="s">
        <v>1782</v>
      </c>
      <c r="Z691" s="4">
        <v>1971</v>
      </c>
      <c r="AA691" s="4">
        <f>=ROUNDDOWN(26.6351351351351,0)</f>
      </c>
      <c r="AB691" s="5">
        <v>74</v>
      </c>
      <c r="AC691" s="2" t="s">
        <v>860</v>
      </c>
      <c r="AD691" s="4">
        <v>550</v>
      </c>
      <c r="AE691" s="4">
        <v>1730</v>
      </c>
      <c r="AF691" s="6">
        <v>66</v>
      </c>
      <c r="AG691" s="6">
        <v>49</v>
      </c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/>
      <c r="AQ691" s="8"/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/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/>
      <c r="BJ691" s="4">
        <v>73</v>
      </c>
      <c r="BK691" s="8">
        <v>4852</v>
      </c>
      <c r="BL691" s="2" t="s">
        <v>2603</v>
      </c>
      <c r="BM691" s="7"/>
      <c r="BN691" s="7"/>
      <c r="BO691" s="4"/>
      <c r="BP691" s="8"/>
      <c r="BQ691" s="4"/>
      <c r="BR691" s="8"/>
      <c r="BS691" s="7"/>
      <c r="BT691" s="7"/>
      <c r="BU691" s="2" t="s">
        <v>109</v>
      </c>
      <c r="BV691" s="2" t="s">
        <v>97</v>
      </c>
      <c r="BW691" s="2" t="s">
        <v>1780</v>
      </c>
      <c r="BX691" s="2" t="s">
        <v>141</v>
      </c>
      <c r="BY691" s="2" t="s">
        <v>112</v>
      </c>
      <c r="BZ691" s="2" t="s">
        <v>100</v>
      </c>
    </row>
    <row r="692">
      <c r="A692" s="2" t="s">
        <v>2604</v>
      </c>
      <c r="B692" s="2" t="s">
        <v>87</v>
      </c>
      <c r="C692" s="2" t="s">
        <v>88</v>
      </c>
      <c r="D692" s="2" t="s">
        <v>2230</v>
      </c>
      <c r="E692" s="2" t="s">
        <v>2393</v>
      </c>
      <c r="F692" s="2" t="s">
        <v>1807</v>
      </c>
      <c r="G692" s="2" t="s">
        <v>1808</v>
      </c>
      <c r="H692" s="2" t="s">
        <v>984</v>
      </c>
      <c r="I692" s="2" t="s">
        <v>2605</v>
      </c>
      <c r="J692" s="2" t="s">
        <v>785</v>
      </c>
      <c r="K692" s="2" t="s">
        <v>146</v>
      </c>
      <c r="L692" s="3">
        <v>51.83</v>
      </c>
      <c r="M692" s="3">
        <v>54.42</v>
      </c>
      <c r="N692" s="3">
        <v>109.99</v>
      </c>
      <c r="O692" s="2" t="s">
        <v>97</v>
      </c>
      <c r="P692" s="2" t="s">
        <v>98</v>
      </c>
      <c r="Q692" s="2" t="s">
        <v>99</v>
      </c>
      <c r="R692" s="2" t="s">
        <v>100</v>
      </c>
      <c r="S692" s="2" t="s">
        <v>100</v>
      </c>
      <c r="T692" s="2" t="s">
        <v>100</v>
      </c>
      <c r="U692" s="2" t="s">
        <v>676</v>
      </c>
      <c r="V692" s="2" t="s">
        <v>1112</v>
      </c>
      <c r="W692" s="2" t="s">
        <v>756</v>
      </c>
      <c r="X692" s="2" t="s">
        <v>563</v>
      </c>
      <c r="Y692" s="2" t="s">
        <v>1810</v>
      </c>
      <c r="Z692" s="4">
        <v>295</v>
      </c>
      <c r="AA692" s="4">
        <f>=ROUNDDOWN(42.1428571428571,0)</f>
      </c>
      <c r="AB692" s="5">
        <v>7</v>
      </c>
      <c r="AC692" s="2" t="s">
        <v>100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/>
      <c r="AQ692" s="8"/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/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/>
      <c r="BJ692" s="4">
        <v>5</v>
      </c>
      <c r="BK692" s="8">
        <v>299.03</v>
      </c>
      <c r="BL692" s="2" t="s">
        <v>2606</v>
      </c>
      <c r="BM692" s="7"/>
      <c r="BN692" s="7"/>
      <c r="BO692" s="4"/>
      <c r="BP692" s="8"/>
      <c r="BQ692" s="4"/>
      <c r="BR692" s="8"/>
      <c r="BS692" s="7"/>
      <c r="BT692" s="7"/>
      <c r="BU692" s="2" t="s">
        <v>109</v>
      </c>
      <c r="BV692" s="2" t="s">
        <v>97</v>
      </c>
      <c r="BW692" s="2" t="s">
        <v>122</v>
      </c>
      <c r="BX692" s="2" t="s">
        <v>1842</v>
      </c>
      <c r="BY692" s="2" t="s">
        <v>112</v>
      </c>
      <c r="BZ692" s="2" t="s">
        <v>100</v>
      </c>
    </row>
    <row r="693">
      <c r="A693" s="2" t="s">
        <v>2607</v>
      </c>
      <c r="B693" s="2" t="s">
        <v>87</v>
      </c>
      <c r="C693" s="2" t="s">
        <v>88</v>
      </c>
      <c r="D693" s="2" t="s">
        <v>2230</v>
      </c>
      <c r="E693" s="2" t="s">
        <v>2393</v>
      </c>
      <c r="F693" s="2" t="s">
        <v>1807</v>
      </c>
      <c r="G693" s="2" t="s">
        <v>1808</v>
      </c>
      <c r="H693" s="2" t="s">
        <v>984</v>
      </c>
      <c r="I693" s="2" t="s">
        <v>2605</v>
      </c>
      <c r="J693" s="2" t="s">
        <v>795</v>
      </c>
      <c r="K693" s="2" t="s">
        <v>146</v>
      </c>
      <c r="L693" s="3">
        <v>57.32</v>
      </c>
      <c r="M693" s="3">
        <v>60.19</v>
      </c>
      <c r="N693" s="3">
        <v>119.99</v>
      </c>
      <c r="O693" s="2" t="s">
        <v>97</v>
      </c>
      <c r="P693" s="2" t="s">
        <v>98</v>
      </c>
      <c r="Q693" s="2" t="s">
        <v>99</v>
      </c>
      <c r="R693" s="2" t="s">
        <v>100</v>
      </c>
      <c r="S693" s="2" t="s">
        <v>100</v>
      </c>
      <c r="T693" s="2" t="s">
        <v>100</v>
      </c>
      <c r="U693" s="2" t="s">
        <v>676</v>
      </c>
      <c r="V693" s="2" t="s">
        <v>1112</v>
      </c>
      <c r="W693" s="2" t="s">
        <v>756</v>
      </c>
      <c r="X693" s="2" t="s">
        <v>563</v>
      </c>
      <c r="Y693" s="2" t="s">
        <v>1810</v>
      </c>
      <c r="Z693" s="4">
        <v>207</v>
      </c>
      <c r="AA693" s="4">
        <f>=ROUNDDOWN(69,0)</f>
      </c>
      <c r="AB693" s="5">
        <v>3</v>
      </c>
      <c r="AC693" s="2" t="s">
        <v>100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/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/>
      <c r="BJ693" s="4">
        <v>5</v>
      </c>
      <c r="BK693" s="8">
        <v>334.98</v>
      </c>
      <c r="BL693" s="2" t="s">
        <v>407</v>
      </c>
      <c r="BM693" s="7"/>
      <c r="BN693" s="7"/>
      <c r="BO693" s="4"/>
      <c r="BP693" s="8"/>
      <c r="BQ693" s="4"/>
      <c r="BR693" s="8"/>
      <c r="BS693" s="7"/>
      <c r="BT693" s="7"/>
      <c r="BU693" s="2" t="s">
        <v>109</v>
      </c>
      <c r="BV693" s="2" t="s">
        <v>97</v>
      </c>
      <c r="BW693" s="2" t="s">
        <v>122</v>
      </c>
      <c r="BX693" s="2" t="s">
        <v>889</v>
      </c>
      <c r="BY693" s="2" t="s">
        <v>112</v>
      </c>
      <c r="BZ693" s="2" t="s">
        <v>100</v>
      </c>
    </row>
    <row r="694">
      <c r="A694" s="2" t="s">
        <v>2608</v>
      </c>
      <c r="B694" s="2" t="s">
        <v>87</v>
      </c>
      <c r="C694" s="2" t="s">
        <v>88</v>
      </c>
      <c r="D694" s="2" t="s">
        <v>2230</v>
      </c>
      <c r="E694" s="2" t="s">
        <v>2393</v>
      </c>
      <c r="F694" s="2" t="s">
        <v>1807</v>
      </c>
      <c r="G694" s="2" t="s">
        <v>1808</v>
      </c>
      <c r="H694" s="2" t="s">
        <v>984</v>
      </c>
      <c r="I694" s="2" t="s">
        <v>2605</v>
      </c>
      <c r="J694" s="2" t="s">
        <v>785</v>
      </c>
      <c r="K694" s="2" t="s">
        <v>1555</v>
      </c>
      <c r="L694" s="3">
        <v>51.83</v>
      </c>
      <c r="M694" s="3">
        <v>54.42</v>
      </c>
      <c r="N694" s="3">
        <v>109.99</v>
      </c>
      <c r="O694" s="2" t="s">
        <v>97</v>
      </c>
      <c r="P694" s="2" t="s">
        <v>98</v>
      </c>
      <c r="Q694" s="2" t="s">
        <v>99</v>
      </c>
      <c r="R694" s="2" t="s">
        <v>100</v>
      </c>
      <c r="S694" s="2" t="s">
        <v>2609</v>
      </c>
      <c r="T694" s="2" t="s">
        <v>100</v>
      </c>
      <c r="U694" s="2" t="s">
        <v>676</v>
      </c>
      <c r="V694" s="2" t="s">
        <v>1112</v>
      </c>
      <c r="W694" s="2" t="s">
        <v>756</v>
      </c>
      <c r="X694" s="2" t="s">
        <v>563</v>
      </c>
      <c r="Y694" s="2" t="s">
        <v>1816</v>
      </c>
      <c r="Z694" s="4">
        <v>146</v>
      </c>
      <c r="AA694" s="4">
        <f>=ROUNDDOWN(13.2727272727273,0)</f>
      </c>
      <c r="AB694" s="5">
        <v>11</v>
      </c>
      <c r="AC694" s="2" t="s">
        <v>429</v>
      </c>
      <c r="AD694" s="4">
        <v>230</v>
      </c>
      <c r="AE694" s="4">
        <v>330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/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/>
      <c r="BJ694" s="4">
        <v>3</v>
      </c>
      <c r="BK694" s="8">
        <v>145.86</v>
      </c>
      <c r="BL694" s="2" t="s">
        <v>534</v>
      </c>
      <c r="BM694" s="7"/>
      <c r="BN694" s="7"/>
      <c r="BO694" s="4"/>
      <c r="BP694" s="8"/>
      <c r="BQ694" s="4"/>
      <c r="BR694" s="8"/>
      <c r="BS694" s="7"/>
      <c r="BT694" s="7"/>
      <c r="BU694" s="2" t="s">
        <v>109</v>
      </c>
      <c r="BV694" s="2" t="s">
        <v>97</v>
      </c>
      <c r="BW694" s="2" t="s">
        <v>270</v>
      </c>
      <c r="BX694" s="2" t="s">
        <v>2610</v>
      </c>
      <c r="BY694" s="2" t="s">
        <v>112</v>
      </c>
      <c r="BZ694" s="2" t="s">
        <v>100</v>
      </c>
    </row>
    <row r="695">
      <c r="A695" s="2" t="s">
        <v>2611</v>
      </c>
      <c r="B695" s="2" t="s">
        <v>87</v>
      </c>
      <c r="C695" s="2" t="s">
        <v>88</v>
      </c>
      <c r="D695" s="2" t="s">
        <v>2230</v>
      </c>
      <c r="E695" s="2" t="s">
        <v>2393</v>
      </c>
      <c r="F695" s="2" t="s">
        <v>1807</v>
      </c>
      <c r="G695" s="2" t="s">
        <v>1808</v>
      </c>
      <c r="H695" s="2" t="s">
        <v>984</v>
      </c>
      <c r="I695" s="2" t="s">
        <v>2605</v>
      </c>
      <c r="J695" s="2" t="s">
        <v>795</v>
      </c>
      <c r="K695" s="2" t="s">
        <v>1555</v>
      </c>
      <c r="L695" s="3">
        <v>57.32</v>
      </c>
      <c r="M695" s="3">
        <v>60.19</v>
      </c>
      <c r="N695" s="3">
        <v>119.99</v>
      </c>
      <c r="O695" s="2" t="s">
        <v>97</v>
      </c>
      <c r="P695" s="2" t="s">
        <v>98</v>
      </c>
      <c r="Q695" s="2" t="s">
        <v>99</v>
      </c>
      <c r="R695" s="2" t="s">
        <v>100</v>
      </c>
      <c r="S695" s="2" t="s">
        <v>2609</v>
      </c>
      <c r="T695" s="2" t="s">
        <v>100</v>
      </c>
      <c r="U695" s="2" t="s">
        <v>676</v>
      </c>
      <c r="V695" s="2" t="s">
        <v>1112</v>
      </c>
      <c r="W695" s="2" t="s">
        <v>756</v>
      </c>
      <c r="X695" s="2" t="s">
        <v>563</v>
      </c>
      <c r="Y695" s="2" t="s">
        <v>1816</v>
      </c>
      <c r="Z695" s="4">
        <v>238</v>
      </c>
      <c r="AA695" s="4">
        <f>=ROUNDDOWN(23.8,0)</f>
      </c>
      <c r="AB695" s="5">
        <v>10</v>
      </c>
      <c r="AC695" s="2" t="s">
        <v>287</v>
      </c>
      <c r="AD695" s="4">
        <v>90</v>
      </c>
      <c r="AE695" s="4">
        <v>270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/>
      <c r="AQ695" s="8"/>
      <c r="AR695" s="4"/>
      <c r="AS695" s="8"/>
      <c r="AT695" s="7"/>
      <c r="AU695" s="7"/>
      <c r="AV695" s="4" t="s">
        <v>100</v>
      </c>
      <c r="AW695" s="8" t="s">
        <v>100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/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/>
      <c r="BJ695" s="4">
        <v>2</v>
      </c>
      <c r="BK695" s="8">
        <v>118.92</v>
      </c>
      <c r="BL695" s="2" t="s">
        <v>210</v>
      </c>
      <c r="BM695" s="7"/>
      <c r="BN695" s="7"/>
      <c r="BO695" s="4"/>
      <c r="BP695" s="8"/>
      <c r="BQ695" s="4"/>
      <c r="BR695" s="8"/>
      <c r="BS695" s="7"/>
      <c r="BT695" s="7"/>
      <c r="BU695" s="2" t="s">
        <v>109</v>
      </c>
      <c r="BV695" s="2" t="s">
        <v>97</v>
      </c>
      <c r="BW695" s="2" t="s">
        <v>2612</v>
      </c>
      <c r="BX695" s="2" t="s">
        <v>2303</v>
      </c>
      <c r="BY695" s="2" t="s">
        <v>112</v>
      </c>
      <c r="BZ695" s="2" t="s">
        <v>100</v>
      </c>
    </row>
    <row r="696">
      <c r="A696" s="2" t="s">
        <v>2613</v>
      </c>
      <c r="B696" s="2" t="s">
        <v>87</v>
      </c>
      <c r="C696" s="2" t="s">
        <v>88</v>
      </c>
      <c r="D696" s="2" t="s">
        <v>2230</v>
      </c>
      <c r="E696" s="2" t="s">
        <v>2393</v>
      </c>
      <c r="F696" s="2" t="s">
        <v>1807</v>
      </c>
      <c r="G696" s="2" t="s">
        <v>1808</v>
      </c>
      <c r="H696" s="2" t="s">
        <v>984</v>
      </c>
      <c r="I696" s="2" t="s">
        <v>2605</v>
      </c>
      <c r="J696" s="2" t="s">
        <v>785</v>
      </c>
      <c r="K696" s="2" t="s">
        <v>434</v>
      </c>
      <c r="L696" s="3">
        <v>51.83</v>
      </c>
      <c r="M696" s="3">
        <v>54.42</v>
      </c>
      <c r="N696" s="3">
        <v>109.99</v>
      </c>
      <c r="O696" s="2" t="s">
        <v>97</v>
      </c>
      <c r="P696" s="2" t="s">
        <v>98</v>
      </c>
      <c r="Q696" s="2" t="s">
        <v>99</v>
      </c>
      <c r="R696" s="2" t="s">
        <v>100</v>
      </c>
      <c r="S696" s="2" t="s">
        <v>100</v>
      </c>
      <c r="T696" s="2" t="s">
        <v>100</v>
      </c>
      <c r="U696" s="2" t="s">
        <v>676</v>
      </c>
      <c r="V696" s="2" t="s">
        <v>1112</v>
      </c>
      <c r="W696" s="2" t="s">
        <v>756</v>
      </c>
      <c r="X696" s="2" t="s">
        <v>563</v>
      </c>
      <c r="Y696" s="2" t="s">
        <v>1810</v>
      </c>
      <c r="Z696" s="4">
        <v>169</v>
      </c>
      <c r="AA696" s="4">
        <f>=ROUNDDOWN(21.125,0)</f>
      </c>
      <c r="AB696" s="5">
        <v>8</v>
      </c>
      <c r="AC696" s="2" t="s">
        <v>429</v>
      </c>
      <c r="AD696" s="4">
        <v>300</v>
      </c>
      <c r="AE696" s="4">
        <v>350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/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/>
      <c r="BJ696" s="4">
        <v>10</v>
      </c>
      <c r="BK696" s="8">
        <v>590.9</v>
      </c>
      <c r="BL696" s="2" t="s">
        <v>710</v>
      </c>
      <c r="BM696" s="7"/>
      <c r="BN696" s="7"/>
      <c r="BO696" s="4"/>
      <c r="BP696" s="8"/>
      <c r="BQ696" s="4"/>
      <c r="BR696" s="8"/>
      <c r="BS696" s="7"/>
      <c r="BT696" s="7"/>
      <c r="BU696" s="2" t="s">
        <v>109</v>
      </c>
      <c r="BV696" s="2" t="s">
        <v>97</v>
      </c>
      <c r="BW696" s="2" t="s">
        <v>122</v>
      </c>
      <c r="BX696" s="2" t="s">
        <v>161</v>
      </c>
      <c r="BY696" s="2" t="s">
        <v>112</v>
      </c>
      <c r="BZ696" s="2" t="s">
        <v>100</v>
      </c>
    </row>
    <row r="697">
      <c r="A697" s="2" t="s">
        <v>2614</v>
      </c>
      <c r="B697" s="2" t="s">
        <v>87</v>
      </c>
      <c r="C697" s="2" t="s">
        <v>88</v>
      </c>
      <c r="D697" s="2" t="s">
        <v>2230</v>
      </c>
      <c r="E697" s="2" t="s">
        <v>2393</v>
      </c>
      <c r="F697" s="2" t="s">
        <v>1807</v>
      </c>
      <c r="G697" s="2" t="s">
        <v>1808</v>
      </c>
      <c r="H697" s="2" t="s">
        <v>984</v>
      </c>
      <c r="I697" s="2" t="s">
        <v>2605</v>
      </c>
      <c r="J697" s="2" t="s">
        <v>795</v>
      </c>
      <c r="K697" s="2" t="s">
        <v>434</v>
      </c>
      <c r="L697" s="3">
        <v>57.32</v>
      </c>
      <c r="M697" s="3">
        <v>60.19</v>
      </c>
      <c r="N697" s="3">
        <v>119.99</v>
      </c>
      <c r="O697" s="2" t="s">
        <v>97</v>
      </c>
      <c r="P697" s="2" t="s">
        <v>98</v>
      </c>
      <c r="Q697" s="2" t="s">
        <v>99</v>
      </c>
      <c r="R697" s="2" t="s">
        <v>100</v>
      </c>
      <c r="S697" s="2" t="s">
        <v>100</v>
      </c>
      <c r="T697" s="2" t="s">
        <v>100</v>
      </c>
      <c r="U697" s="2" t="s">
        <v>676</v>
      </c>
      <c r="V697" s="2" t="s">
        <v>1112</v>
      </c>
      <c r="W697" s="2" t="s">
        <v>756</v>
      </c>
      <c r="X697" s="2" t="s">
        <v>563</v>
      </c>
      <c r="Y697" s="2" t="s">
        <v>1810</v>
      </c>
      <c r="Z697" s="4">
        <v>226</v>
      </c>
      <c r="AA697" s="4">
        <f>=ROUNDDOWN(28.25,0)</f>
      </c>
      <c r="AB697" s="5">
        <v>8</v>
      </c>
      <c r="AC697" s="2" t="s">
        <v>429</v>
      </c>
      <c r="AD697" s="4">
        <v>160</v>
      </c>
      <c r="AE697" s="4">
        <v>240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/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/>
      <c r="BJ697" s="4">
        <v>3</v>
      </c>
      <c r="BK697" s="8">
        <v>187.59</v>
      </c>
      <c r="BL697" s="2" t="s">
        <v>1220</v>
      </c>
      <c r="BM697" s="7"/>
      <c r="BN697" s="7"/>
      <c r="BO697" s="4"/>
      <c r="BP697" s="8"/>
      <c r="BQ697" s="4"/>
      <c r="BR697" s="8"/>
      <c r="BS697" s="7"/>
      <c r="BT697" s="7"/>
      <c r="BU697" s="2" t="s">
        <v>109</v>
      </c>
      <c r="BV697" s="2" t="s">
        <v>97</v>
      </c>
      <c r="BW697" s="2" t="s">
        <v>122</v>
      </c>
      <c r="BX697" s="2" t="s">
        <v>170</v>
      </c>
      <c r="BY697" s="2" t="s">
        <v>112</v>
      </c>
      <c r="BZ697" s="2" t="s">
        <v>100</v>
      </c>
    </row>
    <row r="698">
      <c r="A698" s="2" t="s">
        <v>2615</v>
      </c>
      <c r="B698" s="2" t="s">
        <v>87</v>
      </c>
      <c r="C698" s="2" t="s">
        <v>88</v>
      </c>
      <c r="D698" s="2" t="s">
        <v>2230</v>
      </c>
      <c r="E698" s="2" t="s">
        <v>2393</v>
      </c>
      <c r="F698" s="2" t="s">
        <v>2616</v>
      </c>
      <c r="G698" s="2" t="s">
        <v>2617</v>
      </c>
      <c r="H698" s="2" t="s">
        <v>2618</v>
      </c>
      <c r="I698" s="2" t="s">
        <v>2419</v>
      </c>
      <c r="J698" s="2" t="s">
        <v>785</v>
      </c>
      <c r="K698" s="2" t="s">
        <v>803</v>
      </c>
      <c r="L698" s="3">
        <v>54.99</v>
      </c>
      <c r="M698" s="3">
        <v>57.74</v>
      </c>
      <c r="N698" s="3">
        <v>109.99</v>
      </c>
      <c r="O698" s="2" t="s">
        <v>97</v>
      </c>
      <c r="P698" s="2" t="s">
        <v>447</v>
      </c>
      <c r="Q698" s="2" t="s">
        <v>99</v>
      </c>
      <c r="R698" s="2" t="s">
        <v>100</v>
      </c>
      <c r="S698" s="2" t="s">
        <v>2619</v>
      </c>
      <c r="T698" s="2" t="s">
        <v>100</v>
      </c>
      <c r="U698" s="2" t="s">
        <v>676</v>
      </c>
      <c r="V698" s="2" t="s">
        <v>1641</v>
      </c>
      <c r="W698" s="2" t="s">
        <v>1064</v>
      </c>
      <c r="X698" s="2" t="s">
        <v>1642</v>
      </c>
      <c r="Y698" s="2" t="s">
        <v>131</v>
      </c>
      <c r="Z698" s="4">
        <v>11</v>
      </c>
      <c r="AA698" s="4">
        <f>=ROUNDDOWN(1.1,0)</f>
      </c>
      <c r="AB698" s="5">
        <v>10</v>
      </c>
      <c r="AC698" s="2" t="s">
        <v>100</v>
      </c>
      <c r="AD698" s="4"/>
      <c r="AE698" s="4"/>
      <c r="AF698" s="6">
        <v>64</v>
      </c>
      <c r="AG698" s="6">
        <v>47</v>
      </c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/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/>
      <c r="BJ698" s="4">
        <v>1</v>
      </c>
      <c r="BK698" s="8">
        <v>36.93</v>
      </c>
      <c r="BL698" s="2" t="s">
        <v>133</v>
      </c>
      <c r="BM698" s="7"/>
      <c r="BN698" s="7"/>
      <c r="BO698" s="4"/>
      <c r="BP698" s="8"/>
      <c r="BQ698" s="4"/>
      <c r="BR698" s="8"/>
      <c r="BS698" s="7"/>
      <c r="BT698" s="7"/>
      <c r="BU698" s="2" t="s">
        <v>109</v>
      </c>
      <c r="BV698" s="2" t="s">
        <v>97</v>
      </c>
      <c r="BW698" s="2" t="s">
        <v>122</v>
      </c>
      <c r="BX698" s="2" t="s">
        <v>196</v>
      </c>
      <c r="BY698" s="2" t="s">
        <v>112</v>
      </c>
      <c r="BZ698" s="2" t="s">
        <v>100</v>
      </c>
    </row>
    <row r="699">
      <c r="A699" s="2" t="s">
        <v>2620</v>
      </c>
      <c r="B699" s="2" t="s">
        <v>87</v>
      </c>
      <c r="C699" s="2" t="s">
        <v>88</v>
      </c>
      <c r="D699" s="2" t="s">
        <v>2230</v>
      </c>
      <c r="E699" s="2" t="s">
        <v>2393</v>
      </c>
      <c r="F699" s="2" t="s">
        <v>2616</v>
      </c>
      <c r="G699" s="2" t="s">
        <v>2617</v>
      </c>
      <c r="H699" s="2" t="s">
        <v>2618</v>
      </c>
      <c r="I699" s="2" t="s">
        <v>2419</v>
      </c>
      <c r="J699" s="2" t="s">
        <v>795</v>
      </c>
      <c r="K699" s="2" t="s">
        <v>803</v>
      </c>
      <c r="L699" s="3">
        <v>59.99</v>
      </c>
      <c r="M699" s="3">
        <v>62.99</v>
      </c>
      <c r="N699" s="3">
        <v>119.99</v>
      </c>
      <c r="O699" s="2" t="s">
        <v>97</v>
      </c>
      <c r="P699" s="2" t="s">
        <v>447</v>
      </c>
      <c r="Q699" s="2" t="s">
        <v>99</v>
      </c>
      <c r="R699" s="2" t="s">
        <v>100</v>
      </c>
      <c r="S699" s="2" t="s">
        <v>2619</v>
      </c>
      <c r="T699" s="2" t="s">
        <v>100</v>
      </c>
      <c r="U699" s="2" t="s">
        <v>676</v>
      </c>
      <c r="V699" s="2" t="s">
        <v>1641</v>
      </c>
      <c r="W699" s="2" t="s">
        <v>1064</v>
      </c>
      <c r="X699" s="2" t="s">
        <v>1642</v>
      </c>
      <c r="Y699" s="2" t="s">
        <v>131</v>
      </c>
      <c r="Z699" s="4">
        <v>27</v>
      </c>
      <c r="AA699" s="4">
        <f>=ROUNDDOWN(1.97080291970803,0)</f>
      </c>
      <c r="AB699" s="5">
        <v>13.7</v>
      </c>
      <c r="AC699" s="2" t="s">
        <v>100</v>
      </c>
      <c r="AD699" s="4"/>
      <c r="AE699" s="4"/>
      <c r="AF699" s="6">
        <v>64</v>
      </c>
      <c r="AG699" s="6">
        <v>47</v>
      </c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/>
      <c r="AQ699" s="8"/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/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/>
      <c r="BJ699" s="4">
        <v>13</v>
      </c>
      <c r="BK699" s="8">
        <v>672.6</v>
      </c>
      <c r="BL699" s="2" t="s">
        <v>2621</v>
      </c>
      <c r="BM699" s="7"/>
      <c r="BN699" s="7"/>
      <c r="BO699" s="4"/>
      <c r="BP699" s="8"/>
      <c r="BQ699" s="4"/>
      <c r="BR699" s="8"/>
      <c r="BS699" s="7"/>
      <c r="BT699" s="7"/>
      <c r="BU699" s="2" t="s">
        <v>109</v>
      </c>
      <c r="BV699" s="2" t="s">
        <v>97</v>
      </c>
      <c r="BW699" s="2" t="s">
        <v>122</v>
      </c>
      <c r="BX699" s="2" t="s">
        <v>225</v>
      </c>
      <c r="BY699" s="2" t="s">
        <v>112</v>
      </c>
      <c r="BZ699" s="2" t="s">
        <v>100</v>
      </c>
    </row>
    <row r="700">
      <c r="A700" s="2" t="s">
        <v>2622</v>
      </c>
      <c r="B700" s="2" t="s">
        <v>87</v>
      </c>
      <c r="C700" s="2" t="s">
        <v>88</v>
      </c>
      <c r="D700" s="2" t="s">
        <v>2230</v>
      </c>
      <c r="E700" s="2" t="s">
        <v>2393</v>
      </c>
      <c r="F700" s="2" t="s">
        <v>2623</v>
      </c>
      <c r="G700" s="2" t="s">
        <v>2624</v>
      </c>
      <c r="H700" s="2" t="s">
        <v>2625</v>
      </c>
      <c r="I700" s="2" t="s">
        <v>2419</v>
      </c>
      <c r="J700" s="2" t="s">
        <v>785</v>
      </c>
      <c r="K700" s="2" t="s">
        <v>198</v>
      </c>
      <c r="L700" s="3">
        <v>54.99</v>
      </c>
      <c r="M700" s="3">
        <v>57.74</v>
      </c>
      <c r="N700" s="3">
        <v>109.99</v>
      </c>
      <c r="O700" s="2" t="s">
        <v>97</v>
      </c>
      <c r="P700" s="2" t="s">
        <v>587</v>
      </c>
      <c r="Q700" s="2" t="s">
        <v>99</v>
      </c>
      <c r="R700" s="2" t="s">
        <v>100</v>
      </c>
      <c r="S700" s="2" t="s">
        <v>2626</v>
      </c>
      <c r="T700" s="2" t="s">
        <v>100</v>
      </c>
      <c r="U700" s="2" t="s">
        <v>676</v>
      </c>
      <c r="V700" s="2" t="s">
        <v>608</v>
      </c>
      <c r="W700" s="2" t="s">
        <v>1064</v>
      </c>
      <c r="X700" s="2" t="s">
        <v>552</v>
      </c>
      <c r="Y700" s="2" t="s">
        <v>131</v>
      </c>
      <c r="Z700" s="4">
        <v>404</v>
      </c>
      <c r="AA700" s="4">
        <f>=ROUNDDOWN(44.8888888888889,0)</f>
      </c>
      <c r="AB700" s="5">
        <v>9</v>
      </c>
      <c r="AC700" s="2" t="s">
        <v>100</v>
      </c>
      <c r="AD700" s="4"/>
      <c r="AE700" s="4"/>
      <c r="AF700" s="6">
        <v>65</v>
      </c>
      <c r="AG700" s="6">
        <v>73</v>
      </c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 t="s">
        <v>100</v>
      </c>
      <c r="AW700" s="8" t="s">
        <v>100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/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/>
      <c r="BJ700" s="4">
        <v>4</v>
      </c>
      <c r="BK700" s="8">
        <v>183.96</v>
      </c>
      <c r="BL700" s="2" t="s">
        <v>133</v>
      </c>
      <c r="BM700" s="7"/>
      <c r="BN700" s="7"/>
      <c r="BO700" s="4"/>
      <c r="BP700" s="8"/>
      <c r="BQ700" s="4"/>
      <c r="BR700" s="8"/>
      <c r="BS700" s="7"/>
      <c r="BT700" s="7"/>
      <c r="BU700" s="2" t="s">
        <v>109</v>
      </c>
      <c r="BV700" s="2" t="s">
        <v>97</v>
      </c>
      <c r="BW700" s="2" t="s">
        <v>137</v>
      </c>
      <c r="BX700" s="2" t="s">
        <v>2627</v>
      </c>
      <c r="BY700" s="2" t="s">
        <v>112</v>
      </c>
      <c r="BZ700" s="2" t="s">
        <v>100</v>
      </c>
    </row>
    <row r="701">
      <c r="A701" s="2" t="s">
        <v>2628</v>
      </c>
      <c r="B701" s="2" t="s">
        <v>87</v>
      </c>
      <c r="C701" s="2" t="s">
        <v>88</v>
      </c>
      <c r="D701" s="2" t="s">
        <v>2230</v>
      </c>
      <c r="E701" s="2" t="s">
        <v>2393</v>
      </c>
      <c r="F701" s="2" t="s">
        <v>2623</v>
      </c>
      <c r="G701" s="2" t="s">
        <v>2624</v>
      </c>
      <c r="H701" s="2" t="s">
        <v>2625</v>
      </c>
      <c r="I701" s="2" t="s">
        <v>2419</v>
      </c>
      <c r="J701" s="2" t="s">
        <v>120</v>
      </c>
      <c r="K701" s="2" t="s">
        <v>198</v>
      </c>
      <c r="L701" s="3">
        <v>59.99</v>
      </c>
      <c r="M701" s="3">
        <v>62.99</v>
      </c>
      <c r="N701" s="3">
        <v>119.99</v>
      </c>
      <c r="O701" s="2" t="s">
        <v>97</v>
      </c>
      <c r="P701" s="2" t="s">
        <v>587</v>
      </c>
      <c r="Q701" s="2" t="s">
        <v>99</v>
      </c>
      <c r="R701" s="2" t="s">
        <v>100</v>
      </c>
      <c r="S701" s="2" t="s">
        <v>2626</v>
      </c>
      <c r="T701" s="2" t="s">
        <v>100</v>
      </c>
      <c r="U701" s="2" t="s">
        <v>676</v>
      </c>
      <c r="V701" s="2" t="s">
        <v>608</v>
      </c>
      <c r="W701" s="2" t="s">
        <v>1064</v>
      </c>
      <c r="X701" s="2" t="s">
        <v>552</v>
      </c>
      <c r="Y701" s="2" t="s">
        <v>131</v>
      </c>
      <c r="Z701" s="4">
        <v>465</v>
      </c>
      <c r="AA701" s="4">
        <f>=ROUNDDOWN(35.7692307692308,0)</f>
      </c>
      <c r="AB701" s="5">
        <v>13</v>
      </c>
      <c r="AC701" s="2" t="s">
        <v>100</v>
      </c>
      <c r="AD701" s="4"/>
      <c r="AE701" s="4"/>
      <c r="AF701" s="6">
        <v>65</v>
      </c>
      <c r="AG701" s="6">
        <v>73</v>
      </c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/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/>
      <c r="BJ701" s="4">
        <v>11</v>
      </c>
      <c r="BK701" s="8">
        <v>654.36</v>
      </c>
      <c r="BL701" s="2" t="s">
        <v>822</v>
      </c>
      <c r="BM701" s="7"/>
      <c r="BN701" s="7"/>
      <c r="BO701" s="4"/>
      <c r="BP701" s="8"/>
      <c r="BQ701" s="4"/>
      <c r="BR701" s="8"/>
      <c r="BS701" s="7"/>
      <c r="BT701" s="7"/>
      <c r="BU701" s="2" t="s">
        <v>109</v>
      </c>
      <c r="BV701" s="2" t="s">
        <v>97</v>
      </c>
      <c r="BW701" s="2" t="s">
        <v>137</v>
      </c>
      <c r="BX701" s="2" t="s">
        <v>2629</v>
      </c>
      <c r="BY701" s="2" t="s">
        <v>112</v>
      </c>
      <c r="BZ701" s="2" t="s">
        <v>100</v>
      </c>
    </row>
    <row r="702">
      <c r="A702" s="2" t="s">
        <v>2630</v>
      </c>
      <c r="B702" s="2" t="s">
        <v>87</v>
      </c>
      <c r="C702" s="2" t="s">
        <v>88</v>
      </c>
      <c r="D702" s="2" t="s">
        <v>2230</v>
      </c>
      <c r="E702" s="2" t="s">
        <v>2393</v>
      </c>
      <c r="F702" s="2" t="s">
        <v>864</v>
      </c>
      <c r="G702" s="2" t="s">
        <v>865</v>
      </c>
      <c r="H702" s="2" t="s">
        <v>866</v>
      </c>
      <c r="I702" s="2" t="s">
        <v>2547</v>
      </c>
      <c r="J702" s="2" t="s">
        <v>785</v>
      </c>
      <c r="K702" s="2" t="s">
        <v>185</v>
      </c>
      <c r="L702" s="3">
        <v>63.7</v>
      </c>
      <c r="M702" s="3">
        <v>66.88</v>
      </c>
      <c r="N702" s="3">
        <v>129.99</v>
      </c>
      <c r="O702" s="2" t="s">
        <v>97</v>
      </c>
      <c r="P702" s="2" t="s">
        <v>98</v>
      </c>
      <c r="Q702" s="2" t="s">
        <v>99</v>
      </c>
      <c r="R702" s="2" t="s">
        <v>100</v>
      </c>
      <c r="S702" s="2" t="s">
        <v>2631</v>
      </c>
      <c r="T702" s="2" t="s">
        <v>359</v>
      </c>
      <c r="U702" s="2" t="s">
        <v>676</v>
      </c>
      <c r="V702" s="2" t="s">
        <v>284</v>
      </c>
      <c r="W702" s="2" t="s">
        <v>104</v>
      </c>
      <c r="X702" s="2" t="s">
        <v>581</v>
      </c>
      <c r="Y702" s="2" t="s">
        <v>2601</v>
      </c>
      <c r="Z702" s="4">
        <v>127</v>
      </c>
      <c r="AA702" s="4">
        <f>=ROUNDDOWN(31.75,0)</f>
      </c>
      <c r="AB702" s="5">
        <v>4</v>
      </c>
      <c r="AC702" s="2" t="s">
        <v>406</v>
      </c>
      <c r="AD702" s="4">
        <v>40</v>
      </c>
      <c r="AE702" s="4">
        <v>70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/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/>
      <c r="BJ702" s="4">
        <v>1</v>
      </c>
      <c r="BK702" s="8">
        <v>55.64</v>
      </c>
      <c r="BL702" s="2" t="s">
        <v>133</v>
      </c>
      <c r="BM702" s="7"/>
      <c r="BN702" s="7"/>
      <c r="BO702" s="4"/>
      <c r="BP702" s="8"/>
      <c r="BQ702" s="4"/>
      <c r="BR702" s="8"/>
      <c r="BS702" s="7"/>
      <c r="BT702" s="7"/>
      <c r="BU702" s="2" t="s">
        <v>109</v>
      </c>
      <c r="BV702" s="2" t="s">
        <v>97</v>
      </c>
      <c r="BW702" s="2" t="s">
        <v>312</v>
      </c>
      <c r="BX702" s="2" t="s">
        <v>2632</v>
      </c>
      <c r="BY702" s="2" t="s">
        <v>112</v>
      </c>
      <c r="BZ702" s="2" t="s">
        <v>100</v>
      </c>
    </row>
    <row r="703">
      <c r="A703" s="2" t="s">
        <v>2633</v>
      </c>
      <c r="B703" s="2" t="s">
        <v>87</v>
      </c>
      <c r="C703" s="2" t="s">
        <v>88</v>
      </c>
      <c r="D703" s="2" t="s">
        <v>2230</v>
      </c>
      <c r="E703" s="2" t="s">
        <v>2393</v>
      </c>
      <c r="F703" s="2" t="s">
        <v>864</v>
      </c>
      <c r="G703" s="2" t="s">
        <v>865</v>
      </c>
      <c r="H703" s="2" t="s">
        <v>866</v>
      </c>
      <c r="I703" s="2" t="s">
        <v>2547</v>
      </c>
      <c r="J703" s="2" t="s">
        <v>795</v>
      </c>
      <c r="K703" s="2" t="s">
        <v>185</v>
      </c>
      <c r="L703" s="3">
        <v>68.6</v>
      </c>
      <c r="M703" s="3">
        <v>72.02</v>
      </c>
      <c r="N703" s="3">
        <v>139.99</v>
      </c>
      <c r="O703" s="2" t="s">
        <v>97</v>
      </c>
      <c r="P703" s="2" t="s">
        <v>98</v>
      </c>
      <c r="Q703" s="2" t="s">
        <v>99</v>
      </c>
      <c r="R703" s="2" t="s">
        <v>100</v>
      </c>
      <c r="S703" s="2" t="s">
        <v>2631</v>
      </c>
      <c r="T703" s="2" t="s">
        <v>359</v>
      </c>
      <c r="U703" s="2" t="s">
        <v>676</v>
      </c>
      <c r="V703" s="2" t="s">
        <v>284</v>
      </c>
      <c r="W703" s="2" t="s">
        <v>104</v>
      </c>
      <c r="X703" s="2" t="s">
        <v>581</v>
      </c>
      <c r="Y703" s="2" t="s">
        <v>2601</v>
      </c>
      <c r="Z703" s="4">
        <v>150</v>
      </c>
      <c r="AA703" s="4">
        <f>=ROUNDDOWN(25,0)</f>
      </c>
      <c r="AB703" s="5">
        <v>6</v>
      </c>
      <c r="AC703" s="2" t="s">
        <v>695</v>
      </c>
      <c r="AD703" s="4">
        <v>50</v>
      </c>
      <c r="AE703" s="4">
        <v>120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/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/>
      <c r="BJ703" s="4">
        <v>2</v>
      </c>
      <c r="BK703" s="8">
        <v>140.87</v>
      </c>
      <c r="BL703" s="2" t="s">
        <v>1490</v>
      </c>
      <c r="BM703" s="7"/>
      <c r="BN703" s="7"/>
      <c r="BO703" s="4"/>
      <c r="BP703" s="8"/>
      <c r="BQ703" s="4"/>
      <c r="BR703" s="8"/>
      <c r="BS703" s="7"/>
      <c r="BT703" s="7"/>
      <c r="BU703" s="2" t="s">
        <v>109</v>
      </c>
      <c r="BV703" s="2" t="s">
        <v>97</v>
      </c>
      <c r="BW703" s="2" t="s">
        <v>312</v>
      </c>
      <c r="BX703" s="2" t="s">
        <v>2435</v>
      </c>
      <c r="BY703" s="2" t="s">
        <v>112</v>
      </c>
      <c r="BZ703" s="2" t="s">
        <v>100</v>
      </c>
    </row>
    <row r="704">
      <c r="A704" s="2" t="s">
        <v>2634</v>
      </c>
      <c r="B704" s="2" t="s">
        <v>87</v>
      </c>
      <c r="C704" s="2" t="s">
        <v>88</v>
      </c>
      <c r="D704" s="2" t="s">
        <v>2230</v>
      </c>
      <c r="E704" s="2" t="s">
        <v>2393</v>
      </c>
      <c r="F704" s="2" t="s">
        <v>864</v>
      </c>
      <c r="G704" s="2" t="s">
        <v>865</v>
      </c>
      <c r="H704" s="2" t="s">
        <v>866</v>
      </c>
      <c r="I704" s="2" t="s">
        <v>2547</v>
      </c>
      <c r="J704" s="2" t="s">
        <v>785</v>
      </c>
      <c r="K704" s="2" t="s">
        <v>868</v>
      </c>
      <c r="L704" s="3">
        <v>63.7</v>
      </c>
      <c r="M704" s="3">
        <v>66.88</v>
      </c>
      <c r="N704" s="3">
        <v>129.99</v>
      </c>
      <c r="O704" s="2" t="s">
        <v>97</v>
      </c>
      <c r="P704" s="2" t="s">
        <v>98</v>
      </c>
      <c r="Q704" s="2" t="s">
        <v>99</v>
      </c>
      <c r="R704" s="2" t="s">
        <v>100</v>
      </c>
      <c r="S704" s="2" t="s">
        <v>2635</v>
      </c>
      <c r="T704" s="2" t="s">
        <v>100</v>
      </c>
      <c r="U704" s="2" t="s">
        <v>676</v>
      </c>
      <c r="V704" s="2" t="s">
        <v>284</v>
      </c>
      <c r="W704" s="2" t="s">
        <v>104</v>
      </c>
      <c r="X704" s="2" t="s">
        <v>581</v>
      </c>
      <c r="Y704" s="2" t="s">
        <v>2636</v>
      </c>
      <c r="Z704" s="4">
        <v>271</v>
      </c>
      <c r="AA704" s="4">
        <f>=ROUNDDOWN(30.1111111111111,0)</f>
      </c>
      <c r="AB704" s="5">
        <v>9</v>
      </c>
      <c r="AC704" s="2" t="s">
        <v>132</v>
      </c>
      <c r="AD704" s="4">
        <v>30</v>
      </c>
      <c r="AE704" s="4">
        <v>110</v>
      </c>
      <c r="AF704" s="6">
        <v>65</v>
      </c>
      <c r="AG704" s="6">
        <v>73</v>
      </c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/>
      <c r="AQ704" s="8"/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/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/>
      <c r="BJ704" s="4">
        <v>1</v>
      </c>
      <c r="BK704" s="8">
        <v>67.59</v>
      </c>
      <c r="BL704" s="2" t="s">
        <v>1310</v>
      </c>
      <c r="BM704" s="7"/>
      <c r="BN704" s="7"/>
      <c r="BO704" s="4"/>
      <c r="BP704" s="8"/>
      <c r="BQ704" s="4"/>
      <c r="BR704" s="8"/>
      <c r="BS704" s="7"/>
      <c r="BT704" s="7"/>
      <c r="BU704" s="2" t="s">
        <v>109</v>
      </c>
      <c r="BV704" s="2" t="s">
        <v>97</v>
      </c>
      <c r="BW704" s="2" t="s">
        <v>122</v>
      </c>
      <c r="BX704" s="2" t="s">
        <v>463</v>
      </c>
      <c r="BY704" s="2" t="s">
        <v>112</v>
      </c>
      <c r="BZ704" s="2" t="s">
        <v>100</v>
      </c>
    </row>
    <row r="705">
      <c r="A705" s="2" t="s">
        <v>2637</v>
      </c>
      <c r="B705" s="2" t="s">
        <v>87</v>
      </c>
      <c r="C705" s="2" t="s">
        <v>88</v>
      </c>
      <c r="D705" s="2" t="s">
        <v>2230</v>
      </c>
      <c r="E705" s="2" t="s">
        <v>2393</v>
      </c>
      <c r="F705" s="2" t="s">
        <v>864</v>
      </c>
      <c r="G705" s="2" t="s">
        <v>865</v>
      </c>
      <c r="H705" s="2" t="s">
        <v>866</v>
      </c>
      <c r="I705" s="2" t="s">
        <v>2547</v>
      </c>
      <c r="J705" s="2" t="s">
        <v>795</v>
      </c>
      <c r="K705" s="2" t="s">
        <v>868</v>
      </c>
      <c r="L705" s="3">
        <v>68.6</v>
      </c>
      <c r="M705" s="3">
        <v>72.02</v>
      </c>
      <c r="N705" s="3">
        <v>139.99</v>
      </c>
      <c r="O705" s="2" t="s">
        <v>97</v>
      </c>
      <c r="P705" s="2" t="s">
        <v>98</v>
      </c>
      <c r="Q705" s="2" t="s">
        <v>99</v>
      </c>
      <c r="R705" s="2" t="s">
        <v>100</v>
      </c>
      <c r="S705" s="2" t="s">
        <v>2635</v>
      </c>
      <c r="T705" s="2" t="s">
        <v>100</v>
      </c>
      <c r="U705" s="2" t="s">
        <v>676</v>
      </c>
      <c r="V705" s="2" t="s">
        <v>284</v>
      </c>
      <c r="W705" s="2" t="s">
        <v>104</v>
      </c>
      <c r="X705" s="2" t="s">
        <v>399</v>
      </c>
      <c r="Y705" s="2" t="s">
        <v>2636</v>
      </c>
      <c r="Z705" s="4">
        <v>309</v>
      </c>
      <c r="AA705" s="4">
        <f>=ROUNDDOWN(22.0714285714286,0)</f>
      </c>
      <c r="AB705" s="5">
        <v>14</v>
      </c>
      <c r="AC705" s="2" t="s">
        <v>871</v>
      </c>
      <c r="AD705" s="4">
        <v>50</v>
      </c>
      <c r="AE705" s="4">
        <v>310</v>
      </c>
      <c r="AF705" s="6">
        <v>65</v>
      </c>
      <c r="AG705" s="6">
        <v>73</v>
      </c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>
        <v>0</v>
      </c>
      <c r="AP705" s="4"/>
      <c r="AQ705" s="8"/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/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/>
      <c r="BJ705" s="4">
        <v>13</v>
      </c>
      <c r="BK705" s="8">
        <v>923.5</v>
      </c>
      <c r="BL705" s="2" t="s">
        <v>2548</v>
      </c>
      <c r="BM705" s="7"/>
      <c r="BN705" s="7"/>
      <c r="BO705" s="4"/>
      <c r="BP705" s="8"/>
      <c r="BQ705" s="4"/>
      <c r="BR705" s="8"/>
      <c r="BS705" s="7"/>
      <c r="BT705" s="7"/>
      <c r="BU705" s="2" t="s">
        <v>109</v>
      </c>
      <c r="BV705" s="2" t="s">
        <v>97</v>
      </c>
      <c r="BW705" s="2" t="s">
        <v>122</v>
      </c>
      <c r="BX705" s="2" t="s">
        <v>621</v>
      </c>
      <c r="BY705" s="2" t="s">
        <v>112</v>
      </c>
      <c r="BZ705" s="2" t="s">
        <v>100</v>
      </c>
    </row>
    <row r="706">
      <c r="A706" s="2" t="s">
        <v>2638</v>
      </c>
      <c r="B706" s="2" t="s">
        <v>87</v>
      </c>
      <c r="C706" s="2" t="s">
        <v>88</v>
      </c>
      <c r="D706" s="2" t="s">
        <v>2230</v>
      </c>
      <c r="E706" s="2" t="s">
        <v>2393</v>
      </c>
      <c r="F706" s="2" t="s">
        <v>2639</v>
      </c>
      <c r="G706" s="2" t="s">
        <v>2640</v>
      </c>
      <c r="H706" s="2" t="s">
        <v>2641</v>
      </c>
      <c r="I706" s="2" t="s">
        <v>2642</v>
      </c>
      <c r="J706" s="2" t="s">
        <v>785</v>
      </c>
      <c r="K706" s="2" t="s">
        <v>409</v>
      </c>
      <c r="L706" s="3">
        <v>58.12</v>
      </c>
      <c r="M706" s="3">
        <v>61.03</v>
      </c>
      <c r="N706" s="3">
        <v>119.99</v>
      </c>
      <c r="O706" s="2" t="s">
        <v>97</v>
      </c>
      <c r="P706" s="2" t="s">
        <v>98</v>
      </c>
      <c r="Q706" s="2" t="s">
        <v>99</v>
      </c>
      <c r="R706" s="2" t="s">
        <v>100</v>
      </c>
      <c r="S706" s="2" t="s">
        <v>2643</v>
      </c>
      <c r="T706" s="2" t="s">
        <v>359</v>
      </c>
      <c r="U706" s="2" t="s">
        <v>676</v>
      </c>
      <c r="V706" s="2" t="s">
        <v>677</v>
      </c>
      <c r="W706" s="2" t="s">
        <v>345</v>
      </c>
      <c r="X706" s="2" t="s">
        <v>552</v>
      </c>
      <c r="Y706" s="2" t="s">
        <v>131</v>
      </c>
      <c r="Z706" s="4">
        <v>764</v>
      </c>
      <c r="AA706" s="4">
        <f>=ROUNDDOWN(30.56,0)</f>
      </c>
      <c r="AB706" s="5">
        <v>25</v>
      </c>
      <c r="AC706" s="2" t="s">
        <v>100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/>
      <c r="BJ706" s="4">
        <v>13</v>
      </c>
      <c r="BK706" s="8">
        <v>762.53</v>
      </c>
      <c r="BL706" s="2" t="s">
        <v>2644</v>
      </c>
      <c r="BM706" s="7"/>
      <c r="BN706" s="7"/>
      <c r="BO706" s="4"/>
      <c r="BP706" s="8"/>
      <c r="BQ706" s="4"/>
      <c r="BR706" s="8"/>
      <c r="BS706" s="7"/>
      <c r="BT706" s="7"/>
      <c r="BU706" s="2" t="s">
        <v>109</v>
      </c>
      <c r="BV706" s="2" t="s">
        <v>97</v>
      </c>
      <c r="BW706" s="2" t="s">
        <v>1159</v>
      </c>
      <c r="BX706" s="2" t="s">
        <v>264</v>
      </c>
      <c r="BY706" s="2" t="s">
        <v>112</v>
      </c>
      <c r="BZ706" s="2" t="s">
        <v>100</v>
      </c>
    </row>
    <row r="707">
      <c r="A707" s="2" t="s">
        <v>2645</v>
      </c>
      <c r="B707" s="2" t="s">
        <v>87</v>
      </c>
      <c r="C707" s="2" t="s">
        <v>88</v>
      </c>
      <c r="D707" s="2" t="s">
        <v>2230</v>
      </c>
      <c r="E707" s="2" t="s">
        <v>2393</v>
      </c>
      <c r="F707" s="2" t="s">
        <v>2639</v>
      </c>
      <c r="G707" s="2" t="s">
        <v>2640</v>
      </c>
      <c r="H707" s="2" t="s">
        <v>2641</v>
      </c>
      <c r="I707" s="2" t="s">
        <v>2642</v>
      </c>
      <c r="J707" s="2" t="s">
        <v>795</v>
      </c>
      <c r="K707" s="2" t="s">
        <v>409</v>
      </c>
      <c r="L707" s="3">
        <v>62.6</v>
      </c>
      <c r="M707" s="3">
        <v>65.73</v>
      </c>
      <c r="N707" s="3">
        <v>129.99</v>
      </c>
      <c r="O707" s="2" t="s">
        <v>97</v>
      </c>
      <c r="P707" s="2" t="s">
        <v>98</v>
      </c>
      <c r="Q707" s="2" t="s">
        <v>99</v>
      </c>
      <c r="R707" s="2" t="s">
        <v>100</v>
      </c>
      <c r="S707" s="2" t="s">
        <v>2643</v>
      </c>
      <c r="T707" s="2" t="s">
        <v>359</v>
      </c>
      <c r="U707" s="2" t="s">
        <v>676</v>
      </c>
      <c r="V707" s="2" t="s">
        <v>677</v>
      </c>
      <c r="W707" s="2" t="s">
        <v>345</v>
      </c>
      <c r="X707" s="2" t="s">
        <v>552</v>
      </c>
      <c r="Y707" s="2" t="s">
        <v>131</v>
      </c>
      <c r="Z707" s="4">
        <v>837</v>
      </c>
      <c r="AA707" s="4">
        <f>=ROUNDDOWN(27.9,0)</f>
      </c>
      <c r="AB707" s="5">
        <v>30</v>
      </c>
      <c r="AC707" s="2" t="s">
        <v>100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/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/>
      <c r="BJ707" s="4">
        <v>30</v>
      </c>
      <c r="BK707" s="8">
        <v>1933.49</v>
      </c>
      <c r="BL707" s="2" t="s">
        <v>2274</v>
      </c>
      <c r="BM707" s="7"/>
      <c r="BN707" s="7"/>
      <c r="BO707" s="4"/>
      <c r="BP707" s="8"/>
      <c r="BQ707" s="4"/>
      <c r="BR707" s="8"/>
      <c r="BS707" s="7"/>
      <c r="BT707" s="7"/>
      <c r="BU707" s="2" t="s">
        <v>109</v>
      </c>
      <c r="BV707" s="2" t="s">
        <v>97</v>
      </c>
      <c r="BW707" s="2" t="s">
        <v>1159</v>
      </c>
      <c r="BX707" s="2" t="s">
        <v>2390</v>
      </c>
      <c r="BY707" s="2" t="s">
        <v>112</v>
      </c>
      <c r="BZ707" s="2" t="s">
        <v>100</v>
      </c>
    </row>
    <row r="708">
      <c r="A708" s="2" t="s">
        <v>2646</v>
      </c>
      <c r="B708" s="2" t="s">
        <v>87</v>
      </c>
      <c r="C708" s="2" t="s">
        <v>88</v>
      </c>
      <c r="D708" s="2" t="s">
        <v>2230</v>
      </c>
      <c r="E708" s="2" t="s">
        <v>2393</v>
      </c>
      <c r="F708" s="2" t="s">
        <v>2647</v>
      </c>
      <c r="G708" s="2" t="s">
        <v>2648</v>
      </c>
      <c r="H708" s="2" t="s">
        <v>2649</v>
      </c>
      <c r="I708" s="2" t="s">
        <v>2650</v>
      </c>
      <c r="J708" s="2" t="s">
        <v>673</v>
      </c>
      <c r="K708" s="2" t="s">
        <v>1659</v>
      </c>
      <c r="L708" s="3">
        <v>49.99</v>
      </c>
      <c r="M708" s="3">
        <v>52.49</v>
      </c>
      <c r="N708" s="3">
        <v>99.99</v>
      </c>
      <c r="O708" s="2" t="s">
        <v>97</v>
      </c>
      <c r="P708" s="2" t="s">
        <v>587</v>
      </c>
      <c r="Q708" s="2" t="s">
        <v>99</v>
      </c>
      <c r="R708" s="2" t="s">
        <v>100</v>
      </c>
      <c r="S708" s="2" t="s">
        <v>2651</v>
      </c>
      <c r="T708" s="2" t="s">
        <v>100</v>
      </c>
      <c r="U708" s="2" t="s">
        <v>644</v>
      </c>
      <c r="V708" s="2" t="s">
        <v>1641</v>
      </c>
      <c r="W708" s="2" t="s">
        <v>1064</v>
      </c>
      <c r="X708" s="2" t="s">
        <v>1642</v>
      </c>
      <c r="Y708" s="2" t="s">
        <v>131</v>
      </c>
      <c r="Z708" s="4">
        <v>93</v>
      </c>
      <c r="AA708" s="4">
        <f>=ROUNDDOWN(31,0)</f>
      </c>
      <c r="AB708" s="5">
        <v>3</v>
      </c>
      <c r="AC708" s="2" t="s">
        <v>100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/>
      <c r="AQ708" s="8"/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/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/>
      <c r="BJ708" s="4"/>
      <c r="BK708" s="8"/>
      <c r="BL708" s="2" t="s">
        <v>100</v>
      </c>
      <c r="BM708" s="7"/>
      <c r="BN708" s="7"/>
      <c r="BO708" s="4"/>
      <c r="BP708" s="8"/>
      <c r="BQ708" s="4"/>
      <c r="BR708" s="8"/>
      <c r="BS708" s="7"/>
      <c r="BT708" s="7"/>
      <c r="BU708" s="2" t="s">
        <v>109</v>
      </c>
      <c r="BV708" s="2" t="s">
        <v>97</v>
      </c>
      <c r="BW708" s="2" t="s">
        <v>122</v>
      </c>
      <c r="BX708" s="2" t="s">
        <v>950</v>
      </c>
      <c r="BY708" s="2" t="s">
        <v>112</v>
      </c>
      <c r="BZ708" s="2" t="s">
        <v>100</v>
      </c>
    </row>
    <row r="709">
      <c r="A709" s="2" t="s">
        <v>2652</v>
      </c>
      <c r="B709" s="2" t="s">
        <v>87</v>
      </c>
      <c r="C709" s="2" t="s">
        <v>88</v>
      </c>
      <c r="D709" s="2" t="s">
        <v>2230</v>
      </c>
      <c r="E709" s="2" t="s">
        <v>2393</v>
      </c>
      <c r="F709" s="2" t="s">
        <v>2647</v>
      </c>
      <c r="G709" s="2" t="s">
        <v>2648</v>
      </c>
      <c r="H709" s="2" t="s">
        <v>2649</v>
      </c>
      <c r="I709" s="2" t="s">
        <v>2650</v>
      </c>
      <c r="J709" s="2" t="s">
        <v>785</v>
      </c>
      <c r="K709" s="2" t="s">
        <v>1659</v>
      </c>
      <c r="L709" s="3">
        <v>54.99</v>
      </c>
      <c r="M709" s="3">
        <v>57.74</v>
      </c>
      <c r="N709" s="3">
        <v>109.99</v>
      </c>
      <c r="O709" s="2" t="s">
        <v>97</v>
      </c>
      <c r="P709" s="2" t="s">
        <v>98</v>
      </c>
      <c r="Q709" s="2" t="s">
        <v>99</v>
      </c>
      <c r="R709" s="2" t="s">
        <v>100</v>
      </c>
      <c r="S709" s="2" t="s">
        <v>2651</v>
      </c>
      <c r="T709" s="2" t="s">
        <v>100</v>
      </c>
      <c r="U709" s="2" t="s">
        <v>676</v>
      </c>
      <c r="V709" s="2" t="s">
        <v>1641</v>
      </c>
      <c r="W709" s="2" t="s">
        <v>1064</v>
      </c>
      <c r="X709" s="2" t="s">
        <v>1642</v>
      </c>
      <c r="Y709" s="2" t="s">
        <v>131</v>
      </c>
      <c r="Z709" s="4">
        <v>173</v>
      </c>
      <c r="AA709" s="4">
        <f>=ROUNDDOWN(15.7272727272727,0)</f>
      </c>
      <c r="AB709" s="5">
        <v>11</v>
      </c>
      <c r="AC709" s="2" t="s">
        <v>907</v>
      </c>
      <c r="AD709" s="4">
        <v>30</v>
      </c>
      <c r="AE709" s="4">
        <v>200</v>
      </c>
      <c r="AF709" s="6">
        <v>65</v>
      </c>
      <c r="AG709" s="6">
        <v>73</v>
      </c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/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/>
      <c r="BJ709" s="4">
        <v>10</v>
      </c>
      <c r="BK709" s="8">
        <v>530.02</v>
      </c>
      <c r="BL709" s="2" t="s">
        <v>330</v>
      </c>
      <c r="BM709" s="7"/>
      <c r="BN709" s="7"/>
      <c r="BO709" s="4"/>
      <c r="BP709" s="8"/>
      <c r="BQ709" s="4"/>
      <c r="BR709" s="8"/>
      <c r="BS709" s="7"/>
      <c r="BT709" s="7"/>
      <c r="BU709" s="2" t="s">
        <v>109</v>
      </c>
      <c r="BV709" s="2" t="s">
        <v>97</v>
      </c>
      <c r="BW709" s="2" t="s">
        <v>137</v>
      </c>
      <c r="BX709" s="2" t="s">
        <v>118</v>
      </c>
      <c r="BY709" s="2" t="s">
        <v>112</v>
      </c>
      <c r="BZ709" s="2" t="s">
        <v>100</v>
      </c>
    </row>
    <row r="710">
      <c r="A710" s="2" t="s">
        <v>2653</v>
      </c>
      <c r="B710" s="2" t="s">
        <v>87</v>
      </c>
      <c r="C710" s="2" t="s">
        <v>88</v>
      </c>
      <c r="D710" s="2" t="s">
        <v>2230</v>
      </c>
      <c r="E710" s="2" t="s">
        <v>2393</v>
      </c>
      <c r="F710" s="2" t="s">
        <v>2647</v>
      </c>
      <c r="G710" s="2" t="s">
        <v>2648</v>
      </c>
      <c r="H710" s="2" t="s">
        <v>2649</v>
      </c>
      <c r="I710" s="2" t="s">
        <v>2650</v>
      </c>
      <c r="J710" s="2" t="s">
        <v>795</v>
      </c>
      <c r="K710" s="2" t="s">
        <v>1659</v>
      </c>
      <c r="L710" s="3">
        <v>59.99</v>
      </c>
      <c r="M710" s="3">
        <v>62.99</v>
      </c>
      <c r="N710" s="3">
        <v>119.99</v>
      </c>
      <c r="O710" s="2" t="s">
        <v>97</v>
      </c>
      <c r="P710" s="2" t="s">
        <v>98</v>
      </c>
      <c r="Q710" s="2" t="s">
        <v>99</v>
      </c>
      <c r="R710" s="2" t="s">
        <v>100</v>
      </c>
      <c r="S710" s="2" t="s">
        <v>2651</v>
      </c>
      <c r="T710" s="2" t="s">
        <v>100</v>
      </c>
      <c r="U710" s="2" t="s">
        <v>676</v>
      </c>
      <c r="V710" s="2" t="s">
        <v>1641</v>
      </c>
      <c r="W710" s="2" t="s">
        <v>1064</v>
      </c>
      <c r="X710" s="2" t="s">
        <v>1642</v>
      </c>
      <c r="Y710" s="2" t="s">
        <v>131</v>
      </c>
      <c r="Z710" s="4">
        <v>230</v>
      </c>
      <c r="AA710" s="4">
        <f>=ROUNDDOWN(15.3333333333333,0)</f>
      </c>
      <c r="AB710" s="5">
        <v>15</v>
      </c>
      <c r="AC710" s="2" t="s">
        <v>907</v>
      </c>
      <c r="AD710" s="4">
        <v>30</v>
      </c>
      <c r="AE710" s="4">
        <v>270</v>
      </c>
      <c r="AF710" s="6">
        <v>65</v>
      </c>
      <c r="AG710" s="6">
        <v>73</v>
      </c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/>
      <c r="BJ710" s="4">
        <v>6</v>
      </c>
      <c r="BK710" s="8">
        <v>374.14</v>
      </c>
      <c r="BL710" s="2" t="s">
        <v>2654</v>
      </c>
      <c r="BM710" s="7"/>
      <c r="BN710" s="7"/>
      <c r="BO710" s="4"/>
      <c r="BP710" s="8"/>
      <c r="BQ710" s="4"/>
      <c r="BR710" s="8"/>
      <c r="BS710" s="7"/>
      <c r="BT710" s="7"/>
      <c r="BU710" s="2" t="s">
        <v>109</v>
      </c>
      <c r="BV710" s="2" t="s">
        <v>97</v>
      </c>
      <c r="BW710" s="2" t="s">
        <v>137</v>
      </c>
      <c r="BX710" s="2" t="s">
        <v>118</v>
      </c>
      <c r="BY710" s="2" t="s">
        <v>112</v>
      </c>
      <c r="BZ710" s="2" t="s">
        <v>100</v>
      </c>
    </row>
    <row r="711">
      <c r="A711" s="2" t="s">
        <v>2655</v>
      </c>
      <c r="B711" s="2" t="s">
        <v>87</v>
      </c>
      <c r="C711" s="2" t="s">
        <v>88</v>
      </c>
      <c r="D711" s="2" t="s">
        <v>2230</v>
      </c>
      <c r="E711" s="2" t="s">
        <v>2656</v>
      </c>
      <c r="F711" s="2" t="s">
        <v>2657</v>
      </c>
      <c r="G711" s="2" t="s">
        <v>2658</v>
      </c>
      <c r="H711" s="2" t="s">
        <v>2659</v>
      </c>
      <c r="I711" s="2" t="s">
        <v>2660</v>
      </c>
      <c r="J711" s="2" t="s">
        <v>785</v>
      </c>
      <c r="K711" s="2" t="s">
        <v>2257</v>
      </c>
      <c r="L711" s="3">
        <v>42.3</v>
      </c>
      <c r="M711" s="3">
        <v>44.41</v>
      </c>
      <c r="N711" s="3">
        <v>89.99</v>
      </c>
      <c r="O711" s="2" t="s">
        <v>97</v>
      </c>
      <c r="P711" s="2" t="s">
        <v>383</v>
      </c>
      <c r="Q711" s="2" t="s">
        <v>99</v>
      </c>
      <c r="R711" s="2" t="s">
        <v>100</v>
      </c>
      <c r="S711" s="2" t="s">
        <v>2661</v>
      </c>
      <c r="T711" s="2" t="s">
        <v>100</v>
      </c>
      <c r="U711" s="2" t="s">
        <v>1508</v>
      </c>
      <c r="V711" s="2" t="s">
        <v>645</v>
      </c>
      <c r="W711" s="2" t="s">
        <v>345</v>
      </c>
      <c r="X711" s="2" t="s">
        <v>1302</v>
      </c>
      <c r="Y711" s="2" t="s">
        <v>131</v>
      </c>
      <c r="Z711" s="4">
        <v>1444</v>
      </c>
      <c r="AA711" s="4">
        <f>=ROUNDDOWN(21.8787878787879,0)</f>
      </c>
      <c r="AB711" s="5">
        <v>66</v>
      </c>
      <c r="AC711" s="2" t="s">
        <v>1352</v>
      </c>
      <c r="AD711" s="4">
        <v>110</v>
      </c>
      <c r="AE711" s="4">
        <v>580</v>
      </c>
      <c r="AF711" s="6">
        <v>64</v>
      </c>
      <c r="AG711" s="6">
        <v>47</v>
      </c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>
        <v>1</v>
      </c>
      <c r="AQ711" s="8">
        <v>38.88</v>
      </c>
      <c r="AR711" s="4"/>
      <c r="AS711" s="8"/>
      <c r="AT711" s="7"/>
      <c r="AU711" s="7"/>
      <c r="AV711" s="4">
        <v>3</v>
      </c>
      <c r="AW711" s="8">
        <v>129.36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0.3006</v>
      </c>
      <c r="BC711" s="4">
        <v>7</v>
      </c>
      <c r="BD711" s="8">
        <v>306.56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>
        <v>0.422</v>
      </c>
      <c r="BJ711" s="4">
        <v>35</v>
      </c>
      <c r="BK711" s="8">
        <v>1496.58</v>
      </c>
      <c r="BL711" s="2" t="s">
        <v>2662</v>
      </c>
      <c r="BM711" s="7">
        <v>0.0286</v>
      </c>
      <c r="BN711" s="7">
        <v>0.026</v>
      </c>
      <c r="BO711" s="4">
        <v>1</v>
      </c>
      <c r="BP711" s="8">
        <v>38.88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122</v>
      </c>
      <c r="BX711" s="2" t="s">
        <v>1126</v>
      </c>
      <c r="BY711" s="2" t="s">
        <v>112</v>
      </c>
      <c r="BZ711" s="2" t="s">
        <v>100</v>
      </c>
    </row>
    <row r="712">
      <c r="A712" s="2" t="s">
        <v>2663</v>
      </c>
      <c r="B712" s="2" t="s">
        <v>87</v>
      </c>
      <c r="C712" s="2" t="s">
        <v>88</v>
      </c>
      <c r="D712" s="2" t="s">
        <v>2230</v>
      </c>
      <c r="E712" s="2" t="s">
        <v>2656</v>
      </c>
      <c r="F712" s="2" t="s">
        <v>2657</v>
      </c>
      <c r="G712" s="2" t="s">
        <v>2658</v>
      </c>
      <c r="H712" s="2" t="s">
        <v>2659</v>
      </c>
      <c r="I712" s="2" t="s">
        <v>2660</v>
      </c>
      <c r="J712" s="2" t="s">
        <v>795</v>
      </c>
      <c r="K712" s="2" t="s">
        <v>2257</v>
      </c>
      <c r="L712" s="3">
        <v>47</v>
      </c>
      <c r="M712" s="3">
        <v>49.35</v>
      </c>
      <c r="N712" s="3">
        <v>99.99</v>
      </c>
      <c r="O712" s="2" t="s">
        <v>97</v>
      </c>
      <c r="P712" s="2" t="s">
        <v>383</v>
      </c>
      <c r="Q712" s="2" t="s">
        <v>99</v>
      </c>
      <c r="R712" s="2" t="s">
        <v>100</v>
      </c>
      <c r="S712" s="2" t="s">
        <v>2661</v>
      </c>
      <c r="T712" s="2" t="s">
        <v>100</v>
      </c>
      <c r="U712" s="2" t="s">
        <v>1508</v>
      </c>
      <c r="V712" s="2" t="s">
        <v>645</v>
      </c>
      <c r="W712" s="2" t="s">
        <v>345</v>
      </c>
      <c r="X712" s="2" t="s">
        <v>1302</v>
      </c>
      <c r="Y712" s="2" t="s">
        <v>131</v>
      </c>
      <c r="Z712" s="4">
        <v>1467</v>
      </c>
      <c r="AA712" s="4">
        <f>=ROUNDDOWN(21.5735294117647,0)</f>
      </c>
      <c r="AB712" s="5">
        <v>68</v>
      </c>
      <c r="AC712" s="2" t="s">
        <v>1352</v>
      </c>
      <c r="AD712" s="4">
        <v>120</v>
      </c>
      <c r="AE712" s="4">
        <v>600</v>
      </c>
      <c r="AF712" s="6">
        <v>64</v>
      </c>
      <c r="AG712" s="6">
        <v>47</v>
      </c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2</v>
      </c>
      <c r="AQ712" s="8">
        <v>90.48</v>
      </c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0.6994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33</v>
      </c>
      <c r="BK712" s="8">
        <v>1592.83</v>
      </c>
      <c r="BL712" s="2" t="s">
        <v>2664</v>
      </c>
      <c r="BM712" s="7">
        <v>0.0606</v>
      </c>
      <c r="BN712" s="7">
        <v>0.0568</v>
      </c>
      <c r="BO712" s="4">
        <v>2</v>
      </c>
      <c r="BP712" s="8">
        <v>90.48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122</v>
      </c>
      <c r="BX712" s="2" t="s">
        <v>544</v>
      </c>
      <c r="BY712" s="2" t="s">
        <v>112</v>
      </c>
      <c r="BZ712" s="2" t="s">
        <v>100</v>
      </c>
    </row>
    <row r="713">
      <c r="A713" s="2" t="s">
        <v>2665</v>
      </c>
      <c r="B713" s="2" t="s">
        <v>87</v>
      </c>
      <c r="C713" s="2" t="s">
        <v>88</v>
      </c>
      <c r="D713" s="2" t="s">
        <v>2230</v>
      </c>
      <c r="E713" s="2" t="s">
        <v>2656</v>
      </c>
      <c r="F713" s="2" t="s">
        <v>2657</v>
      </c>
      <c r="G713" s="2" t="s">
        <v>2658</v>
      </c>
      <c r="H713" s="2" t="s">
        <v>2659</v>
      </c>
      <c r="I713" s="2" t="s">
        <v>2660</v>
      </c>
      <c r="J713" s="2" t="s">
        <v>785</v>
      </c>
      <c r="K713" s="2" t="s">
        <v>213</v>
      </c>
      <c r="L713" s="3">
        <v>42.3</v>
      </c>
      <c r="M713" s="3">
        <v>44.41</v>
      </c>
      <c r="N713" s="3">
        <v>89.99</v>
      </c>
      <c r="O713" s="2" t="s">
        <v>97</v>
      </c>
      <c r="P713" s="2" t="s">
        <v>242</v>
      </c>
      <c r="Q713" s="2" t="s">
        <v>99</v>
      </c>
      <c r="R713" s="2" t="s">
        <v>100</v>
      </c>
      <c r="S713" s="2" t="s">
        <v>2666</v>
      </c>
      <c r="T713" s="2" t="s">
        <v>100</v>
      </c>
      <c r="U713" s="2" t="s">
        <v>1508</v>
      </c>
      <c r="V713" s="2" t="s">
        <v>645</v>
      </c>
      <c r="W713" s="2" t="s">
        <v>345</v>
      </c>
      <c r="X713" s="2" t="s">
        <v>1302</v>
      </c>
      <c r="Y713" s="2" t="s">
        <v>131</v>
      </c>
      <c r="Z713" s="4">
        <v>1399</v>
      </c>
      <c r="AA713" s="4">
        <f>=ROUNDDOWN(15.3736263736264,0)</f>
      </c>
      <c r="AB713" s="5">
        <v>91</v>
      </c>
      <c r="AC713" s="2" t="s">
        <v>165</v>
      </c>
      <c r="AD713" s="4">
        <v>100</v>
      </c>
      <c r="AE713" s="4">
        <v>1530</v>
      </c>
      <c r="AF713" s="6">
        <v>64</v>
      </c>
      <c r="AG713" s="6">
        <v>47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/>
      <c r="AQ713" s="8"/>
      <c r="AR713" s="4"/>
      <c r="AS713" s="8"/>
      <c r="AT713" s="7"/>
      <c r="AU713" s="7"/>
      <c r="AV713" s="4">
        <v>2</v>
      </c>
      <c r="AW713" s="8">
        <v>90.48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/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>
        <v>0.2951</v>
      </c>
      <c r="BJ713" s="4">
        <v>93</v>
      </c>
      <c r="BK713" s="8">
        <v>3849.91</v>
      </c>
      <c r="BL713" s="2" t="s">
        <v>2667</v>
      </c>
      <c r="BM713" s="7"/>
      <c r="BN713" s="7"/>
      <c r="BO713" s="4"/>
      <c r="BP713" s="8"/>
      <c r="BQ713" s="4"/>
      <c r="BR713" s="8"/>
      <c r="BS713" s="7"/>
      <c r="BT713" s="7"/>
      <c r="BU713" s="2" t="s">
        <v>109</v>
      </c>
      <c r="BV713" s="2" t="s">
        <v>97</v>
      </c>
      <c r="BW713" s="2" t="s">
        <v>2668</v>
      </c>
      <c r="BX713" s="2" t="s">
        <v>222</v>
      </c>
      <c r="BY713" s="2" t="s">
        <v>112</v>
      </c>
      <c r="BZ713" s="2" t="s">
        <v>100</v>
      </c>
    </row>
    <row r="714">
      <c r="A714" s="2" t="s">
        <v>2669</v>
      </c>
      <c r="B714" s="2" t="s">
        <v>87</v>
      </c>
      <c r="C714" s="2" t="s">
        <v>88</v>
      </c>
      <c r="D714" s="2" t="s">
        <v>2230</v>
      </c>
      <c r="E714" s="2" t="s">
        <v>2656</v>
      </c>
      <c r="F714" s="2" t="s">
        <v>2657</v>
      </c>
      <c r="G714" s="2" t="s">
        <v>2658</v>
      </c>
      <c r="H714" s="2" t="s">
        <v>2659</v>
      </c>
      <c r="I714" s="2" t="s">
        <v>2660</v>
      </c>
      <c r="J714" s="2" t="s">
        <v>795</v>
      </c>
      <c r="K714" s="2" t="s">
        <v>213</v>
      </c>
      <c r="L714" s="3">
        <v>47</v>
      </c>
      <c r="M714" s="3">
        <v>49.35</v>
      </c>
      <c r="N714" s="3">
        <v>99.99</v>
      </c>
      <c r="O714" s="2" t="s">
        <v>97</v>
      </c>
      <c r="P714" s="2" t="s">
        <v>242</v>
      </c>
      <c r="Q714" s="2" t="s">
        <v>99</v>
      </c>
      <c r="R714" s="2" t="s">
        <v>100</v>
      </c>
      <c r="S714" s="2" t="s">
        <v>2666</v>
      </c>
      <c r="T714" s="2" t="s">
        <v>100</v>
      </c>
      <c r="U714" s="2" t="s">
        <v>1508</v>
      </c>
      <c r="V714" s="2" t="s">
        <v>645</v>
      </c>
      <c r="W714" s="2" t="s">
        <v>345</v>
      </c>
      <c r="X714" s="2" t="s">
        <v>1302</v>
      </c>
      <c r="Y714" s="2" t="s">
        <v>131</v>
      </c>
      <c r="Z714" s="4">
        <v>776</v>
      </c>
      <c r="AA714" s="4">
        <f>=ROUNDDOWN(7.83838383838384,0)</f>
      </c>
      <c r="AB714" s="5">
        <v>99</v>
      </c>
      <c r="AC714" s="2" t="s">
        <v>132</v>
      </c>
      <c r="AD714" s="4">
        <v>100</v>
      </c>
      <c r="AE714" s="4">
        <v>2230</v>
      </c>
      <c r="AF714" s="6">
        <v>64</v>
      </c>
      <c r="AG714" s="6">
        <v>47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>
        <v>2</v>
      </c>
      <c r="AQ714" s="8">
        <v>90.48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1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66</v>
      </c>
      <c r="BK714" s="8">
        <v>3124.98</v>
      </c>
      <c r="BL714" s="2" t="s">
        <v>2670</v>
      </c>
      <c r="BM714" s="7">
        <v>0.0303</v>
      </c>
      <c r="BN714" s="7">
        <v>0.029</v>
      </c>
      <c r="BO714" s="4">
        <v>2</v>
      </c>
      <c r="BP714" s="8">
        <v>90.48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122</v>
      </c>
      <c r="BX714" s="2" t="s">
        <v>249</v>
      </c>
      <c r="BY714" s="2" t="s">
        <v>112</v>
      </c>
      <c r="BZ714" s="2" t="s">
        <v>100</v>
      </c>
    </row>
    <row r="715">
      <c r="A715" s="2" t="s">
        <v>2671</v>
      </c>
      <c r="B715" s="2" t="s">
        <v>87</v>
      </c>
      <c r="C715" s="2" t="s">
        <v>88</v>
      </c>
      <c r="D715" s="2" t="s">
        <v>2230</v>
      </c>
      <c r="E715" s="2" t="s">
        <v>2656</v>
      </c>
      <c r="F715" s="2" t="s">
        <v>2657</v>
      </c>
      <c r="G715" s="2" t="s">
        <v>2658</v>
      </c>
      <c r="H715" s="2" t="s">
        <v>2659</v>
      </c>
      <c r="I715" s="2" t="s">
        <v>2660</v>
      </c>
      <c r="J715" s="2" t="s">
        <v>785</v>
      </c>
      <c r="K715" s="2" t="s">
        <v>253</v>
      </c>
      <c r="L715" s="3">
        <v>42.3</v>
      </c>
      <c r="M715" s="3">
        <v>44.41</v>
      </c>
      <c r="N715" s="3">
        <v>89.99</v>
      </c>
      <c r="O715" s="2" t="s">
        <v>97</v>
      </c>
      <c r="P715" s="2" t="s">
        <v>98</v>
      </c>
      <c r="Q715" s="2" t="s">
        <v>99</v>
      </c>
      <c r="R715" s="2" t="s">
        <v>100</v>
      </c>
      <c r="S715" s="2" t="s">
        <v>2672</v>
      </c>
      <c r="T715" s="2" t="s">
        <v>787</v>
      </c>
      <c r="U715" s="2" t="s">
        <v>1508</v>
      </c>
      <c r="V715" s="2" t="s">
        <v>645</v>
      </c>
      <c r="W715" s="2" t="s">
        <v>345</v>
      </c>
      <c r="X715" s="2" t="s">
        <v>2022</v>
      </c>
      <c r="Y715" s="2" t="s">
        <v>1558</v>
      </c>
      <c r="Z715" s="4">
        <v>917</v>
      </c>
      <c r="AA715" s="4">
        <f>=ROUNDDOWN(22.3658536585366,0)</f>
      </c>
      <c r="AB715" s="5">
        <v>41</v>
      </c>
      <c r="AC715" s="2" t="s">
        <v>1372</v>
      </c>
      <c r="AD715" s="4">
        <v>150</v>
      </c>
      <c r="AE715" s="4">
        <v>350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>
        <v>1</v>
      </c>
      <c r="AQ715" s="8">
        <v>46.64</v>
      </c>
      <c r="AR715" s="4"/>
      <c r="AS715" s="8"/>
      <c r="AT715" s="7"/>
      <c r="AU715" s="7"/>
      <c r="AV715" s="4">
        <v>1</v>
      </c>
      <c r="AW715" s="8">
        <v>46.64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1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>
        <v>0.1521</v>
      </c>
      <c r="BJ715" s="4">
        <v>43</v>
      </c>
      <c r="BK715" s="8">
        <v>1936.31</v>
      </c>
      <c r="BL715" s="2" t="s">
        <v>2673</v>
      </c>
      <c r="BM715" s="7">
        <v>0.0233</v>
      </c>
      <c r="BN715" s="7">
        <v>0.0241</v>
      </c>
      <c r="BO715" s="4">
        <v>1</v>
      </c>
      <c r="BP715" s="8">
        <v>46.64</v>
      </c>
      <c r="BQ715" s="4"/>
      <c r="BR715" s="8"/>
      <c r="BS715" s="7"/>
      <c r="BT715" s="7"/>
      <c r="BU715" s="2" t="s">
        <v>109</v>
      </c>
      <c r="BV715" s="2" t="s">
        <v>97</v>
      </c>
      <c r="BW715" s="2" t="s">
        <v>1518</v>
      </c>
      <c r="BX715" s="2" t="s">
        <v>2674</v>
      </c>
      <c r="BY715" s="2" t="s">
        <v>112</v>
      </c>
      <c r="BZ715" s="2" t="s">
        <v>100</v>
      </c>
    </row>
    <row r="716">
      <c r="A716" s="2" t="s">
        <v>2675</v>
      </c>
      <c r="B716" s="2" t="s">
        <v>87</v>
      </c>
      <c r="C716" s="2" t="s">
        <v>88</v>
      </c>
      <c r="D716" s="2" t="s">
        <v>2230</v>
      </c>
      <c r="E716" s="2" t="s">
        <v>2656</v>
      </c>
      <c r="F716" s="2" t="s">
        <v>2657</v>
      </c>
      <c r="G716" s="2" t="s">
        <v>2658</v>
      </c>
      <c r="H716" s="2" t="s">
        <v>2659</v>
      </c>
      <c r="I716" s="2" t="s">
        <v>2660</v>
      </c>
      <c r="J716" s="2" t="s">
        <v>795</v>
      </c>
      <c r="K716" s="2" t="s">
        <v>253</v>
      </c>
      <c r="L716" s="3">
        <v>47</v>
      </c>
      <c r="M716" s="3">
        <v>49.35</v>
      </c>
      <c r="N716" s="3">
        <v>99.99</v>
      </c>
      <c r="O716" s="2" t="s">
        <v>97</v>
      </c>
      <c r="P716" s="2" t="s">
        <v>98</v>
      </c>
      <c r="Q716" s="2" t="s">
        <v>99</v>
      </c>
      <c r="R716" s="2" t="s">
        <v>100</v>
      </c>
      <c r="S716" s="2" t="s">
        <v>2672</v>
      </c>
      <c r="T716" s="2" t="s">
        <v>787</v>
      </c>
      <c r="U716" s="2" t="s">
        <v>1508</v>
      </c>
      <c r="V716" s="2" t="s">
        <v>645</v>
      </c>
      <c r="W716" s="2" t="s">
        <v>345</v>
      </c>
      <c r="X716" s="2" t="s">
        <v>2022</v>
      </c>
      <c r="Y716" s="2" t="s">
        <v>1558</v>
      </c>
      <c r="Z716" s="4">
        <v>758</v>
      </c>
      <c r="AA716" s="4">
        <f>=ROUNDDOWN(19.4358974358974,0)</f>
      </c>
      <c r="AB716" s="5">
        <v>39</v>
      </c>
      <c r="AC716" s="2" t="s">
        <v>1372</v>
      </c>
      <c r="AD716" s="4">
        <v>150</v>
      </c>
      <c r="AE716" s="4">
        <v>800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34</v>
      </c>
      <c r="BK716" s="8">
        <v>1637.88</v>
      </c>
      <c r="BL716" s="2" t="s">
        <v>2676</v>
      </c>
      <c r="BM716" s="7"/>
      <c r="BN716" s="7"/>
      <c r="BO716" s="4"/>
      <c r="BP716" s="8"/>
      <c r="BQ716" s="4"/>
      <c r="BR716" s="8"/>
      <c r="BS716" s="7"/>
      <c r="BT716" s="7"/>
      <c r="BU716" s="2" t="s">
        <v>109</v>
      </c>
      <c r="BV716" s="2" t="s">
        <v>97</v>
      </c>
      <c r="BW716" s="2" t="s">
        <v>1518</v>
      </c>
      <c r="BX716" s="2" t="s">
        <v>1191</v>
      </c>
      <c r="BY716" s="2" t="s">
        <v>112</v>
      </c>
      <c r="BZ716" s="2" t="s">
        <v>100</v>
      </c>
    </row>
    <row r="717">
      <c r="A717" s="2" t="s">
        <v>2677</v>
      </c>
      <c r="B717" s="2" t="s">
        <v>87</v>
      </c>
      <c r="C717" s="2" t="s">
        <v>88</v>
      </c>
      <c r="D717" s="2" t="s">
        <v>2230</v>
      </c>
      <c r="E717" s="2" t="s">
        <v>2656</v>
      </c>
      <c r="F717" s="2" t="s">
        <v>2657</v>
      </c>
      <c r="G717" s="2" t="s">
        <v>2658</v>
      </c>
      <c r="H717" s="2" t="s">
        <v>2659</v>
      </c>
      <c r="I717" s="2" t="s">
        <v>2660</v>
      </c>
      <c r="J717" s="2" t="s">
        <v>785</v>
      </c>
      <c r="K717" s="2" t="s">
        <v>96</v>
      </c>
      <c r="L717" s="3">
        <v>42.3</v>
      </c>
      <c r="M717" s="3">
        <v>44.41</v>
      </c>
      <c r="N717" s="3">
        <v>89.99</v>
      </c>
      <c r="O717" s="2" t="s">
        <v>97</v>
      </c>
      <c r="P717" s="2" t="s">
        <v>242</v>
      </c>
      <c r="Q717" s="2" t="s">
        <v>99</v>
      </c>
      <c r="R717" s="2" t="s">
        <v>100</v>
      </c>
      <c r="S717" s="2" t="s">
        <v>2678</v>
      </c>
      <c r="T717" s="2" t="s">
        <v>100</v>
      </c>
      <c r="U717" s="2" t="s">
        <v>1508</v>
      </c>
      <c r="V717" s="2" t="s">
        <v>645</v>
      </c>
      <c r="W717" s="2" t="s">
        <v>345</v>
      </c>
      <c r="X717" s="2" t="s">
        <v>346</v>
      </c>
      <c r="Y717" s="2" t="s">
        <v>928</v>
      </c>
      <c r="Z717" s="4">
        <v>255</v>
      </c>
      <c r="AA717" s="4">
        <f>=ROUNDDOWN(4.39655172413793,0)</f>
      </c>
      <c r="AB717" s="5">
        <v>58</v>
      </c>
      <c r="AC717" s="2" t="s">
        <v>680</v>
      </c>
      <c r="AD717" s="4">
        <v>310</v>
      </c>
      <c r="AE717" s="4">
        <v>1490</v>
      </c>
      <c r="AF717" s="6">
        <v>64</v>
      </c>
      <c r="AG717" s="6">
        <v>47</v>
      </c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>
        <v>1</v>
      </c>
      <c r="AQ717" s="8">
        <v>40.08</v>
      </c>
      <c r="AR717" s="4"/>
      <c r="AS717" s="8"/>
      <c r="AT717" s="7"/>
      <c r="AU717" s="7"/>
      <c r="AV717" s="4">
        <v>1</v>
      </c>
      <c r="AW717" s="8">
        <v>40.08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1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>
        <v>0.1307</v>
      </c>
      <c r="BJ717" s="4">
        <v>43</v>
      </c>
      <c r="BK717" s="8">
        <v>1764.78</v>
      </c>
      <c r="BL717" s="2" t="s">
        <v>2679</v>
      </c>
      <c r="BM717" s="7">
        <v>0.0233</v>
      </c>
      <c r="BN717" s="7">
        <v>0.0227</v>
      </c>
      <c r="BO717" s="4">
        <v>1</v>
      </c>
      <c r="BP717" s="8">
        <v>40.08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326</v>
      </c>
      <c r="BX717" s="2" t="s">
        <v>2680</v>
      </c>
      <c r="BY717" s="2" t="s">
        <v>112</v>
      </c>
      <c r="BZ717" s="2" t="s">
        <v>100</v>
      </c>
    </row>
    <row r="718">
      <c r="A718" s="2" t="s">
        <v>2681</v>
      </c>
      <c r="B718" s="2" t="s">
        <v>87</v>
      </c>
      <c r="C718" s="2" t="s">
        <v>88</v>
      </c>
      <c r="D718" s="2" t="s">
        <v>2230</v>
      </c>
      <c r="E718" s="2" t="s">
        <v>2656</v>
      </c>
      <c r="F718" s="2" t="s">
        <v>2657</v>
      </c>
      <c r="G718" s="2" t="s">
        <v>2658</v>
      </c>
      <c r="H718" s="2" t="s">
        <v>2659</v>
      </c>
      <c r="I718" s="2" t="s">
        <v>2660</v>
      </c>
      <c r="J718" s="2" t="s">
        <v>795</v>
      </c>
      <c r="K718" s="2" t="s">
        <v>96</v>
      </c>
      <c r="L718" s="3">
        <v>47</v>
      </c>
      <c r="M718" s="3">
        <v>49.35</v>
      </c>
      <c r="N718" s="3">
        <v>99.99</v>
      </c>
      <c r="O718" s="2" t="s">
        <v>97</v>
      </c>
      <c r="P718" s="2" t="s">
        <v>242</v>
      </c>
      <c r="Q718" s="2" t="s">
        <v>99</v>
      </c>
      <c r="R718" s="2" t="s">
        <v>100</v>
      </c>
      <c r="S718" s="2" t="s">
        <v>2678</v>
      </c>
      <c r="T718" s="2" t="s">
        <v>100</v>
      </c>
      <c r="U718" s="2" t="s">
        <v>1508</v>
      </c>
      <c r="V718" s="2" t="s">
        <v>645</v>
      </c>
      <c r="W718" s="2" t="s">
        <v>345</v>
      </c>
      <c r="X718" s="2" t="s">
        <v>346</v>
      </c>
      <c r="Y718" s="2" t="s">
        <v>928</v>
      </c>
      <c r="Z718" s="4">
        <v>327</v>
      </c>
      <c r="AA718" s="4">
        <f>=ROUNDDOWN(9.08333333333333,0)</f>
      </c>
      <c r="AB718" s="5">
        <v>36</v>
      </c>
      <c r="AC718" s="2" t="s">
        <v>680</v>
      </c>
      <c r="AD718" s="4">
        <v>160</v>
      </c>
      <c r="AE718" s="4">
        <v>770</v>
      </c>
      <c r="AF718" s="6">
        <v>64</v>
      </c>
      <c r="AG718" s="6">
        <v>47</v>
      </c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/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25</v>
      </c>
      <c r="BK718" s="8">
        <v>1186.77</v>
      </c>
      <c r="BL718" s="2" t="s">
        <v>2682</v>
      </c>
      <c r="BM718" s="7"/>
      <c r="BN718" s="7"/>
      <c r="BO718" s="4"/>
      <c r="BP718" s="8"/>
      <c r="BQ718" s="4"/>
      <c r="BR718" s="8"/>
      <c r="BS718" s="7"/>
      <c r="BT718" s="7"/>
      <c r="BU718" s="2" t="s">
        <v>109</v>
      </c>
      <c r="BV718" s="2" t="s">
        <v>97</v>
      </c>
      <c r="BW718" s="2" t="s">
        <v>326</v>
      </c>
      <c r="BX718" s="2" t="s">
        <v>2683</v>
      </c>
      <c r="BY718" s="2" t="s">
        <v>112</v>
      </c>
      <c r="BZ718" s="2" t="s">
        <v>100</v>
      </c>
    </row>
    <row r="719">
      <c r="A719" s="2" t="s">
        <v>2684</v>
      </c>
      <c r="B719" s="2" t="s">
        <v>87</v>
      </c>
      <c r="C719" s="2" t="s">
        <v>88</v>
      </c>
      <c r="D719" s="2" t="s">
        <v>2230</v>
      </c>
      <c r="E719" s="2" t="s">
        <v>2656</v>
      </c>
      <c r="F719" s="2" t="s">
        <v>2657</v>
      </c>
      <c r="G719" s="2" t="s">
        <v>2658</v>
      </c>
      <c r="H719" s="2" t="s">
        <v>2659</v>
      </c>
      <c r="I719" s="2" t="s">
        <v>2660</v>
      </c>
      <c r="J719" s="2" t="s">
        <v>785</v>
      </c>
      <c r="K719" s="2" t="s">
        <v>1746</v>
      </c>
      <c r="L719" s="3">
        <v>42.3</v>
      </c>
      <c r="M719" s="3">
        <v>44.42</v>
      </c>
      <c r="N719" s="3">
        <v>89.99</v>
      </c>
      <c r="O719" s="2" t="s">
        <v>97</v>
      </c>
      <c r="P719" s="2" t="s">
        <v>1335</v>
      </c>
      <c r="Q719" s="2" t="s">
        <v>99</v>
      </c>
      <c r="R719" s="2" t="s">
        <v>100</v>
      </c>
      <c r="S719" s="2" t="s">
        <v>2685</v>
      </c>
      <c r="T719" s="2" t="s">
        <v>787</v>
      </c>
      <c r="U719" s="2" t="s">
        <v>1508</v>
      </c>
      <c r="V719" s="2" t="s">
        <v>645</v>
      </c>
      <c r="W719" s="2" t="s">
        <v>345</v>
      </c>
      <c r="X719" s="2" t="s">
        <v>2022</v>
      </c>
      <c r="Y719" s="2" t="s">
        <v>100</v>
      </c>
      <c r="Z719" s="4"/>
      <c r="AA719" s="4">
        <f>=ROUNDDOWN({0},0)</f>
      </c>
      <c r="AB719" s="5"/>
      <c r="AC719" s="2" t="s">
        <v>194</v>
      </c>
      <c r="AD719" s="4">
        <v>450</v>
      </c>
      <c r="AE719" s="4">
        <v>900</v>
      </c>
      <c r="AF719" s="6">
        <v>65</v>
      </c>
      <c r="AG719" s="6"/>
      <c r="AH719" s="7">
        <v>0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/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/>
      <c r="BK719" s="8"/>
      <c r="BL719" s="2" t="s">
        <v>100</v>
      </c>
      <c r="BM719" s="7"/>
      <c r="BN719" s="7"/>
      <c r="BO719" s="4"/>
      <c r="BP719" s="8"/>
      <c r="BQ719" s="4"/>
      <c r="BR719" s="8"/>
      <c r="BS719" s="7"/>
      <c r="BT719" s="7"/>
      <c r="BU719" s="2" t="s">
        <v>1338</v>
      </c>
      <c r="BV719" s="2" t="s">
        <v>97</v>
      </c>
      <c r="BW719" s="2" t="s">
        <v>100</v>
      </c>
      <c r="BX719" s="2" t="s">
        <v>100</v>
      </c>
      <c r="BY719" s="2" t="s">
        <v>112</v>
      </c>
      <c r="BZ719" s="2" t="s">
        <v>100</v>
      </c>
    </row>
    <row r="720">
      <c r="A720" s="2" t="s">
        <v>2686</v>
      </c>
      <c r="B720" s="2" t="s">
        <v>87</v>
      </c>
      <c r="C720" s="2" t="s">
        <v>88</v>
      </c>
      <c r="D720" s="2" t="s">
        <v>2230</v>
      </c>
      <c r="E720" s="2" t="s">
        <v>2656</v>
      </c>
      <c r="F720" s="2" t="s">
        <v>2657</v>
      </c>
      <c r="G720" s="2" t="s">
        <v>2658</v>
      </c>
      <c r="H720" s="2" t="s">
        <v>2659</v>
      </c>
      <c r="I720" s="2" t="s">
        <v>2660</v>
      </c>
      <c r="J720" s="2" t="s">
        <v>795</v>
      </c>
      <c r="K720" s="2" t="s">
        <v>1746</v>
      </c>
      <c r="L720" s="3">
        <v>47</v>
      </c>
      <c r="M720" s="3">
        <v>49.35</v>
      </c>
      <c r="N720" s="3">
        <v>99.99</v>
      </c>
      <c r="O720" s="2" t="s">
        <v>97</v>
      </c>
      <c r="P720" s="2" t="s">
        <v>1335</v>
      </c>
      <c r="Q720" s="2" t="s">
        <v>99</v>
      </c>
      <c r="R720" s="2" t="s">
        <v>100</v>
      </c>
      <c r="S720" s="2" t="s">
        <v>2685</v>
      </c>
      <c r="T720" s="2" t="s">
        <v>787</v>
      </c>
      <c r="U720" s="2" t="s">
        <v>1508</v>
      </c>
      <c r="V720" s="2" t="s">
        <v>645</v>
      </c>
      <c r="W720" s="2" t="s">
        <v>345</v>
      </c>
      <c r="X720" s="2" t="s">
        <v>2022</v>
      </c>
      <c r="Y720" s="2" t="s">
        <v>100</v>
      </c>
      <c r="Z720" s="4"/>
      <c r="AA720" s="4">
        <f>=ROUNDDOWN({0},0)</f>
      </c>
      <c r="AB720" s="5"/>
      <c r="AC720" s="2" t="s">
        <v>194</v>
      </c>
      <c r="AD720" s="4">
        <v>450</v>
      </c>
      <c r="AE720" s="4">
        <v>900</v>
      </c>
      <c r="AF720" s="6">
        <v>65</v>
      </c>
      <c r="AG720" s="6"/>
      <c r="AH720" s="7">
        <v>0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/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 t="s">
        <v>100</v>
      </c>
      <c r="BJ720" s="4"/>
      <c r="BK720" s="8"/>
      <c r="BL720" s="2" t="s">
        <v>100</v>
      </c>
      <c r="BM720" s="7"/>
      <c r="BN720" s="7"/>
      <c r="BO720" s="4"/>
      <c r="BP720" s="8"/>
      <c r="BQ720" s="4"/>
      <c r="BR720" s="8"/>
      <c r="BS720" s="7"/>
      <c r="BT720" s="7"/>
      <c r="BU720" s="2" t="s">
        <v>1338</v>
      </c>
      <c r="BV720" s="2" t="s">
        <v>97</v>
      </c>
      <c r="BW720" s="2" t="s">
        <v>100</v>
      </c>
      <c r="BX720" s="2" t="s">
        <v>100</v>
      </c>
      <c r="BY720" s="2" t="s">
        <v>112</v>
      </c>
      <c r="BZ720" s="2" t="s">
        <v>100</v>
      </c>
    </row>
    <row r="721">
      <c r="A721" s="2" t="s">
        <v>2687</v>
      </c>
      <c r="B721" s="2" t="s">
        <v>87</v>
      </c>
      <c r="C721" s="2" t="s">
        <v>88</v>
      </c>
      <c r="D721" s="2" t="s">
        <v>2230</v>
      </c>
      <c r="E721" s="2" t="s">
        <v>2656</v>
      </c>
      <c r="F721" s="2" t="s">
        <v>2657</v>
      </c>
      <c r="G721" s="2" t="s">
        <v>2658</v>
      </c>
      <c r="H721" s="2" t="s">
        <v>2659</v>
      </c>
      <c r="I721" s="2" t="s">
        <v>2660</v>
      </c>
      <c r="J721" s="2" t="s">
        <v>785</v>
      </c>
      <c r="K721" s="2" t="s">
        <v>227</v>
      </c>
      <c r="L721" s="3">
        <v>42.3</v>
      </c>
      <c r="M721" s="3">
        <v>44.41</v>
      </c>
      <c r="N721" s="3">
        <v>89.99</v>
      </c>
      <c r="O721" s="2" t="s">
        <v>97</v>
      </c>
      <c r="P721" s="2" t="s">
        <v>242</v>
      </c>
      <c r="Q721" s="2" t="s">
        <v>99</v>
      </c>
      <c r="R721" s="2" t="s">
        <v>100</v>
      </c>
      <c r="S721" s="2" t="s">
        <v>2688</v>
      </c>
      <c r="T721" s="2" t="s">
        <v>100</v>
      </c>
      <c r="U721" s="2" t="s">
        <v>1508</v>
      </c>
      <c r="V721" s="2" t="s">
        <v>645</v>
      </c>
      <c r="W721" s="2" t="s">
        <v>345</v>
      </c>
      <c r="X721" s="2" t="s">
        <v>346</v>
      </c>
      <c r="Y721" s="2" t="s">
        <v>928</v>
      </c>
      <c r="Z721" s="4">
        <v>678</v>
      </c>
      <c r="AA721" s="4">
        <f>=ROUNDDOWN(14.7391304347826,0)</f>
      </c>
      <c r="AB721" s="5">
        <v>46</v>
      </c>
      <c r="AC721" s="2" t="s">
        <v>1678</v>
      </c>
      <c r="AD721" s="4">
        <v>250</v>
      </c>
      <c r="AE721" s="4">
        <v>860</v>
      </c>
      <c r="AF721" s="6">
        <v>64</v>
      </c>
      <c r="AG721" s="6">
        <v>47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32</v>
      </c>
      <c r="BK721" s="8">
        <v>1318.53</v>
      </c>
      <c r="BL721" s="2" t="s">
        <v>685</v>
      </c>
      <c r="BM721" s="7"/>
      <c r="BN721" s="7"/>
      <c r="BO721" s="4"/>
      <c r="BP721" s="8"/>
      <c r="BQ721" s="4"/>
      <c r="BR721" s="8"/>
      <c r="BS721" s="7"/>
      <c r="BT721" s="7"/>
      <c r="BU721" s="2" t="s">
        <v>109</v>
      </c>
      <c r="BV721" s="2" t="s">
        <v>97</v>
      </c>
      <c r="BW721" s="2" t="s">
        <v>326</v>
      </c>
      <c r="BX721" s="2" t="s">
        <v>2473</v>
      </c>
      <c r="BY721" s="2" t="s">
        <v>112</v>
      </c>
      <c r="BZ721" s="2" t="s">
        <v>100</v>
      </c>
    </row>
    <row r="722">
      <c r="A722" s="2" t="s">
        <v>2689</v>
      </c>
      <c r="B722" s="2" t="s">
        <v>87</v>
      </c>
      <c r="C722" s="2" t="s">
        <v>88</v>
      </c>
      <c r="D722" s="2" t="s">
        <v>2230</v>
      </c>
      <c r="E722" s="2" t="s">
        <v>2656</v>
      </c>
      <c r="F722" s="2" t="s">
        <v>2657</v>
      </c>
      <c r="G722" s="2" t="s">
        <v>2658</v>
      </c>
      <c r="H722" s="2" t="s">
        <v>2659</v>
      </c>
      <c r="I722" s="2" t="s">
        <v>2660</v>
      </c>
      <c r="J722" s="2" t="s">
        <v>795</v>
      </c>
      <c r="K722" s="2" t="s">
        <v>227</v>
      </c>
      <c r="L722" s="3">
        <v>47</v>
      </c>
      <c r="M722" s="3">
        <v>49.35</v>
      </c>
      <c r="N722" s="3">
        <v>99.99</v>
      </c>
      <c r="O722" s="2" t="s">
        <v>97</v>
      </c>
      <c r="P722" s="2" t="s">
        <v>242</v>
      </c>
      <c r="Q722" s="2" t="s">
        <v>99</v>
      </c>
      <c r="R722" s="2" t="s">
        <v>100</v>
      </c>
      <c r="S722" s="2" t="s">
        <v>2688</v>
      </c>
      <c r="T722" s="2" t="s">
        <v>100</v>
      </c>
      <c r="U722" s="2" t="s">
        <v>1508</v>
      </c>
      <c r="V722" s="2" t="s">
        <v>645</v>
      </c>
      <c r="W722" s="2" t="s">
        <v>345</v>
      </c>
      <c r="X722" s="2" t="s">
        <v>346</v>
      </c>
      <c r="Y722" s="2" t="s">
        <v>928</v>
      </c>
      <c r="Z722" s="4">
        <v>825</v>
      </c>
      <c r="AA722" s="4">
        <f>=ROUNDDOWN(21.1538461538462,0)</f>
      </c>
      <c r="AB722" s="5">
        <v>39</v>
      </c>
      <c r="AC722" s="2" t="s">
        <v>1678</v>
      </c>
      <c r="AD722" s="4">
        <v>120</v>
      </c>
      <c r="AE722" s="4">
        <v>430</v>
      </c>
      <c r="AF722" s="6">
        <v>64</v>
      </c>
      <c r="AG722" s="6">
        <v>47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/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 t="s">
        <v>100</v>
      </c>
      <c r="BJ722" s="4">
        <v>23</v>
      </c>
      <c r="BK722" s="8">
        <v>1081.44</v>
      </c>
      <c r="BL722" s="2" t="s">
        <v>2690</v>
      </c>
      <c r="BM722" s="7"/>
      <c r="BN722" s="7"/>
      <c r="BO722" s="4"/>
      <c r="BP722" s="8"/>
      <c r="BQ722" s="4"/>
      <c r="BR722" s="8"/>
      <c r="BS722" s="7"/>
      <c r="BT722" s="7"/>
      <c r="BU722" s="2" t="s">
        <v>109</v>
      </c>
      <c r="BV722" s="2" t="s">
        <v>97</v>
      </c>
      <c r="BW722" s="2" t="s">
        <v>326</v>
      </c>
      <c r="BX722" s="2" t="s">
        <v>2691</v>
      </c>
      <c r="BY722" s="2" t="s">
        <v>112</v>
      </c>
      <c r="BZ722" s="2" t="s">
        <v>100</v>
      </c>
    </row>
    <row r="723">
      <c r="A723" s="2" t="s">
        <v>2692</v>
      </c>
      <c r="B723" s="2" t="s">
        <v>87</v>
      </c>
      <c r="C723" s="2" t="s">
        <v>88</v>
      </c>
      <c r="D723" s="2" t="s">
        <v>2230</v>
      </c>
      <c r="E723" s="2" t="s">
        <v>2656</v>
      </c>
      <c r="F723" s="2" t="s">
        <v>2232</v>
      </c>
      <c r="G723" s="2" t="s">
        <v>2233</v>
      </c>
      <c r="H723" s="2" t="s">
        <v>2234</v>
      </c>
      <c r="I723" s="2" t="s">
        <v>2693</v>
      </c>
      <c r="J723" s="2" t="s">
        <v>673</v>
      </c>
      <c r="K723" s="2" t="s">
        <v>253</v>
      </c>
      <c r="L723" s="3">
        <v>26.9</v>
      </c>
      <c r="M723" s="3">
        <v>28.24</v>
      </c>
      <c r="N723" s="3">
        <v>54.99</v>
      </c>
      <c r="O723" s="2" t="s">
        <v>97</v>
      </c>
      <c r="P723" s="2" t="s">
        <v>242</v>
      </c>
      <c r="Q723" s="2" t="s">
        <v>99</v>
      </c>
      <c r="R723" s="2" t="s">
        <v>100</v>
      </c>
      <c r="S723" s="2" t="s">
        <v>2694</v>
      </c>
      <c r="T723" s="2" t="s">
        <v>100</v>
      </c>
      <c r="U723" s="2" t="s">
        <v>2150</v>
      </c>
      <c r="V723" s="2" t="s">
        <v>645</v>
      </c>
      <c r="W723" s="2" t="s">
        <v>104</v>
      </c>
      <c r="X723" s="2" t="s">
        <v>976</v>
      </c>
      <c r="Y723" s="2" t="s">
        <v>131</v>
      </c>
      <c r="Z723" s="4">
        <v>57</v>
      </c>
      <c r="AA723" s="4">
        <f>=ROUNDDOWN(3.8,0)</f>
      </c>
      <c r="AB723" s="5">
        <v>15</v>
      </c>
      <c r="AC723" s="2" t="s">
        <v>680</v>
      </c>
      <c r="AD723" s="4">
        <v>80</v>
      </c>
      <c r="AE723" s="4">
        <v>430</v>
      </c>
      <c r="AF723" s="6">
        <v>65</v>
      </c>
      <c r="AG723" s="6">
        <v>48</v>
      </c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>
        <v>2</v>
      </c>
      <c r="AW723" s="8">
        <v>88.07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/>
      <c r="BC723" s="4">
        <v>6</v>
      </c>
      <c r="BD723" s="8">
        <v>264.21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>
        <v>0.3333</v>
      </c>
      <c r="BJ723" s="4">
        <v>16</v>
      </c>
      <c r="BK723" s="8">
        <v>477.32</v>
      </c>
      <c r="BL723" s="2" t="s">
        <v>2439</v>
      </c>
      <c r="BM723" s="7"/>
      <c r="BN723" s="7"/>
      <c r="BO723" s="4"/>
      <c r="BP723" s="8"/>
      <c r="BQ723" s="4"/>
      <c r="BR723" s="8"/>
      <c r="BS723" s="7"/>
      <c r="BT723" s="7"/>
      <c r="BU723" s="2" t="s">
        <v>109</v>
      </c>
      <c r="BV723" s="2" t="s">
        <v>97</v>
      </c>
      <c r="BW723" s="2" t="s">
        <v>122</v>
      </c>
      <c r="BX723" s="2" t="s">
        <v>189</v>
      </c>
      <c r="BY723" s="2" t="s">
        <v>112</v>
      </c>
      <c r="BZ723" s="2" t="s">
        <v>100</v>
      </c>
    </row>
    <row r="724">
      <c r="A724" s="2" t="s">
        <v>2695</v>
      </c>
      <c r="B724" s="2" t="s">
        <v>87</v>
      </c>
      <c r="C724" s="2" t="s">
        <v>88</v>
      </c>
      <c r="D724" s="2" t="s">
        <v>2230</v>
      </c>
      <c r="E724" s="2" t="s">
        <v>2656</v>
      </c>
      <c r="F724" s="2" t="s">
        <v>2232</v>
      </c>
      <c r="G724" s="2" t="s">
        <v>2233</v>
      </c>
      <c r="H724" s="2" t="s">
        <v>2234</v>
      </c>
      <c r="I724" s="2" t="s">
        <v>2693</v>
      </c>
      <c r="J724" s="2" t="s">
        <v>785</v>
      </c>
      <c r="K724" s="2" t="s">
        <v>253</v>
      </c>
      <c r="L724" s="3">
        <v>34.55</v>
      </c>
      <c r="M724" s="3">
        <v>36.28</v>
      </c>
      <c r="N724" s="3">
        <v>69.99</v>
      </c>
      <c r="O724" s="2" t="s">
        <v>97</v>
      </c>
      <c r="P724" s="2" t="s">
        <v>242</v>
      </c>
      <c r="Q724" s="2" t="s">
        <v>99</v>
      </c>
      <c r="R724" s="2" t="s">
        <v>100</v>
      </c>
      <c r="S724" s="2" t="s">
        <v>2694</v>
      </c>
      <c r="T724" s="2" t="s">
        <v>100</v>
      </c>
      <c r="U724" s="2" t="s">
        <v>1508</v>
      </c>
      <c r="V724" s="2" t="s">
        <v>645</v>
      </c>
      <c r="W724" s="2" t="s">
        <v>104</v>
      </c>
      <c r="X724" s="2" t="s">
        <v>976</v>
      </c>
      <c r="Y724" s="2" t="s">
        <v>131</v>
      </c>
      <c r="Z724" s="4">
        <v>302</v>
      </c>
      <c r="AA724" s="4">
        <f>=ROUNDDOWN(12.08,0)</f>
      </c>
      <c r="AB724" s="5">
        <v>25</v>
      </c>
      <c r="AC724" s="2" t="s">
        <v>680</v>
      </c>
      <c r="AD724" s="4">
        <v>100</v>
      </c>
      <c r="AE724" s="4">
        <v>600</v>
      </c>
      <c r="AF724" s="6">
        <v>65</v>
      </c>
      <c r="AG724" s="6">
        <v>48</v>
      </c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1</v>
      </c>
      <c r="AQ724" s="8">
        <v>41.1</v>
      </c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0.4667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15</v>
      </c>
      <c r="BK724" s="8">
        <v>520.99</v>
      </c>
      <c r="BL724" s="2" t="s">
        <v>2696</v>
      </c>
      <c r="BM724" s="7">
        <v>0.0667</v>
      </c>
      <c r="BN724" s="7">
        <v>0.0789</v>
      </c>
      <c r="BO724" s="4">
        <v>1</v>
      </c>
      <c r="BP724" s="8">
        <v>41.1</v>
      </c>
      <c r="BQ724" s="4"/>
      <c r="BR724" s="8"/>
      <c r="BS724" s="7"/>
      <c r="BT724" s="7"/>
      <c r="BU724" s="2" t="s">
        <v>109</v>
      </c>
      <c r="BV724" s="2" t="s">
        <v>97</v>
      </c>
      <c r="BW724" s="2" t="s">
        <v>137</v>
      </c>
      <c r="BX724" s="2" t="s">
        <v>1144</v>
      </c>
      <c r="BY724" s="2" t="s">
        <v>112</v>
      </c>
      <c r="BZ724" s="2" t="s">
        <v>100</v>
      </c>
    </row>
    <row r="725">
      <c r="A725" s="2" t="s">
        <v>2697</v>
      </c>
      <c r="B725" s="2" t="s">
        <v>87</v>
      </c>
      <c r="C725" s="2" t="s">
        <v>88</v>
      </c>
      <c r="D725" s="2" t="s">
        <v>2230</v>
      </c>
      <c r="E725" s="2" t="s">
        <v>2656</v>
      </c>
      <c r="F725" s="2" t="s">
        <v>2232</v>
      </c>
      <c r="G725" s="2" t="s">
        <v>2233</v>
      </c>
      <c r="H725" s="2" t="s">
        <v>2234</v>
      </c>
      <c r="I725" s="2" t="s">
        <v>2693</v>
      </c>
      <c r="J725" s="2" t="s">
        <v>795</v>
      </c>
      <c r="K725" s="2" t="s">
        <v>253</v>
      </c>
      <c r="L725" s="3">
        <v>39.69</v>
      </c>
      <c r="M725" s="3">
        <v>41.67</v>
      </c>
      <c r="N725" s="3">
        <v>79.99</v>
      </c>
      <c r="O725" s="2" t="s">
        <v>97</v>
      </c>
      <c r="P725" s="2" t="s">
        <v>242</v>
      </c>
      <c r="Q725" s="2" t="s">
        <v>99</v>
      </c>
      <c r="R725" s="2" t="s">
        <v>100</v>
      </c>
      <c r="S725" s="2" t="s">
        <v>2694</v>
      </c>
      <c r="T725" s="2" t="s">
        <v>100</v>
      </c>
      <c r="U725" s="2" t="s">
        <v>1508</v>
      </c>
      <c r="V725" s="2" t="s">
        <v>645</v>
      </c>
      <c r="W725" s="2" t="s">
        <v>104</v>
      </c>
      <c r="X725" s="2" t="s">
        <v>976</v>
      </c>
      <c r="Y725" s="2" t="s">
        <v>131</v>
      </c>
      <c r="Z725" s="4">
        <v>364</v>
      </c>
      <c r="AA725" s="4">
        <f>=ROUNDDOWN(10.4,0)</f>
      </c>
      <c r="AB725" s="5">
        <v>35</v>
      </c>
      <c r="AC725" s="2" t="s">
        <v>680</v>
      </c>
      <c r="AD725" s="4">
        <v>50</v>
      </c>
      <c r="AE725" s="4">
        <v>860</v>
      </c>
      <c r="AF725" s="6">
        <v>65</v>
      </c>
      <c r="AG725" s="6">
        <v>48</v>
      </c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1</v>
      </c>
      <c r="AQ725" s="8">
        <v>46.97</v>
      </c>
      <c r="AR725" s="4"/>
      <c r="AS725" s="8"/>
      <c r="AT725" s="7"/>
      <c r="AU725" s="7"/>
      <c r="AV725" s="4" t="s">
        <v>100</v>
      </c>
      <c r="AW725" s="8" t="s">
        <v>100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0.5333</v>
      </c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 t="s">
        <v>100</v>
      </c>
      <c r="BJ725" s="4">
        <v>25</v>
      </c>
      <c r="BK725" s="8">
        <v>1042.04</v>
      </c>
      <c r="BL725" s="2" t="s">
        <v>2698</v>
      </c>
      <c r="BM725" s="7">
        <v>0.04</v>
      </c>
      <c r="BN725" s="7">
        <v>0.0451</v>
      </c>
      <c r="BO725" s="4">
        <v>1</v>
      </c>
      <c r="BP725" s="8">
        <v>46.97</v>
      </c>
      <c r="BQ725" s="4"/>
      <c r="BR725" s="8"/>
      <c r="BS725" s="7"/>
      <c r="BT725" s="7"/>
      <c r="BU725" s="2" t="s">
        <v>109</v>
      </c>
      <c r="BV725" s="2" t="s">
        <v>97</v>
      </c>
      <c r="BW725" s="2" t="s">
        <v>137</v>
      </c>
      <c r="BX725" s="2" t="s">
        <v>2699</v>
      </c>
      <c r="BY725" s="2" t="s">
        <v>112</v>
      </c>
      <c r="BZ725" s="2" t="s">
        <v>100</v>
      </c>
    </row>
    <row r="726">
      <c r="A726" s="2" t="s">
        <v>2700</v>
      </c>
      <c r="B726" s="2" t="s">
        <v>87</v>
      </c>
      <c r="C726" s="2" t="s">
        <v>88</v>
      </c>
      <c r="D726" s="2" t="s">
        <v>2230</v>
      </c>
      <c r="E726" s="2" t="s">
        <v>2656</v>
      </c>
      <c r="F726" s="2" t="s">
        <v>2232</v>
      </c>
      <c r="G726" s="2" t="s">
        <v>2233</v>
      </c>
      <c r="H726" s="2" t="s">
        <v>2234</v>
      </c>
      <c r="I726" s="2" t="s">
        <v>2693</v>
      </c>
      <c r="J726" s="2" t="s">
        <v>673</v>
      </c>
      <c r="K726" s="2" t="s">
        <v>213</v>
      </c>
      <c r="L726" s="3">
        <v>26.9</v>
      </c>
      <c r="M726" s="3">
        <v>28.24</v>
      </c>
      <c r="N726" s="3">
        <v>54.99</v>
      </c>
      <c r="O726" s="2" t="s">
        <v>97</v>
      </c>
      <c r="P726" s="2" t="s">
        <v>242</v>
      </c>
      <c r="Q726" s="2" t="s">
        <v>99</v>
      </c>
      <c r="R726" s="2" t="s">
        <v>100</v>
      </c>
      <c r="S726" s="2" t="s">
        <v>2248</v>
      </c>
      <c r="T726" s="2" t="s">
        <v>100</v>
      </c>
      <c r="U726" s="2" t="s">
        <v>2150</v>
      </c>
      <c r="V726" s="2" t="s">
        <v>645</v>
      </c>
      <c r="W726" s="2" t="s">
        <v>104</v>
      </c>
      <c r="X726" s="2" t="s">
        <v>976</v>
      </c>
      <c r="Y726" s="2" t="s">
        <v>131</v>
      </c>
      <c r="Z726" s="4">
        <v>52</v>
      </c>
      <c r="AA726" s="4">
        <f>=ROUNDDOWN(5.77777777777778,0)</f>
      </c>
      <c r="AB726" s="5">
        <v>9</v>
      </c>
      <c r="AC726" s="2" t="s">
        <v>107</v>
      </c>
      <c r="AD726" s="4">
        <v>40</v>
      </c>
      <c r="AE726" s="4">
        <v>280</v>
      </c>
      <c r="AF726" s="6">
        <v>65</v>
      </c>
      <c r="AG726" s="6">
        <v>48</v>
      </c>
      <c r="AH726" s="7">
        <v>0.4286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>
        <v>2</v>
      </c>
      <c r="AW726" s="8">
        <v>88.07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/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>
        <v>0.3333</v>
      </c>
      <c r="BJ726" s="4">
        <v>9</v>
      </c>
      <c r="BK726" s="8">
        <v>272.27</v>
      </c>
      <c r="BL726" s="2" t="s">
        <v>412</v>
      </c>
      <c r="BM726" s="7"/>
      <c r="BN726" s="7"/>
      <c r="BO726" s="4"/>
      <c r="BP726" s="8"/>
      <c r="BQ726" s="4"/>
      <c r="BR726" s="8"/>
      <c r="BS726" s="7"/>
      <c r="BT726" s="7"/>
      <c r="BU726" s="2" t="s">
        <v>109</v>
      </c>
      <c r="BV726" s="2" t="s">
        <v>97</v>
      </c>
      <c r="BW726" s="2" t="s">
        <v>122</v>
      </c>
      <c r="BX726" s="2" t="s">
        <v>621</v>
      </c>
      <c r="BY726" s="2" t="s">
        <v>112</v>
      </c>
      <c r="BZ726" s="2" t="s">
        <v>100</v>
      </c>
    </row>
    <row r="727">
      <c r="A727" s="2" t="s">
        <v>2701</v>
      </c>
      <c r="B727" s="2" t="s">
        <v>87</v>
      </c>
      <c r="C727" s="2" t="s">
        <v>88</v>
      </c>
      <c r="D727" s="2" t="s">
        <v>2230</v>
      </c>
      <c r="E727" s="2" t="s">
        <v>2656</v>
      </c>
      <c r="F727" s="2" t="s">
        <v>2232</v>
      </c>
      <c r="G727" s="2" t="s">
        <v>2233</v>
      </c>
      <c r="H727" s="2" t="s">
        <v>2234</v>
      </c>
      <c r="I727" s="2" t="s">
        <v>2693</v>
      </c>
      <c r="J727" s="2" t="s">
        <v>785</v>
      </c>
      <c r="K727" s="2" t="s">
        <v>213</v>
      </c>
      <c r="L727" s="3">
        <v>34.55</v>
      </c>
      <c r="M727" s="3">
        <v>36.28</v>
      </c>
      <c r="N727" s="3">
        <v>69.99</v>
      </c>
      <c r="O727" s="2" t="s">
        <v>97</v>
      </c>
      <c r="P727" s="2" t="s">
        <v>242</v>
      </c>
      <c r="Q727" s="2" t="s">
        <v>99</v>
      </c>
      <c r="R727" s="2" t="s">
        <v>100</v>
      </c>
      <c r="S727" s="2" t="s">
        <v>2248</v>
      </c>
      <c r="T727" s="2" t="s">
        <v>100</v>
      </c>
      <c r="U727" s="2" t="s">
        <v>1508</v>
      </c>
      <c r="V727" s="2" t="s">
        <v>645</v>
      </c>
      <c r="W727" s="2" t="s">
        <v>104</v>
      </c>
      <c r="X727" s="2" t="s">
        <v>976</v>
      </c>
      <c r="Y727" s="2" t="s">
        <v>131</v>
      </c>
      <c r="Z727" s="4">
        <v>173</v>
      </c>
      <c r="AA727" s="4">
        <f>=ROUNDDOWN(10.1764705882353,0)</f>
      </c>
      <c r="AB727" s="5">
        <v>17</v>
      </c>
      <c r="AC727" s="2" t="s">
        <v>680</v>
      </c>
      <c r="AD727" s="4">
        <v>40</v>
      </c>
      <c r="AE727" s="4">
        <v>440</v>
      </c>
      <c r="AF727" s="6">
        <v>65</v>
      </c>
      <c r="AG727" s="6">
        <v>48</v>
      </c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1</v>
      </c>
      <c r="AQ727" s="8">
        <v>41.1</v>
      </c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0.4667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10</v>
      </c>
      <c r="BK727" s="8">
        <v>395.19</v>
      </c>
      <c r="BL727" s="2" t="s">
        <v>2702</v>
      </c>
      <c r="BM727" s="7">
        <v>0.1</v>
      </c>
      <c r="BN727" s="7">
        <v>0.104</v>
      </c>
      <c r="BO727" s="4">
        <v>1</v>
      </c>
      <c r="BP727" s="8">
        <v>41.1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122</v>
      </c>
      <c r="BX727" s="2" t="s">
        <v>225</v>
      </c>
      <c r="BY727" s="2" t="s">
        <v>112</v>
      </c>
      <c r="BZ727" s="2" t="s">
        <v>100</v>
      </c>
    </row>
    <row r="728">
      <c r="A728" s="2" t="s">
        <v>2703</v>
      </c>
      <c r="B728" s="2" t="s">
        <v>87</v>
      </c>
      <c r="C728" s="2" t="s">
        <v>88</v>
      </c>
      <c r="D728" s="2" t="s">
        <v>2230</v>
      </c>
      <c r="E728" s="2" t="s">
        <v>2656</v>
      </c>
      <c r="F728" s="2" t="s">
        <v>2232</v>
      </c>
      <c r="G728" s="2" t="s">
        <v>2233</v>
      </c>
      <c r="H728" s="2" t="s">
        <v>2234</v>
      </c>
      <c r="I728" s="2" t="s">
        <v>2693</v>
      </c>
      <c r="J728" s="2" t="s">
        <v>795</v>
      </c>
      <c r="K728" s="2" t="s">
        <v>213</v>
      </c>
      <c r="L728" s="3">
        <v>39.69</v>
      </c>
      <c r="M728" s="3">
        <v>41.67</v>
      </c>
      <c r="N728" s="3">
        <v>79.99</v>
      </c>
      <c r="O728" s="2" t="s">
        <v>97</v>
      </c>
      <c r="P728" s="2" t="s">
        <v>242</v>
      </c>
      <c r="Q728" s="2" t="s">
        <v>99</v>
      </c>
      <c r="R728" s="2" t="s">
        <v>100</v>
      </c>
      <c r="S728" s="2" t="s">
        <v>2248</v>
      </c>
      <c r="T728" s="2" t="s">
        <v>100</v>
      </c>
      <c r="U728" s="2" t="s">
        <v>1508</v>
      </c>
      <c r="V728" s="2" t="s">
        <v>645</v>
      </c>
      <c r="W728" s="2" t="s">
        <v>104</v>
      </c>
      <c r="X728" s="2" t="s">
        <v>976</v>
      </c>
      <c r="Y728" s="2" t="s">
        <v>131</v>
      </c>
      <c r="Z728" s="4">
        <v>287</v>
      </c>
      <c r="AA728" s="4">
        <f>=ROUNDDOWN(11.48,0)</f>
      </c>
      <c r="AB728" s="5">
        <v>25</v>
      </c>
      <c r="AC728" s="2" t="s">
        <v>680</v>
      </c>
      <c r="AD728" s="4">
        <v>70</v>
      </c>
      <c r="AE728" s="4">
        <v>590</v>
      </c>
      <c r="AF728" s="6">
        <v>65</v>
      </c>
      <c r="AG728" s="6">
        <v>48</v>
      </c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1</v>
      </c>
      <c r="AQ728" s="8">
        <v>46.97</v>
      </c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0.5333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 t="s">
        <v>100</v>
      </c>
      <c r="BJ728" s="4">
        <v>20</v>
      </c>
      <c r="BK728" s="8">
        <v>882.4</v>
      </c>
      <c r="BL728" s="2" t="s">
        <v>2704</v>
      </c>
      <c r="BM728" s="7">
        <v>0.05</v>
      </c>
      <c r="BN728" s="7">
        <v>0.0532</v>
      </c>
      <c r="BO728" s="4">
        <v>1</v>
      </c>
      <c r="BP728" s="8">
        <v>46.97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122</v>
      </c>
      <c r="BX728" s="2" t="s">
        <v>457</v>
      </c>
      <c r="BY728" s="2" t="s">
        <v>112</v>
      </c>
      <c r="BZ728" s="2" t="s">
        <v>100</v>
      </c>
    </row>
    <row r="729">
      <c r="A729" s="2" t="s">
        <v>2705</v>
      </c>
      <c r="B729" s="2" t="s">
        <v>87</v>
      </c>
      <c r="C729" s="2" t="s">
        <v>88</v>
      </c>
      <c r="D729" s="2" t="s">
        <v>2230</v>
      </c>
      <c r="E729" s="2" t="s">
        <v>2656</v>
      </c>
      <c r="F729" s="2" t="s">
        <v>2232</v>
      </c>
      <c r="G729" s="2" t="s">
        <v>2233</v>
      </c>
      <c r="H729" s="2" t="s">
        <v>2234</v>
      </c>
      <c r="I729" s="2" t="s">
        <v>2693</v>
      </c>
      <c r="J729" s="2" t="s">
        <v>673</v>
      </c>
      <c r="K729" s="2" t="s">
        <v>163</v>
      </c>
      <c r="L729" s="3">
        <v>26.9</v>
      </c>
      <c r="M729" s="3">
        <v>28.24</v>
      </c>
      <c r="N729" s="3">
        <v>54.99</v>
      </c>
      <c r="O729" s="2" t="s">
        <v>97</v>
      </c>
      <c r="P729" s="2" t="s">
        <v>242</v>
      </c>
      <c r="Q729" s="2" t="s">
        <v>99</v>
      </c>
      <c r="R729" s="2" t="s">
        <v>100</v>
      </c>
      <c r="S729" s="2" t="s">
        <v>2243</v>
      </c>
      <c r="T729" s="2" t="s">
        <v>100</v>
      </c>
      <c r="U729" s="2" t="s">
        <v>2150</v>
      </c>
      <c r="V729" s="2" t="s">
        <v>645</v>
      </c>
      <c r="W729" s="2" t="s">
        <v>104</v>
      </c>
      <c r="X729" s="2" t="s">
        <v>976</v>
      </c>
      <c r="Y729" s="2" t="s">
        <v>2706</v>
      </c>
      <c r="Z729" s="4">
        <v>150</v>
      </c>
      <c r="AA729" s="4">
        <f>=ROUNDDOWN(13.6363636363636,0)</f>
      </c>
      <c r="AB729" s="5">
        <v>11</v>
      </c>
      <c r="AC729" s="2" t="s">
        <v>680</v>
      </c>
      <c r="AD729" s="4">
        <v>120</v>
      </c>
      <c r="AE729" s="4">
        <v>230</v>
      </c>
      <c r="AF729" s="6">
        <v>65</v>
      </c>
      <c r="AG729" s="6">
        <v>48</v>
      </c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>
        <v>1</v>
      </c>
      <c r="AW729" s="8">
        <v>46.97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/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>
        <v>0.1778</v>
      </c>
      <c r="BJ729" s="4">
        <v>19</v>
      </c>
      <c r="BK729" s="8">
        <v>561.51</v>
      </c>
      <c r="BL729" s="2" t="s">
        <v>2707</v>
      </c>
      <c r="BM729" s="7"/>
      <c r="BN729" s="7"/>
      <c r="BO729" s="4"/>
      <c r="BP729" s="8"/>
      <c r="BQ729" s="4"/>
      <c r="BR729" s="8"/>
      <c r="BS729" s="7"/>
      <c r="BT729" s="7"/>
      <c r="BU729" s="2" t="s">
        <v>109</v>
      </c>
      <c r="BV729" s="2" t="s">
        <v>97</v>
      </c>
      <c r="BW729" s="2" t="s">
        <v>452</v>
      </c>
      <c r="BX729" s="2" t="s">
        <v>202</v>
      </c>
      <c r="BY729" s="2" t="s">
        <v>112</v>
      </c>
      <c r="BZ729" s="2" t="s">
        <v>100</v>
      </c>
    </row>
    <row r="730">
      <c r="A730" s="2" t="s">
        <v>2708</v>
      </c>
      <c r="B730" s="2" t="s">
        <v>87</v>
      </c>
      <c r="C730" s="2" t="s">
        <v>88</v>
      </c>
      <c r="D730" s="2" t="s">
        <v>2230</v>
      </c>
      <c r="E730" s="2" t="s">
        <v>2656</v>
      </c>
      <c r="F730" s="2" t="s">
        <v>2232</v>
      </c>
      <c r="G730" s="2" t="s">
        <v>2233</v>
      </c>
      <c r="H730" s="2" t="s">
        <v>2234</v>
      </c>
      <c r="I730" s="2" t="s">
        <v>2693</v>
      </c>
      <c r="J730" s="2" t="s">
        <v>785</v>
      </c>
      <c r="K730" s="2" t="s">
        <v>163</v>
      </c>
      <c r="L730" s="3">
        <v>34.55</v>
      </c>
      <c r="M730" s="3">
        <v>36.28</v>
      </c>
      <c r="N730" s="3">
        <v>69.99</v>
      </c>
      <c r="O730" s="2" t="s">
        <v>97</v>
      </c>
      <c r="P730" s="2" t="s">
        <v>242</v>
      </c>
      <c r="Q730" s="2" t="s">
        <v>99</v>
      </c>
      <c r="R730" s="2" t="s">
        <v>100</v>
      </c>
      <c r="S730" s="2" t="s">
        <v>2243</v>
      </c>
      <c r="T730" s="2" t="s">
        <v>100</v>
      </c>
      <c r="U730" s="2" t="s">
        <v>1508</v>
      </c>
      <c r="V730" s="2" t="s">
        <v>645</v>
      </c>
      <c r="W730" s="2" t="s">
        <v>104</v>
      </c>
      <c r="X730" s="2" t="s">
        <v>976</v>
      </c>
      <c r="Y730" s="2" t="s">
        <v>131</v>
      </c>
      <c r="Z730" s="4">
        <v>414</v>
      </c>
      <c r="AA730" s="4">
        <f>=ROUNDDOWN(20.7,0)</f>
      </c>
      <c r="AB730" s="5">
        <v>20</v>
      </c>
      <c r="AC730" s="2" t="s">
        <v>165</v>
      </c>
      <c r="AD730" s="4">
        <v>30</v>
      </c>
      <c r="AE730" s="4">
        <v>300</v>
      </c>
      <c r="AF730" s="6">
        <v>65</v>
      </c>
      <c r="AG730" s="6">
        <v>48</v>
      </c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 t="s">
        <v>100</v>
      </c>
      <c r="BJ730" s="4">
        <v>11</v>
      </c>
      <c r="BK730" s="8">
        <v>374.49</v>
      </c>
      <c r="BL730" s="2" t="s">
        <v>540</v>
      </c>
      <c r="BM730" s="7"/>
      <c r="BN730" s="7"/>
      <c r="BO730" s="4"/>
      <c r="BP730" s="8"/>
      <c r="BQ730" s="4"/>
      <c r="BR730" s="8"/>
      <c r="BS730" s="7"/>
      <c r="BT730" s="7"/>
      <c r="BU730" s="2" t="s">
        <v>109</v>
      </c>
      <c r="BV730" s="2" t="s">
        <v>97</v>
      </c>
      <c r="BW730" s="2" t="s">
        <v>122</v>
      </c>
      <c r="BX730" s="2" t="s">
        <v>196</v>
      </c>
      <c r="BY730" s="2" t="s">
        <v>112</v>
      </c>
      <c r="BZ730" s="2" t="s">
        <v>100</v>
      </c>
    </row>
    <row r="731">
      <c r="A731" s="2" t="s">
        <v>2709</v>
      </c>
      <c r="B731" s="2" t="s">
        <v>87</v>
      </c>
      <c r="C731" s="2" t="s">
        <v>88</v>
      </c>
      <c r="D731" s="2" t="s">
        <v>2230</v>
      </c>
      <c r="E731" s="2" t="s">
        <v>2656</v>
      </c>
      <c r="F731" s="2" t="s">
        <v>2232</v>
      </c>
      <c r="G731" s="2" t="s">
        <v>2233</v>
      </c>
      <c r="H731" s="2" t="s">
        <v>2234</v>
      </c>
      <c r="I731" s="2" t="s">
        <v>2693</v>
      </c>
      <c r="J731" s="2" t="s">
        <v>795</v>
      </c>
      <c r="K731" s="2" t="s">
        <v>163</v>
      </c>
      <c r="L731" s="3">
        <v>39.69</v>
      </c>
      <c r="M731" s="3">
        <v>41.67</v>
      </c>
      <c r="N731" s="3">
        <v>79.99</v>
      </c>
      <c r="O731" s="2" t="s">
        <v>97</v>
      </c>
      <c r="P731" s="2" t="s">
        <v>242</v>
      </c>
      <c r="Q731" s="2" t="s">
        <v>99</v>
      </c>
      <c r="R731" s="2" t="s">
        <v>100</v>
      </c>
      <c r="S731" s="2" t="s">
        <v>2243</v>
      </c>
      <c r="T731" s="2" t="s">
        <v>100</v>
      </c>
      <c r="U731" s="2" t="s">
        <v>1508</v>
      </c>
      <c r="V731" s="2" t="s">
        <v>645</v>
      </c>
      <c r="W731" s="2" t="s">
        <v>104</v>
      </c>
      <c r="X731" s="2" t="s">
        <v>976</v>
      </c>
      <c r="Y731" s="2" t="s">
        <v>131</v>
      </c>
      <c r="Z731" s="4">
        <v>306</v>
      </c>
      <c r="AA731" s="4">
        <f>=ROUNDDOWN(13.9090909090909,0)</f>
      </c>
      <c r="AB731" s="5">
        <v>22</v>
      </c>
      <c r="AC731" s="2" t="s">
        <v>680</v>
      </c>
      <c r="AD731" s="4">
        <v>30</v>
      </c>
      <c r="AE731" s="4">
        <v>470</v>
      </c>
      <c r="AF731" s="6">
        <v>65</v>
      </c>
      <c r="AG731" s="6">
        <v>48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>
        <v>1</v>
      </c>
      <c r="AQ731" s="8">
        <v>46.97</v>
      </c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>
        <v>1</v>
      </c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 t="s">
        <v>100</v>
      </c>
      <c r="BJ731" s="4">
        <v>18</v>
      </c>
      <c r="BK731" s="8">
        <v>724.48</v>
      </c>
      <c r="BL731" s="2" t="s">
        <v>2710</v>
      </c>
      <c r="BM731" s="7">
        <v>0.0556</v>
      </c>
      <c r="BN731" s="7">
        <v>0.0648</v>
      </c>
      <c r="BO731" s="4">
        <v>1</v>
      </c>
      <c r="BP731" s="8">
        <v>46.97</v>
      </c>
      <c r="BQ731" s="4"/>
      <c r="BR731" s="8"/>
      <c r="BS731" s="7"/>
      <c r="BT731" s="7"/>
      <c r="BU731" s="2" t="s">
        <v>109</v>
      </c>
      <c r="BV731" s="2" t="s">
        <v>97</v>
      </c>
      <c r="BW731" s="2" t="s">
        <v>122</v>
      </c>
      <c r="BX731" s="2" t="s">
        <v>2385</v>
      </c>
      <c r="BY731" s="2" t="s">
        <v>112</v>
      </c>
      <c r="BZ731" s="2" t="s">
        <v>100</v>
      </c>
    </row>
    <row r="732">
      <c r="A732" s="2" t="s">
        <v>2711</v>
      </c>
      <c r="B732" s="2" t="s">
        <v>87</v>
      </c>
      <c r="C732" s="2" t="s">
        <v>88</v>
      </c>
      <c r="D732" s="2" t="s">
        <v>2230</v>
      </c>
      <c r="E732" s="2" t="s">
        <v>2656</v>
      </c>
      <c r="F732" s="2" t="s">
        <v>2232</v>
      </c>
      <c r="G732" s="2" t="s">
        <v>2233</v>
      </c>
      <c r="H732" s="2" t="s">
        <v>2234</v>
      </c>
      <c r="I732" s="2" t="s">
        <v>2693</v>
      </c>
      <c r="J732" s="2" t="s">
        <v>785</v>
      </c>
      <c r="K732" s="2" t="s">
        <v>2272</v>
      </c>
      <c r="L732" s="3">
        <v>34.55</v>
      </c>
      <c r="M732" s="3">
        <v>36.28</v>
      </c>
      <c r="N732" s="3">
        <v>69.99</v>
      </c>
      <c r="O732" s="2" t="s">
        <v>97</v>
      </c>
      <c r="P732" s="2" t="s">
        <v>242</v>
      </c>
      <c r="Q732" s="2" t="s">
        <v>99</v>
      </c>
      <c r="R732" s="2" t="s">
        <v>100</v>
      </c>
      <c r="S732" s="2" t="s">
        <v>2273</v>
      </c>
      <c r="T732" s="2" t="s">
        <v>100</v>
      </c>
      <c r="U732" s="2" t="s">
        <v>1508</v>
      </c>
      <c r="V732" s="2" t="s">
        <v>645</v>
      </c>
      <c r="W732" s="2" t="s">
        <v>104</v>
      </c>
      <c r="X732" s="2" t="s">
        <v>976</v>
      </c>
      <c r="Y732" s="2" t="s">
        <v>931</v>
      </c>
      <c r="Z732" s="4">
        <v>299</v>
      </c>
      <c r="AA732" s="4">
        <f>=ROUNDDOWN(23,0)</f>
      </c>
      <c r="AB732" s="5">
        <v>13</v>
      </c>
      <c r="AC732" s="2" t="s">
        <v>411</v>
      </c>
      <c r="AD732" s="4">
        <v>30</v>
      </c>
      <c r="AE732" s="4">
        <v>230</v>
      </c>
      <c r="AF732" s="6">
        <v>65</v>
      </c>
      <c r="AG732" s="6">
        <v>48</v>
      </c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1</v>
      </c>
      <c r="AQ732" s="8">
        <v>41.1</v>
      </c>
      <c r="AR732" s="4"/>
      <c r="AS732" s="8"/>
      <c r="AT732" s="7"/>
      <c r="AU732" s="7"/>
      <c r="AV732" s="4">
        <v>1</v>
      </c>
      <c r="AW732" s="8">
        <v>41.1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1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>
        <v>0.1556</v>
      </c>
      <c r="BJ732" s="4">
        <v>11</v>
      </c>
      <c r="BK732" s="8">
        <v>404.1</v>
      </c>
      <c r="BL732" s="2" t="s">
        <v>2712</v>
      </c>
      <c r="BM732" s="7">
        <v>0.0909</v>
      </c>
      <c r="BN732" s="7">
        <v>0.1017</v>
      </c>
      <c r="BO732" s="4">
        <v>1</v>
      </c>
      <c r="BP732" s="8">
        <v>41.1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266</v>
      </c>
      <c r="BX732" s="2" t="s">
        <v>2713</v>
      </c>
      <c r="BY732" s="2" t="s">
        <v>112</v>
      </c>
      <c r="BZ732" s="2" t="s">
        <v>100</v>
      </c>
    </row>
    <row r="733">
      <c r="A733" s="2" t="s">
        <v>2714</v>
      </c>
      <c r="B733" s="2" t="s">
        <v>87</v>
      </c>
      <c r="C733" s="2" t="s">
        <v>88</v>
      </c>
      <c r="D733" s="2" t="s">
        <v>2230</v>
      </c>
      <c r="E733" s="2" t="s">
        <v>2656</v>
      </c>
      <c r="F733" s="2" t="s">
        <v>2232</v>
      </c>
      <c r="G733" s="2" t="s">
        <v>2233</v>
      </c>
      <c r="H733" s="2" t="s">
        <v>2234</v>
      </c>
      <c r="I733" s="2" t="s">
        <v>2693</v>
      </c>
      <c r="J733" s="2" t="s">
        <v>795</v>
      </c>
      <c r="K733" s="2" t="s">
        <v>2272</v>
      </c>
      <c r="L733" s="3">
        <v>39.69</v>
      </c>
      <c r="M733" s="3">
        <v>41.67</v>
      </c>
      <c r="N733" s="3">
        <v>79.99</v>
      </c>
      <c r="O733" s="2" t="s">
        <v>97</v>
      </c>
      <c r="P733" s="2" t="s">
        <v>242</v>
      </c>
      <c r="Q733" s="2" t="s">
        <v>99</v>
      </c>
      <c r="R733" s="2" t="s">
        <v>100</v>
      </c>
      <c r="S733" s="2" t="s">
        <v>2273</v>
      </c>
      <c r="T733" s="2" t="s">
        <v>100</v>
      </c>
      <c r="U733" s="2" t="s">
        <v>1508</v>
      </c>
      <c r="V733" s="2" t="s">
        <v>645</v>
      </c>
      <c r="W733" s="2" t="s">
        <v>104</v>
      </c>
      <c r="X733" s="2" t="s">
        <v>976</v>
      </c>
      <c r="Y733" s="2" t="s">
        <v>931</v>
      </c>
      <c r="Z733" s="4">
        <v>357</v>
      </c>
      <c r="AA733" s="4">
        <f>=ROUNDDOWN(17.85,0)</f>
      </c>
      <c r="AB733" s="5">
        <v>20</v>
      </c>
      <c r="AC733" s="2" t="s">
        <v>411</v>
      </c>
      <c r="AD733" s="4">
        <v>20</v>
      </c>
      <c r="AE733" s="4">
        <v>480</v>
      </c>
      <c r="AF733" s="6">
        <v>65</v>
      </c>
      <c r="AG733" s="6">
        <v>48</v>
      </c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 t="s">
        <v>100</v>
      </c>
      <c r="BJ733" s="4">
        <v>12</v>
      </c>
      <c r="BK733" s="8">
        <v>534.71</v>
      </c>
      <c r="BL733" s="2" t="s">
        <v>2715</v>
      </c>
      <c r="BM733" s="7"/>
      <c r="BN733" s="7"/>
      <c r="BO733" s="4"/>
      <c r="BP733" s="8"/>
      <c r="BQ733" s="4"/>
      <c r="BR733" s="8"/>
      <c r="BS733" s="7"/>
      <c r="BT733" s="7"/>
      <c r="BU733" s="2" t="s">
        <v>109</v>
      </c>
      <c r="BV733" s="2" t="s">
        <v>97</v>
      </c>
      <c r="BW733" s="2" t="s">
        <v>266</v>
      </c>
      <c r="BX733" s="2" t="s">
        <v>295</v>
      </c>
      <c r="BY733" s="2" t="s">
        <v>112</v>
      </c>
      <c r="BZ733" s="2" t="s">
        <v>100</v>
      </c>
    </row>
    <row r="734">
      <c r="A734" s="2" t="s">
        <v>2716</v>
      </c>
      <c r="B734" s="2" t="s">
        <v>87</v>
      </c>
      <c r="C734" s="2" t="s">
        <v>88</v>
      </c>
      <c r="D734" s="2" t="s">
        <v>2230</v>
      </c>
      <c r="E734" s="2" t="s">
        <v>2656</v>
      </c>
      <c r="F734" s="2" t="s">
        <v>2232</v>
      </c>
      <c r="G734" s="2" t="s">
        <v>2233</v>
      </c>
      <c r="H734" s="2" t="s">
        <v>2234</v>
      </c>
      <c r="I734" s="2" t="s">
        <v>2717</v>
      </c>
      <c r="J734" s="2" t="s">
        <v>785</v>
      </c>
      <c r="K734" s="2" t="s">
        <v>2315</v>
      </c>
      <c r="L734" s="3">
        <v>34.55</v>
      </c>
      <c r="M734" s="3">
        <v>36.28</v>
      </c>
      <c r="N734" s="3">
        <v>69.99</v>
      </c>
      <c r="O734" s="2" t="s">
        <v>97</v>
      </c>
      <c r="P734" s="2" t="s">
        <v>1335</v>
      </c>
      <c r="Q734" s="2" t="s">
        <v>99</v>
      </c>
      <c r="R734" s="2" t="s">
        <v>100</v>
      </c>
      <c r="S734" s="2" t="s">
        <v>2316</v>
      </c>
      <c r="T734" s="2" t="s">
        <v>100</v>
      </c>
      <c r="U734" s="2" t="s">
        <v>1508</v>
      </c>
      <c r="V734" s="2" t="s">
        <v>645</v>
      </c>
      <c r="W734" s="2" t="s">
        <v>104</v>
      </c>
      <c r="X734" s="2" t="s">
        <v>976</v>
      </c>
      <c r="Y734" s="2" t="s">
        <v>695</v>
      </c>
      <c r="Z734" s="4"/>
      <c r="AA734" s="4">
        <f>=ROUNDDOWN({0},0)</f>
      </c>
      <c r="AB734" s="5"/>
      <c r="AC734" s="2" t="s">
        <v>680</v>
      </c>
      <c r="AD734" s="4">
        <v>120</v>
      </c>
      <c r="AE734" s="4">
        <v>360</v>
      </c>
      <c r="AF734" s="6">
        <v>65</v>
      </c>
      <c r="AG734" s="6"/>
      <c r="AH734" s="7">
        <v>0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/>
      <c r="BK734" s="8"/>
      <c r="BL734" s="2" t="s">
        <v>100</v>
      </c>
      <c r="BM734" s="7"/>
      <c r="BN734" s="7"/>
      <c r="BO734" s="4"/>
      <c r="BP734" s="8"/>
      <c r="BQ734" s="4"/>
      <c r="BR734" s="8"/>
      <c r="BS734" s="7"/>
      <c r="BT734" s="7"/>
      <c r="BU734" s="2" t="s">
        <v>1338</v>
      </c>
      <c r="BV734" s="2" t="s">
        <v>97</v>
      </c>
      <c r="BW734" s="2" t="s">
        <v>100</v>
      </c>
      <c r="BX734" s="2" t="s">
        <v>100</v>
      </c>
      <c r="BY734" s="2" t="s">
        <v>112</v>
      </c>
      <c r="BZ734" s="2" t="s">
        <v>100</v>
      </c>
    </row>
    <row r="735">
      <c r="A735" s="2" t="s">
        <v>2718</v>
      </c>
      <c r="B735" s="2" t="s">
        <v>87</v>
      </c>
      <c r="C735" s="2" t="s">
        <v>88</v>
      </c>
      <c r="D735" s="2" t="s">
        <v>2230</v>
      </c>
      <c r="E735" s="2" t="s">
        <v>2656</v>
      </c>
      <c r="F735" s="2" t="s">
        <v>2232</v>
      </c>
      <c r="G735" s="2" t="s">
        <v>2233</v>
      </c>
      <c r="H735" s="2" t="s">
        <v>2234</v>
      </c>
      <c r="I735" s="2" t="s">
        <v>2717</v>
      </c>
      <c r="J735" s="2" t="s">
        <v>795</v>
      </c>
      <c r="K735" s="2" t="s">
        <v>2315</v>
      </c>
      <c r="L735" s="3">
        <v>39.69</v>
      </c>
      <c r="M735" s="3">
        <v>41.67</v>
      </c>
      <c r="N735" s="3">
        <v>79.99</v>
      </c>
      <c r="O735" s="2" t="s">
        <v>97</v>
      </c>
      <c r="P735" s="2" t="s">
        <v>1335</v>
      </c>
      <c r="Q735" s="2" t="s">
        <v>99</v>
      </c>
      <c r="R735" s="2" t="s">
        <v>100</v>
      </c>
      <c r="S735" s="2" t="s">
        <v>2316</v>
      </c>
      <c r="T735" s="2" t="s">
        <v>100</v>
      </c>
      <c r="U735" s="2" t="s">
        <v>1508</v>
      </c>
      <c r="V735" s="2" t="s">
        <v>645</v>
      </c>
      <c r="W735" s="2" t="s">
        <v>104</v>
      </c>
      <c r="X735" s="2" t="s">
        <v>976</v>
      </c>
      <c r="Y735" s="2" t="s">
        <v>695</v>
      </c>
      <c r="Z735" s="4"/>
      <c r="AA735" s="4">
        <f>=ROUNDDOWN({0},0)</f>
      </c>
      <c r="AB735" s="5"/>
      <c r="AC735" s="2" t="s">
        <v>680</v>
      </c>
      <c r="AD735" s="4">
        <v>140</v>
      </c>
      <c r="AE735" s="4">
        <v>440</v>
      </c>
      <c r="AF735" s="6">
        <v>65</v>
      </c>
      <c r="AG735" s="6"/>
      <c r="AH735" s="7">
        <v>0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/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 t="s">
        <v>100</v>
      </c>
      <c r="BJ735" s="4"/>
      <c r="BK735" s="8"/>
      <c r="BL735" s="2" t="s">
        <v>100</v>
      </c>
      <c r="BM735" s="7"/>
      <c r="BN735" s="7"/>
      <c r="BO735" s="4"/>
      <c r="BP735" s="8"/>
      <c r="BQ735" s="4"/>
      <c r="BR735" s="8"/>
      <c r="BS735" s="7"/>
      <c r="BT735" s="7"/>
      <c r="BU735" s="2" t="s">
        <v>1338</v>
      </c>
      <c r="BV735" s="2" t="s">
        <v>97</v>
      </c>
      <c r="BW735" s="2" t="s">
        <v>100</v>
      </c>
      <c r="BX735" s="2" t="s">
        <v>100</v>
      </c>
      <c r="BY735" s="2" t="s">
        <v>112</v>
      </c>
      <c r="BZ735" s="2" t="s">
        <v>100</v>
      </c>
    </row>
    <row r="736">
      <c r="A736" s="2" t="s">
        <v>2719</v>
      </c>
      <c r="B736" s="2" t="s">
        <v>87</v>
      </c>
      <c r="C736" s="2" t="s">
        <v>88</v>
      </c>
      <c r="D736" s="2" t="s">
        <v>2230</v>
      </c>
      <c r="E736" s="2" t="s">
        <v>2656</v>
      </c>
      <c r="F736" s="2" t="s">
        <v>2232</v>
      </c>
      <c r="G736" s="2" t="s">
        <v>2233</v>
      </c>
      <c r="H736" s="2" t="s">
        <v>2234</v>
      </c>
      <c r="I736" s="2" t="s">
        <v>2717</v>
      </c>
      <c r="J736" s="2" t="s">
        <v>785</v>
      </c>
      <c r="K736" s="2" t="s">
        <v>2319</v>
      </c>
      <c r="L736" s="3">
        <v>34.55</v>
      </c>
      <c r="M736" s="3">
        <v>36.28</v>
      </c>
      <c r="N736" s="3">
        <v>69.99</v>
      </c>
      <c r="O736" s="2" t="s">
        <v>97</v>
      </c>
      <c r="P736" s="2" t="s">
        <v>1335</v>
      </c>
      <c r="Q736" s="2" t="s">
        <v>99</v>
      </c>
      <c r="R736" s="2" t="s">
        <v>100</v>
      </c>
      <c r="S736" s="2" t="s">
        <v>2316</v>
      </c>
      <c r="T736" s="2" t="s">
        <v>100</v>
      </c>
      <c r="U736" s="2" t="s">
        <v>1508</v>
      </c>
      <c r="V736" s="2" t="s">
        <v>645</v>
      </c>
      <c r="W736" s="2" t="s">
        <v>104</v>
      </c>
      <c r="X736" s="2" t="s">
        <v>976</v>
      </c>
      <c r="Y736" s="2" t="s">
        <v>695</v>
      </c>
      <c r="Z736" s="4"/>
      <c r="AA736" s="4">
        <f>=ROUNDDOWN({0},0)</f>
      </c>
      <c r="AB736" s="5"/>
      <c r="AC736" s="2" t="s">
        <v>680</v>
      </c>
      <c r="AD736" s="4">
        <v>120</v>
      </c>
      <c r="AE736" s="4">
        <v>360</v>
      </c>
      <c r="AF736" s="6">
        <v>65</v>
      </c>
      <c r="AG736" s="6"/>
      <c r="AH736" s="7">
        <v>0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/>
      <c r="BK736" s="8"/>
      <c r="BL736" s="2" t="s">
        <v>100</v>
      </c>
      <c r="BM736" s="7"/>
      <c r="BN736" s="7"/>
      <c r="BO736" s="4"/>
      <c r="BP736" s="8"/>
      <c r="BQ736" s="4"/>
      <c r="BR736" s="8"/>
      <c r="BS736" s="7"/>
      <c r="BT736" s="7"/>
      <c r="BU736" s="2" t="s">
        <v>1338</v>
      </c>
      <c r="BV736" s="2" t="s">
        <v>97</v>
      </c>
      <c r="BW736" s="2" t="s">
        <v>100</v>
      </c>
      <c r="BX736" s="2" t="s">
        <v>100</v>
      </c>
      <c r="BY736" s="2" t="s">
        <v>112</v>
      </c>
      <c r="BZ736" s="2" t="s">
        <v>100</v>
      </c>
    </row>
    <row r="737">
      <c r="A737" s="2" t="s">
        <v>2720</v>
      </c>
      <c r="B737" s="2" t="s">
        <v>87</v>
      </c>
      <c r="C737" s="2" t="s">
        <v>88</v>
      </c>
      <c r="D737" s="2" t="s">
        <v>2230</v>
      </c>
      <c r="E737" s="2" t="s">
        <v>2656</v>
      </c>
      <c r="F737" s="2" t="s">
        <v>2232</v>
      </c>
      <c r="G737" s="2" t="s">
        <v>2233</v>
      </c>
      <c r="H737" s="2" t="s">
        <v>2234</v>
      </c>
      <c r="I737" s="2" t="s">
        <v>2717</v>
      </c>
      <c r="J737" s="2" t="s">
        <v>795</v>
      </c>
      <c r="K737" s="2" t="s">
        <v>2319</v>
      </c>
      <c r="L737" s="3">
        <v>39.69</v>
      </c>
      <c r="M737" s="3">
        <v>41.67</v>
      </c>
      <c r="N737" s="3">
        <v>79.99</v>
      </c>
      <c r="O737" s="2" t="s">
        <v>97</v>
      </c>
      <c r="P737" s="2" t="s">
        <v>1335</v>
      </c>
      <c r="Q737" s="2" t="s">
        <v>99</v>
      </c>
      <c r="R737" s="2" t="s">
        <v>100</v>
      </c>
      <c r="S737" s="2" t="s">
        <v>2316</v>
      </c>
      <c r="T737" s="2" t="s">
        <v>100</v>
      </c>
      <c r="U737" s="2" t="s">
        <v>1508</v>
      </c>
      <c r="V737" s="2" t="s">
        <v>645</v>
      </c>
      <c r="W737" s="2" t="s">
        <v>104</v>
      </c>
      <c r="X737" s="2" t="s">
        <v>976</v>
      </c>
      <c r="Y737" s="2" t="s">
        <v>695</v>
      </c>
      <c r="Z737" s="4"/>
      <c r="AA737" s="4">
        <f>=ROUNDDOWN({0},0)</f>
      </c>
      <c r="AB737" s="5"/>
      <c r="AC737" s="2" t="s">
        <v>680</v>
      </c>
      <c r="AD737" s="4">
        <v>140</v>
      </c>
      <c r="AE737" s="4">
        <v>440</v>
      </c>
      <c r="AF737" s="6">
        <v>65</v>
      </c>
      <c r="AG737" s="6"/>
      <c r="AH737" s="7">
        <v>0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/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 t="s">
        <v>100</v>
      </c>
      <c r="BJ737" s="4"/>
      <c r="BK737" s="8"/>
      <c r="BL737" s="2" t="s">
        <v>100</v>
      </c>
      <c r="BM737" s="7"/>
      <c r="BN737" s="7"/>
      <c r="BO737" s="4"/>
      <c r="BP737" s="8"/>
      <c r="BQ737" s="4"/>
      <c r="BR737" s="8"/>
      <c r="BS737" s="7"/>
      <c r="BT737" s="7"/>
      <c r="BU737" s="2" t="s">
        <v>1338</v>
      </c>
      <c r="BV737" s="2" t="s">
        <v>97</v>
      </c>
      <c r="BW737" s="2" t="s">
        <v>100</v>
      </c>
      <c r="BX737" s="2" t="s">
        <v>100</v>
      </c>
      <c r="BY737" s="2" t="s">
        <v>112</v>
      </c>
      <c r="BZ737" s="2" t="s">
        <v>100</v>
      </c>
    </row>
    <row r="738">
      <c r="A738" s="2" t="s">
        <v>2721</v>
      </c>
      <c r="B738" s="2" t="s">
        <v>87</v>
      </c>
      <c r="C738" s="2" t="s">
        <v>88</v>
      </c>
      <c r="D738" s="2" t="s">
        <v>2230</v>
      </c>
      <c r="E738" s="2" t="s">
        <v>2656</v>
      </c>
      <c r="F738" s="2" t="s">
        <v>2232</v>
      </c>
      <c r="G738" s="2" t="s">
        <v>2233</v>
      </c>
      <c r="H738" s="2" t="s">
        <v>2234</v>
      </c>
      <c r="I738" s="2" t="s">
        <v>2693</v>
      </c>
      <c r="J738" s="2" t="s">
        <v>673</v>
      </c>
      <c r="K738" s="2" t="s">
        <v>2257</v>
      </c>
      <c r="L738" s="3">
        <v>26.9</v>
      </c>
      <c r="M738" s="3">
        <v>28.24</v>
      </c>
      <c r="N738" s="3">
        <v>54.99</v>
      </c>
      <c r="O738" s="2" t="s">
        <v>97</v>
      </c>
      <c r="P738" s="2" t="s">
        <v>98</v>
      </c>
      <c r="Q738" s="2" t="s">
        <v>99</v>
      </c>
      <c r="R738" s="2" t="s">
        <v>100</v>
      </c>
      <c r="S738" s="2" t="s">
        <v>2722</v>
      </c>
      <c r="T738" s="2" t="s">
        <v>100</v>
      </c>
      <c r="U738" s="2" t="s">
        <v>2150</v>
      </c>
      <c r="V738" s="2" t="s">
        <v>645</v>
      </c>
      <c r="W738" s="2" t="s">
        <v>104</v>
      </c>
      <c r="X738" s="2" t="s">
        <v>976</v>
      </c>
      <c r="Y738" s="2" t="s">
        <v>131</v>
      </c>
      <c r="Z738" s="4">
        <v>205</v>
      </c>
      <c r="AA738" s="4">
        <f>=ROUNDDOWN(12.0588235294118,0)</f>
      </c>
      <c r="AB738" s="5">
        <v>17</v>
      </c>
      <c r="AC738" s="2" t="s">
        <v>680</v>
      </c>
      <c r="AD738" s="4">
        <v>100</v>
      </c>
      <c r="AE738" s="4">
        <v>430</v>
      </c>
      <c r="AF738" s="6">
        <v>65</v>
      </c>
      <c r="AG738" s="6">
        <v>48</v>
      </c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/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16</v>
      </c>
      <c r="BK738" s="8">
        <v>491.56</v>
      </c>
      <c r="BL738" s="2" t="s">
        <v>2723</v>
      </c>
      <c r="BM738" s="7"/>
      <c r="BN738" s="7"/>
      <c r="BO738" s="4"/>
      <c r="BP738" s="8"/>
      <c r="BQ738" s="4"/>
      <c r="BR738" s="8"/>
      <c r="BS738" s="7"/>
      <c r="BT738" s="7"/>
      <c r="BU738" s="2" t="s">
        <v>109</v>
      </c>
      <c r="BV738" s="2" t="s">
        <v>97</v>
      </c>
      <c r="BW738" s="2" t="s">
        <v>137</v>
      </c>
      <c r="BX738" s="2" t="s">
        <v>600</v>
      </c>
      <c r="BY738" s="2" t="s">
        <v>112</v>
      </c>
      <c r="BZ738" s="2" t="s">
        <v>100</v>
      </c>
    </row>
    <row r="739">
      <c r="A739" s="2" t="s">
        <v>2724</v>
      </c>
      <c r="B739" s="2" t="s">
        <v>87</v>
      </c>
      <c r="C739" s="2" t="s">
        <v>88</v>
      </c>
      <c r="D739" s="2" t="s">
        <v>2230</v>
      </c>
      <c r="E739" s="2" t="s">
        <v>2656</v>
      </c>
      <c r="F739" s="2" t="s">
        <v>2232</v>
      </c>
      <c r="G739" s="2" t="s">
        <v>2233</v>
      </c>
      <c r="H739" s="2" t="s">
        <v>2234</v>
      </c>
      <c r="I739" s="2" t="s">
        <v>2693</v>
      </c>
      <c r="J739" s="2" t="s">
        <v>785</v>
      </c>
      <c r="K739" s="2" t="s">
        <v>2257</v>
      </c>
      <c r="L739" s="3">
        <v>34.55</v>
      </c>
      <c r="M739" s="3">
        <v>36.28</v>
      </c>
      <c r="N739" s="3">
        <v>69.99</v>
      </c>
      <c r="O739" s="2" t="s">
        <v>97</v>
      </c>
      <c r="P739" s="2" t="s">
        <v>98</v>
      </c>
      <c r="Q739" s="2" t="s">
        <v>99</v>
      </c>
      <c r="R739" s="2" t="s">
        <v>100</v>
      </c>
      <c r="S739" s="2" t="s">
        <v>2722</v>
      </c>
      <c r="T739" s="2" t="s">
        <v>100</v>
      </c>
      <c r="U739" s="2" t="s">
        <v>1508</v>
      </c>
      <c r="V739" s="2" t="s">
        <v>645</v>
      </c>
      <c r="W739" s="2" t="s">
        <v>104</v>
      </c>
      <c r="X739" s="2" t="s">
        <v>976</v>
      </c>
      <c r="Y739" s="2" t="s">
        <v>131</v>
      </c>
      <c r="Z739" s="4">
        <v>454</v>
      </c>
      <c r="AA739" s="4">
        <f>=ROUNDDOWN(13.3529411764706,0)</f>
      </c>
      <c r="AB739" s="5">
        <v>34</v>
      </c>
      <c r="AC739" s="2" t="s">
        <v>680</v>
      </c>
      <c r="AD739" s="4">
        <v>100</v>
      </c>
      <c r="AE739" s="4">
        <v>720</v>
      </c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/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 t="s">
        <v>100</v>
      </c>
      <c r="BJ739" s="4">
        <v>28</v>
      </c>
      <c r="BK739" s="8">
        <v>1022.87</v>
      </c>
      <c r="BL739" s="2" t="s">
        <v>2725</v>
      </c>
      <c r="BM739" s="7"/>
      <c r="BN739" s="7"/>
      <c r="BO739" s="4"/>
      <c r="BP739" s="8"/>
      <c r="BQ739" s="4"/>
      <c r="BR739" s="8"/>
      <c r="BS739" s="7"/>
      <c r="BT739" s="7"/>
      <c r="BU739" s="2" t="s">
        <v>109</v>
      </c>
      <c r="BV739" s="2" t="s">
        <v>97</v>
      </c>
      <c r="BW739" s="2" t="s">
        <v>137</v>
      </c>
      <c r="BX739" s="2" t="s">
        <v>138</v>
      </c>
      <c r="BY739" s="2" t="s">
        <v>112</v>
      </c>
      <c r="BZ739" s="2" t="s">
        <v>100</v>
      </c>
    </row>
    <row r="740">
      <c r="A740" s="2" t="s">
        <v>2726</v>
      </c>
      <c r="B740" s="2" t="s">
        <v>87</v>
      </c>
      <c r="C740" s="2" t="s">
        <v>88</v>
      </c>
      <c r="D740" s="2" t="s">
        <v>2230</v>
      </c>
      <c r="E740" s="2" t="s">
        <v>2656</v>
      </c>
      <c r="F740" s="2" t="s">
        <v>2232</v>
      </c>
      <c r="G740" s="2" t="s">
        <v>2233</v>
      </c>
      <c r="H740" s="2" t="s">
        <v>2234</v>
      </c>
      <c r="I740" s="2" t="s">
        <v>2693</v>
      </c>
      <c r="J740" s="2" t="s">
        <v>795</v>
      </c>
      <c r="K740" s="2" t="s">
        <v>2257</v>
      </c>
      <c r="L740" s="3">
        <v>39.69</v>
      </c>
      <c r="M740" s="3">
        <v>41.67</v>
      </c>
      <c r="N740" s="3">
        <v>79.99</v>
      </c>
      <c r="O740" s="2" t="s">
        <v>97</v>
      </c>
      <c r="P740" s="2" t="s">
        <v>98</v>
      </c>
      <c r="Q740" s="2" t="s">
        <v>99</v>
      </c>
      <c r="R740" s="2" t="s">
        <v>100</v>
      </c>
      <c r="S740" s="2" t="s">
        <v>2722</v>
      </c>
      <c r="T740" s="2" t="s">
        <v>100</v>
      </c>
      <c r="U740" s="2" t="s">
        <v>1508</v>
      </c>
      <c r="V740" s="2" t="s">
        <v>645</v>
      </c>
      <c r="W740" s="2" t="s">
        <v>104</v>
      </c>
      <c r="X740" s="2" t="s">
        <v>976</v>
      </c>
      <c r="Y740" s="2" t="s">
        <v>131</v>
      </c>
      <c r="Z740" s="4">
        <v>582</v>
      </c>
      <c r="AA740" s="4">
        <f>=ROUNDDOWN(12.3829787234043,0)</f>
      </c>
      <c r="AB740" s="5">
        <v>47</v>
      </c>
      <c r="AC740" s="2" t="s">
        <v>680</v>
      </c>
      <c r="AD740" s="4">
        <v>70</v>
      </c>
      <c r="AE740" s="4">
        <v>1150</v>
      </c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43</v>
      </c>
      <c r="BK740" s="8">
        <v>1855.7</v>
      </c>
      <c r="BL740" s="2" t="s">
        <v>2727</v>
      </c>
      <c r="BM740" s="7"/>
      <c r="BN740" s="7"/>
      <c r="BO740" s="4"/>
      <c r="BP740" s="8"/>
      <c r="BQ740" s="4"/>
      <c r="BR740" s="8"/>
      <c r="BS740" s="7"/>
      <c r="BT740" s="7"/>
      <c r="BU740" s="2" t="s">
        <v>109</v>
      </c>
      <c r="BV740" s="2" t="s">
        <v>97</v>
      </c>
      <c r="BW740" s="2" t="s">
        <v>137</v>
      </c>
      <c r="BX740" s="2" t="s">
        <v>2401</v>
      </c>
      <c r="BY740" s="2" t="s">
        <v>112</v>
      </c>
      <c r="BZ740" s="2" t="s">
        <v>100</v>
      </c>
    </row>
    <row r="741">
      <c r="A741" s="2" t="s">
        <v>2728</v>
      </c>
      <c r="B741" s="2" t="s">
        <v>87</v>
      </c>
      <c r="C741" s="2" t="s">
        <v>88</v>
      </c>
      <c r="D741" s="2" t="s">
        <v>2230</v>
      </c>
      <c r="E741" s="2" t="s">
        <v>2656</v>
      </c>
      <c r="F741" s="2" t="s">
        <v>2232</v>
      </c>
      <c r="G741" s="2" t="s">
        <v>2233</v>
      </c>
      <c r="H741" s="2" t="s">
        <v>2234</v>
      </c>
      <c r="I741" s="2" t="s">
        <v>2693</v>
      </c>
      <c r="J741" s="2" t="s">
        <v>673</v>
      </c>
      <c r="K741" s="2" t="s">
        <v>146</v>
      </c>
      <c r="L741" s="3">
        <v>26.9</v>
      </c>
      <c r="M741" s="3">
        <v>28.24</v>
      </c>
      <c r="N741" s="3">
        <v>54.99</v>
      </c>
      <c r="O741" s="2" t="s">
        <v>97</v>
      </c>
      <c r="P741" s="2" t="s">
        <v>242</v>
      </c>
      <c r="Q741" s="2" t="s">
        <v>99</v>
      </c>
      <c r="R741" s="2" t="s">
        <v>100</v>
      </c>
      <c r="S741" s="2" t="s">
        <v>2308</v>
      </c>
      <c r="T741" s="2" t="s">
        <v>100</v>
      </c>
      <c r="U741" s="2" t="s">
        <v>2150</v>
      </c>
      <c r="V741" s="2" t="s">
        <v>645</v>
      </c>
      <c r="W741" s="2" t="s">
        <v>104</v>
      </c>
      <c r="X741" s="2" t="s">
        <v>976</v>
      </c>
      <c r="Y741" s="2" t="s">
        <v>131</v>
      </c>
      <c r="Z741" s="4">
        <v>74</v>
      </c>
      <c r="AA741" s="4">
        <f>=ROUNDDOWN(10.5714285714286,0)</f>
      </c>
      <c r="AB741" s="5">
        <v>7</v>
      </c>
      <c r="AC741" s="2" t="s">
        <v>107</v>
      </c>
      <c r="AD741" s="4">
        <v>40</v>
      </c>
      <c r="AE741" s="4">
        <v>170</v>
      </c>
      <c r="AF741" s="6">
        <v>65</v>
      </c>
      <c r="AG741" s="6">
        <v>48</v>
      </c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/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11</v>
      </c>
      <c r="BK741" s="8">
        <v>314.4</v>
      </c>
      <c r="BL741" s="2" t="s">
        <v>2274</v>
      </c>
      <c r="BM741" s="7"/>
      <c r="BN741" s="7"/>
      <c r="BO741" s="4"/>
      <c r="BP741" s="8"/>
      <c r="BQ741" s="4"/>
      <c r="BR741" s="8"/>
      <c r="BS741" s="7"/>
      <c r="BT741" s="7"/>
      <c r="BU741" s="2" t="s">
        <v>109</v>
      </c>
      <c r="BV741" s="2" t="s">
        <v>97</v>
      </c>
      <c r="BW741" s="2" t="s">
        <v>122</v>
      </c>
      <c r="BX741" s="2" t="s">
        <v>621</v>
      </c>
      <c r="BY741" s="2" t="s">
        <v>112</v>
      </c>
      <c r="BZ741" s="2" t="s">
        <v>100</v>
      </c>
    </row>
    <row r="742">
      <c r="A742" s="2" t="s">
        <v>2729</v>
      </c>
      <c r="B742" s="2" t="s">
        <v>87</v>
      </c>
      <c r="C742" s="2" t="s">
        <v>88</v>
      </c>
      <c r="D742" s="2" t="s">
        <v>2230</v>
      </c>
      <c r="E742" s="2" t="s">
        <v>2656</v>
      </c>
      <c r="F742" s="2" t="s">
        <v>2232</v>
      </c>
      <c r="G742" s="2" t="s">
        <v>2233</v>
      </c>
      <c r="H742" s="2" t="s">
        <v>2234</v>
      </c>
      <c r="I742" s="2" t="s">
        <v>2693</v>
      </c>
      <c r="J742" s="2" t="s">
        <v>785</v>
      </c>
      <c r="K742" s="2" t="s">
        <v>146</v>
      </c>
      <c r="L742" s="3">
        <v>34.55</v>
      </c>
      <c r="M742" s="3">
        <v>36.28</v>
      </c>
      <c r="N742" s="3">
        <v>69.99</v>
      </c>
      <c r="O742" s="2" t="s">
        <v>97</v>
      </c>
      <c r="P742" s="2" t="s">
        <v>242</v>
      </c>
      <c r="Q742" s="2" t="s">
        <v>99</v>
      </c>
      <c r="R742" s="2" t="s">
        <v>100</v>
      </c>
      <c r="S742" s="2" t="s">
        <v>2308</v>
      </c>
      <c r="T742" s="2" t="s">
        <v>100</v>
      </c>
      <c r="U742" s="2" t="s">
        <v>1508</v>
      </c>
      <c r="V742" s="2" t="s">
        <v>645</v>
      </c>
      <c r="W742" s="2" t="s">
        <v>104</v>
      </c>
      <c r="X742" s="2" t="s">
        <v>976</v>
      </c>
      <c r="Y742" s="2" t="s">
        <v>131</v>
      </c>
      <c r="Z742" s="4">
        <v>367</v>
      </c>
      <c r="AA742" s="4">
        <f>=ROUNDDOWN(18.35,0)</f>
      </c>
      <c r="AB742" s="5">
        <v>20</v>
      </c>
      <c r="AC742" s="2" t="s">
        <v>680</v>
      </c>
      <c r="AD742" s="4">
        <v>30</v>
      </c>
      <c r="AE742" s="4">
        <v>360</v>
      </c>
      <c r="AF742" s="6">
        <v>65</v>
      </c>
      <c r="AG742" s="6">
        <v>48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/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 t="s">
        <v>100</v>
      </c>
      <c r="BJ742" s="4">
        <v>9</v>
      </c>
      <c r="BK742" s="8">
        <v>313.64</v>
      </c>
      <c r="BL742" s="2" t="s">
        <v>830</v>
      </c>
      <c r="BM742" s="7"/>
      <c r="BN742" s="7"/>
      <c r="BO742" s="4"/>
      <c r="BP742" s="8"/>
      <c r="BQ742" s="4"/>
      <c r="BR742" s="8"/>
      <c r="BS742" s="7"/>
      <c r="BT742" s="7"/>
      <c r="BU742" s="2" t="s">
        <v>109</v>
      </c>
      <c r="BV742" s="2" t="s">
        <v>97</v>
      </c>
      <c r="BW742" s="2" t="s">
        <v>122</v>
      </c>
      <c r="BX742" s="2" t="s">
        <v>427</v>
      </c>
      <c r="BY742" s="2" t="s">
        <v>112</v>
      </c>
      <c r="BZ742" s="2" t="s">
        <v>100</v>
      </c>
    </row>
    <row r="743">
      <c r="A743" s="2" t="s">
        <v>2730</v>
      </c>
      <c r="B743" s="2" t="s">
        <v>87</v>
      </c>
      <c r="C743" s="2" t="s">
        <v>88</v>
      </c>
      <c r="D743" s="2" t="s">
        <v>2230</v>
      </c>
      <c r="E743" s="2" t="s">
        <v>2656</v>
      </c>
      <c r="F743" s="2" t="s">
        <v>2232</v>
      </c>
      <c r="G743" s="2" t="s">
        <v>2233</v>
      </c>
      <c r="H743" s="2" t="s">
        <v>2234</v>
      </c>
      <c r="I743" s="2" t="s">
        <v>2693</v>
      </c>
      <c r="J743" s="2" t="s">
        <v>795</v>
      </c>
      <c r="K743" s="2" t="s">
        <v>146</v>
      </c>
      <c r="L743" s="3">
        <v>39.69</v>
      </c>
      <c r="M743" s="3">
        <v>41.67</v>
      </c>
      <c r="N743" s="3">
        <v>79.99</v>
      </c>
      <c r="O743" s="2" t="s">
        <v>97</v>
      </c>
      <c r="P743" s="2" t="s">
        <v>242</v>
      </c>
      <c r="Q743" s="2" t="s">
        <v>99</v>
      </c>
      <c r="R743" s="2" t="s">
        <v>100</v>
      </c>
      <c r="S743" s="2" t="s">
        <v>2308</v>
      </c>
      <c r="T743" s="2" t="s">
        <v>100</v>
      </c>
      <c r="U743" s="2" t="s">
        <v>1508</v>
      </c>
      <c r="V743" s="2" t="s">
        <v>645</v>
      </c>
      <c r="W743" s="2" t="s">
        <v>104</v>
      </c>
      <c r="X743" s="2" t="s">
        <v>976</v>
      </c>
      <c r="Y743" s="2" t="s">
        <v>131</v>
      </c>
      <c r="Z743" s="4">
        <v>299</v>
      </c>
      <c r="AA743" s="4">
        <f>=ROUNDDOWN(14.2380952380952,0)</f>
      </c>
      <c r="AB743" s="5">
        <v>21</v>
      </c>
      <c r="AC743" s="2" t="s">
        <v>165</v>
      </c>
      <c r="AD743" s="4">
        <v>30</v>
      </c>
      <c r="AE743" s="4">
        <v>430</v>
      </c>
      <c r="AF743" s="6">
        <v>65</v>
      </c>
      <c r="AG743" s="6">
        <v>48</v>
      </c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22</v>
      </c>
      <c r="BK743" s="8">
        <v>935.5</v>
      </c>
      <c r="BL743" s="2" t="s">
        <v>2731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97</v>
      </c>
      <c r="BW743" s="2" t="s">
        <v>122</v>
      </c>
      <c r="BX743" s="2" t="s">
        <v>170</v>
      </c>
      <c r="BY743" s="2" t="s">
        <v>112</v>
      </c>
      <c r="BZ743" s="2" t="s">
        <v>100</v>
      </c>
    </row>
    <row r="744">
      <c r="A744" s="2" t="s">
        <v>2732</v>
      </c>
      <c r="B744" s="2" t="s">
        <v>87</v>
      </c>
      <c r="C744" s="2" t="s">
        <v>88</v>
      </c>
      <c r="D744" s="2" t="s">
        <v>2230</v>
      </c>
      <c r="E744" s="2" t="s">
        <v>2656</v>
      </c>
      <c r="F744" s="2" t="s">
        <v>2232</v>
      </c>
      <c r="G744" s="2" t="s">
        <v>2233</v>
      </c>
      <c r="H744" s="2" t="s">
        <v>2234</v>
      </c>
      <c r="I744" s="2" t="s">
        <v>2693</v>
      </c>
      <c r="J744" s="2" t="s">
        <v>673</v>
      </c>
      <c r="K744" s="2" t="s">
        <v>1746</v>
      </c>
      <c r="L744" s="3">
        <v>26.9</v>
      </c>
      <c r="M744" s="3">
        <v>28.24</v>
      </c>
      <c r="N744" s="3">
        <v>54.99</v>
      </c>
      <c r="O744" s="2" t="s">
        <v>97</v>
      </c>
      <c r="P744" s="2" t="s">
        <v>242</v>
      </c>
      <c r="Q744" s="2" t="s">
        <v>99</v>
      </c>
      <c r="R744" s="2" t="s">
        <v>100</v>
      </c>
      <c r="S744" s="2" t="s">
        <v>2733</v>
      </c>
      <c r="T744" s="2" t="s">
        <v>100</v>
      </c>
      <c r="U744" s="2" t="s">
        <v>2150</v>
      </c>
      <c r="V744" s="2" t="s">
        <v>645</v>
      </c>
      <c r="W744" s="2" t="s">
        <v>104</v>
      </c>
      <c r="X744" s="2" t="s">
        <v>976</v>
      </c>
      <c r="Y744" s="2" t="s">
        <v>131</v>
      </c>
      <c r="Z744" s="4">
        <v>198</v>
      </c>
      <c r="AA744" s="4">
        <f>=ROUNDDOWN(24.75,0)</f>
      </c>
      <c r="AB744" s="5">
        <v>8</v>
      </c>
      <c r="AC744" s="2" t="s">
        <v>411</v>
      </c>
      <c r="AD744" s="4">
        <v>30</v>
      </c>
      <c r="AE744" s="4">
        <v>140</v>
      </c>
      <c r="AF744" s="6">
        <v>65</v>
      </c>
      <c r="AG744" s="6">
        <v>48</v>
      </c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6</v>
      </c>
      <c r="BK744" s="8">
        <v>167.88</v>
      </c>
      <c r="BL744" s="2" t="s">
        <v>2734</v>
      </c>
      <c r="BM744" s="7"/>
      <c r="BN744" s="7"/>
      <c r="BO744" s="4"/>
      <c r="BP744" s="8"/>
      <c r="BQ744" s="4"/>
      <c r="BR744" s="8"/>
      <c r="BS744" s="7"/>
      <c r="BT744" s="7"/>
      <c r="BU744" s="2" t="s">
        <v>109</v>
      </c>
      <c r="BV744" s="2" t="s">
        <v>97</v>
      </c>
      <c r="BW744" s="2" t="s">
        <v>137</v>
      </c>
      <c r="BX744" s="2" t="s">
        <v>621</v>
      </c>
      <c r="BY744" s="2" t="s">
        <v>112</v>
      </c>
      <c r="BZ744" s="2" t="s">
        <v>100</v>
      </c>
    </row>
    <row r="745">
      <c r="A745" s="2" t="s">
        <v>2735</v>
      </c>
      <c r="B745" s="2" t="s">
        <v>87</v>
      </c>
      <c r="C745" s="2" t="s">
        <v>88</v>
      </c>
      <c r="D745" s="2" t="s">
        <v>2230</v>
      </c>
      <c r="E745" s="2" t="s">
        <v>2656</v>
      </c>
      <c r="F745" s="2" t="s">
        <v>2232</v>
      </c>
      <c r="G745" s="2" t="s">
        <v>2233</v>
      </c>
      <c r="H745" s="2" t="s">
        <v>2234</v>
      </c>
      <c r="I745" s="2" t="s">
        <v>2693</v>
      </c>
      <c r="J745" s="2" t="s">
        <v>785</v>
      </c>
      <c r="K745" s="2" t="s">
        <v>1746</v>
      </c>
      <c r="L745" s="3">
        <v>34.55</v>
      </c>
      <c r="M745" s="3">
        <v>36.28</v>
      </c>
      <c r="N745" s="3">
        <v>69.99</v>
      </c>
      <c r="O745" s="2" t="s">
        <v>97</v>
      </c>
      <c r="P745" s="2" t="s">
        <v>242</v>
      </c>
      <c r="Q745" s="2" t="s">
        <v>99</v>
      </c>
      <c r="R745" s="2" t="s">
        <v>100</v>
      </c>
      <c r="S745" s="2" t="s">
        <v>2733</v>
      </c>
      <c r="T745" s="2" t="s">
        <v>100</v>
      </c>
      <c r="U745" s="2" t="s">
        <v>1508</v>
      </c>
      <c r="V745" s="2" t="s">
        <v>645</v>
      </c>
      <c r="W745" s="2" t="s">
        <v>104</v>
      </c>
      <c r="X745" s="2" t="s">
        <v>976</v>
      </c>
      <c r="Y745" s="2" t="s">
        <v>131</v>
      </c>
      <c r="Z745" s="4">
        <v>703</v>
      </c>
      <c r="AA745" s="4">
        <f>=ROUNDDOWN(30.5652173913043,0)</f>
      </c>
      <c r="AB745" s="5">
        <v>23</v>
      </c>
      <c r="AC745" s="2" t="s">
        <v>806</v>
      </c>
      <c r="AD745" s="4">
        <v>30</v>
      </c>
      <c r="AE745" s="4">
        <v>110</v>
      </c>
      <c r="AF745" s="6">
        <v>65</v>
      </c>
      <c r="AG745" s="6">
        <v>48</v>
      </c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 t="s">
        <v>100</v>
      </c>
      <c r="AW745" s="8" t="s">
        <v>100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/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 t="s">
        <v>100</v>
      </c>
      <c r="BJ745" s="4">
        <v>15</v>
      </c>
      <c r="BK745" s="8">
        <v>540.96</v>
      </c>
      <c r="BL745" s="2" t="s">
        <v>1195</v>
      </c>
      <c r="BM745" s="7"/>
      <c r="BN745" s="7"/>
      <c r="BO745" s="4"/>
      <c r="BP745" s="8"/>
      <c r="BQ745" s="4"/>
      <c r="BR745" s="8"/>
      <c r="BS745" s="7"/>
      <c r="BT745" s="7"/>
      <c r="BU745" s="2" t="s">
        <v>109</v>
      </c>
      <c r="BV745" s="2" t="s">
        <v>97</v>
      </c>
      <c r="BW745" s="2" t="s">
        <v>137</v>
      </c>
      <c r="BX745" s="2" t="s">
        <v>219</v>
      </c>
      <c r="BY745" s="2" t="s">
        <v>112</v>
      </c>
      <c r="BZ745" s="2" t="s">
        <v>100</v>
      </c>
    </row>
    <row r="746">
      <c r="A746" s="2" t="s">
        <v>2736</v>
      </c>
      <c r="B746" s="2" t="s">
        <v>87</v>
      </c>
      <c r="C746" s="2" t="s">
        <v>88</v>
      </c>
      <c r="D746" s="2" t="s">
        <v>2230</v>
      </c>
      <c r="E746" s="2" t="s">
        <v>2656</v>
      </c>
      <c r="F746" s="2" t="s">
        <v>2232</v>
      </c>
      <c r="G746" s="2" t="s">
        <v>2233</v>
      </c>
      <c r="H746" s="2" t="s">
        <v>2234</v>
      </c>
      <c r="I746" s="2" t="s">
        <v>2693</v>
      </c>
      <c r="J746" s="2" t="s">
        <v>795</v>
      </c>
      <c r="K746" s="2" t="s">
        <v>1746</v>
      </c>
      <c r="L746" s="3">
        <v>39.69</v>
      </c>
      <c r="M746" s="3">
        <v>41.67</v>
      </c>
      <c r="N746" s="3">
        <v>79.99</v>
      </c>
      <c r="O746" s="2" t="s">
        <v>97</v>
      </c>
      <c r="P746" s="2" t="s">
        <v>242</v>
      </c>
      <c r="Q746" s="2" t="s">
        <v>99</v>
      </c>
      <c r="R746" s="2" t="s">
        <v>100</v>
      </c>
      <c r="S746" s="2" t="s">
        <v>2733</v>
      </c>
      <c r="T746" s="2" t="s">
        <v>100</v>
      </c>
      <c r="U746" s="2" t="s">
        <v>1508</v>
      </c>
      <c r="V746" s="2" t="s">
        <v>645</v>
      </c>
      <c r="W746" s="2" t="s">
        <v>104</v>
      </c>
      <c r="X746" s="2" t="s">
        <v>976</v>
      </c>
      <c r="Y746" s="2" t="s">
        <v>131</v>
      </c>
      <c r="Z746" s="4">
        <v>610</v>
      </c>
      <c r="AA746" s="4">
        <f>=ROUNDDOWN(19.0625,0)</f>
      </c>
      <c r="AB746" s="5">
        <v>32</v>
      </c>
      <c r="AC746" s="2" t="s">
        <v>411</v>
      </c>
      <c r="AD746" s="4">
        <v>170</v>
      </c>
      <c r="AE746" s="4">
        <v>540</v>
      </c>
      <c r="AF746" s="6">
        <v>65</v>
      </c>
      <c r="AG746" s="6">
        <v>48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/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18</v>
      </c>
      <c r="BK746" s="8">
        <v>782.91</v>
      </c>
      <c r="BL746" s="2" t="s">
        <v>2737</v>
      </c>
      <c r="BM746" s="7"/>
      <c r="BN746" s="7"/>
      <c r="BO746" s="4"/>
      <c r="BP746" s="8"/>
      <c r="BQ746" s="4"/>
      <c r="BR746" s="8"/>
      <c r="BS746" s="7"/>
      <c r="BT746" s="7"/>
      <c r="BU746" s="2" t="s">
        <v>109</v>
      </c>
      <c r="BV746" s="2" t="s">
        <v>97</v>
      </c>
      <c r="BW746" s="2" t="s">
        <v>137</v>
      </c>
      <c r="BX746" s="2" t="s">
        <v>2738</v>
      </c>
      <c r="BY746" s="2" t="s">
        <v>112</v>
      </c>
      <c r="BZ746" s="2" t="s">
        <v>100</v>
      </c>
    </row>
    <row r="747">
      <c r="A747" s="2" t="s">
        <v>2739</v>
      </c>
      <c r="B747" s="2" t="s">
        <v>87</v>
      </c>
      <c r="C747" s="2" t="s">
        <v>88</v>
      </c>
      <c r="D747" s="2" t="s">
        <v>2230</v>
      </c>
      <c r="E747" s="2" t="s">
        <v>2656</v>
      </c>
      <c r="F747" s="2" t="s">
        <v>2232</v>
      </c>
      <c r="G747" s="2" t="s">
        <v>2233</v>
      </c>
      <c r="H747" s="2" t="s">
        <v>2234</v>
      </c>
      <c r="I747" s="2" t="s">
        <v>2693</v>
      </c>
      <c r="J747" s="2" t="s">
        <v>785</v>
      </c>
      <c r="K747" s="2" t="s">
        <v>416</v>
      </c>
      <c r="L747" s="3">
        <v>34.55</v>
      </c>
      <c r="M747" s="3">
        <v>36.28</v>
      </c>
      <c r="N747" s="3">
        <v>69.99</v>
      </c>
      <c r="O747" s="2" t="s">
        <v>97</v>
      </c>
      <c r="P747" s="2" t="s">
        <v>242</v>
      </c>
      <c r="Q747" s="2" t="s">
        <v>99</v>
      </c>
      <c r="R747" s="2" t="s">
        <v>100</v>
      </c>
      <c r="S747" s="2" t="s">
        <v>2284</v>
      </c>
      <c r="T747" s="2" t="s">
        <v>100</v>
      </c>
      <c r="U747" s="2" t="s">
        <v>1508</v>
      </c>
      <c r="V747" s="2" t="s">
        <v>645</v>
      </c>
      <c r="W747" s="2" t="s">
        <v>104</v>
      </c>
      <c r="X747" s="2" t="s">
        <v>976</v>
      </c>
      <c r="Y747" s="2" t="s">
        <v>2290</v>
      </c>
      <c r="Z747" s="4">
        <v>216</v>
      </c>
      <c r="AA747" s="4">
        <f>=ROUNDDOWN(15.4285714285714,0)</f>
      </c>
      <c r="AB747" s="5">
        <v>14</v>
      </c>
      <c r="AC747" s="2" t="s">
        <v>1282</v>
      </c>
      <c r="AD747" s="4">
        <v>40</v>
      </c>
      <c r="AE747" s="4">
        <v>300</v>
      </c>
      <c r="AF747" s="6">
        <v>65</v>
      </c>
      <c r="AG747" s="6">
        <v>48</v>
      </c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12</v>
      </c>
      <c r="BK747" s="8">
        <v>446.42</v>
      </c>
      <c r="BL747" s="2" t="s">
        <v>2740</v>
      </c>
      <c r="BM747" s="7"/>
      <c r="BN747" s="7"/>
      <c r="BO747" s="4"/>
      <c r="BP747" s="8"/>
      <c r="BQ747" s="4"/>
      <c r="BR747" s="8"/>
      <c r="BS747" s="7"/>
      <c r="BT747" s="7"/>
      <c r="BU747" s="2" t="s">
        <v>109</v>
      </c>
      <c r="BV747" s="2" t="s">
        <v>97</v>
      </c>
      <c r="BW747" s="2" t="s">
        <v>1159</v>
      </c>
      <c r="BX747" s="2" t="s">
        <v>2073</v>
      </c>
      <c r="BY747" s="2" t="s">
        <v>112</v>
      </c>
      <c r="BZ747" s="2" t="s">
        <v>100</v>
      </c>
    </row>
    <row r="748">
      <c r="A748" s="2" t="s">
        <v>2741</v>
      </c>
      <c r="B748" s="2" t="s">
        <v>87</v>
      </c>
      <c r="C748" s="2" t="s">
        <v>88</v>
      </c>
      <c r="D748" s="2" t="s">
        <v>2230</v>
      </c>
      <c r="E748" s="2" t="s">
        <v>2656</v>
      </c>
      <c r="F748" s="2" t="s">
        <v>2232</v>
      </c>
      <c r="G748" s="2" t="s">
        <v>2233</v>
      </c>
      <c r="H748" s="2" t="s">
        <v>2234</v>
      </c>
      <c r="I748" s="2" t="s">
        <v>2693</v>
      </c>
      <c r="J748" s="2" t="s">
        <v>795</v>
      </c>
      <c r="K748" s="2" t="s">
        <v>416</v>
      </c>
      <c r="L748" s="3">
        <v>39.69</v>
      </c>
      <c r="M748" s="3">
        <v>41.67</v>
      </c>
      <c r="N748" s="3">
        <v>79.99</v>
      </c>
      <c r="O748" s="2" t="s">
        <v>97</v>
      </c>
      <c r="P748" s="2" t="s">
        <v>242</v>
      </c>
      <c r="Q748" s="2" t="s">
        <v>99</v>
      </c>
      <c r="R748" s="2" t="s">
        <v>100</v>
      </c>
      <c r="S748" s="2" t="s">
        <v>2284</v>
      </c>
      <c r="T748" s="2" t="s">
        <v>100</v>
      </c>
      <c r="U748" s="2" t="s">
        <v>1508</v>
      </c>
      <c r="V748" s="2" t="s">
        <v>645</v>
      </c>
      <c r="W748" s="2" t="s">
        <v>104</v>
      </c>
      <c r="X748" s="2" t="s">
        <v>976</v>
      </c>
      <c r="Y748" s="2" t="s">
        <v>2290</v>
      </c>
      <c r="Z748" s="4">
        <v>434</v>
      </c>
      <c r="AA748" s="4">
        <f>=ROUNDDOWN(22.8421052631579,0)</f>
      </c>
      <c r="AB748" s="5">
        <v>19</v>
      </c>
      <c r="AC748" s="2" t="s">
        <v>1282</v>
      </c>
      <c r="AD748" s="4">
        <v>60</v>
      </c>
      <c r="AE748" s="4">
        <v>290</v>
      </c>
      <c r="AF748" s="6">
        <v>65</v>
      </c>
      <c r="AG748" s="6">
        <v>48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/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 t="s">
        <v>100</v>
      </c>
      <c r="BJ748" s="4">
        <v>13</v>
      </c>
      <c r="BK748" s="8">
        <v>538.02</v>
      </c>
      <c r="BL748" s="2" t="s">
        <v>745</v>
      </c>
      <c r="BM748" s="7"/>
      <c r="BN748" s="7"/>
      <c r="BO748" s="4"/>
      <c r="BP748" s="8"/>
      <c r="BQ748" s="4"/>
      <c r="BR748" s="8"/>
      <c r="BS748" s="7"/>
      <c r="BT748" s="7"/>
      <c r="BU748" s="2" t="s">
        <v>109</v>
      </c>
      <c r="BV748" s="2" t="s">
        <v>97</v>
      </c>
      <c r="BW748" s="2" t="s">
        <v>2742</v>
      </c>
      <c r="BX748" s="2" t="s">
        <v>2743</v>
      </c>
      <c r="BY748" s="2" t="s">
        <v>112</v>
      </c>
      <c r="BZ748" s="2" t="s">
        <v>100</v>
      </c>
    </row>
    <row r="749">
      <c r="A749" s="2" t="s">
        <v>2744</v>
      </c>
      <c r="B749" s="2" t="s">
        <v>87</v>
      </c>
      <c r="C749" s="2" t="s">
        <v>88</v>
      </c>
      <c r="D749" s="2" t="s">
        <v>2230</v>
      </c>
      <c r="E749" s="2" t="s">
        <v>2656</v>
      </c>
      <c r="F749" s="2" t="s">
        <v>2232</v>
      </c>
      <c r="G749" s="2" t="s">
        <v>2233</v>
      </c>
      <c r="H749" s="2" t="s">
        <v>2234</v>
      </c>
      <c r="I749" s="2" t="s">
        <v>2693</v>
      </c>
      <c r="J749" s="2" t="s">
        <v>673</v>
      </c>
      <c r="K749" s="2" t="s">
        <v>227</v>
      </c>
      <c r="L749" s="3">
        <v>26.9</v>
      </c>
      <c r="M749" s="3">
        <v>28.24</v>
      </c>
      <c r="N749" s="3">
        <v>54.99</v>
      </c>
      <c r="O749" s="2" t="s">
        <v>97</v>
      </c>
      <c r="P749" s="2" t="s">
        <v>242</v>
      </c>
      <c r="Q749" s="2" t="s">
        <v>99</v>
      </c>
      <c r="R749" s="2" t="s">
        <v>100</v>
      </c>
      <c r="S749" s="2" t="s">
        <v>2745</v>
      </c>
      <c r="T749" s="2" t="s">
        <v>100</v>
      </c>
      <c r="U749" s="2" t="s">
        <v>2150</v>
      </c>
      <c r="V749" s="2" t="s">
        <v>645</v>
      </c>
      <c r="W749" s="2" t="s">
        <v>104</v>
      </c>
      <c r="X749" s="2" t="s">
        <v>976</v>
      </c>
      <c r="Y749" s="2" t="s">
        <v>131</v>
      </c>
      <c r="Z749" s="4">
        <v>83</v>
      </c>
      <c r="AA749" s="4">
        <f>=ROUNDDOWN(6.91666666666667,0)</f>
      </c>
      <c r="AB749" s="5">
        <v>12</v>
      </c>
      <c r="AC749" s="2" t="s">
        <v>680</v>
      </c>
      <c r="AD749" s="4">
        <v>160</v>
      </c>
      <c r="AE749" s="4">
        <v>520</v>
      </c>
      <c r="AF749" s="6">
        <v>65</v>
      </c>
      <c r="AG749" s="6">
        <v>48</v>
      </c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/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6</v>
      </c>
      <c r="BK749" s="8">
        <v>180.59</v>
      </c>
      <c r="BL749" s="2" t="s">
        <v>2746</v>
      </c>
      <c r="BM749" s="7"/>
      <c r="BN749" s="7"/>
      <c r="BO749" s="4"/>
      <c r="BP749" s="8"/>
      <c r="BQ749" s="4"/>
      <c r="BR749" s="8"/>
      <c r="BS749" s="7"/>
      <c r="BT749" s="7"/>
      <c r="BU749" s="2" t="s">
        <v>109</v>
      </c>
      <c r="BV749" s="2" t="s">
        <v>97</v>
      </c>
      <c r="BW749" s="2" t="s">
        <v>137</v>
      </c>
      <c r="BX749" s="2" t="s">
        <v>621</v>
      </c>
      <c r="BY749" s="2" t="s">
        <v>112</v>
      </c>
      <c r="BZ749" s="2" t="s">
        <v>100</v>
      </c>
    </row>
    <row r="750">
      <c r="A750" s="2" t="s">
        <v>2747</v>
      </c>
      <c r="B750" s="2" t="s">
        <v>87</v>
      </c>
      <c r="C750" s="2" t="s">
        <v>88</v>
      </c>
      <c r="D750" s="2" t="s">
        <v>2230</v>
      </c>
      <c r="E750" s="2" t="s">
        <v>2656</v>
      </c>
      <c r="F750" s="2" t="s">
        <v>2232</v>
      </c>
      <c r="G750" s="2" t="s">
        <v>2233</v>
      </c>
      <c r="H750" s="2" t="s">
        <v>2234</v>
      </c>
      <c r="I750" s="2" t="s">
        <v>2693</v>
      </c>
      <c r="J750" s="2" t="s">
        <v>785</v>
      </c>
      <c r="K750" s="2" t="s">
        <v>227</v>
      </c>
      <c r="L750" s="3">
        <v>34.55</v>
      </c>
      <c r="M750" s="3">
        <v>36.28</v>
      </c>
      <c r="N750" s="3">
        <v>69.99</v>
      </c>
      <c r="O750" s="2" t="s">
        <v>97</v>
      </c>
      <c r="P750" s="2" t="s">
        <v>242</v>
      </c>
      <c r="Q750" s="2" t="s">
        <v>99</v>
      </c>
      <c r="R750" s="2" t="s">
        <v>100</v>
      </c>
      <c r="S750" s="2" t="s">
        <v>2745</v>
      </c>
      <c r="T750" s="2" t="s">
        <v>100</v>
      </c>
      <c r="U750" s="2" t="s">
        <v>1508</v>
      </c>
      <c r="V750" s="2" t="s">
        <v>645</v>
      </c>
      <c r="W750" s="2" t="s">
        <v>104</v>
      </c>
      <c r="X750" s="2" t="s">
        <v>976</v>
      </c>
      <c r="Y750" s="2" t="s">
        <v>131</v>
      </c>
      <c r="Z750" s="4">
        <v>311</v>
      </c>
      <c r="AA750" s="4">
        <f>=ROUNDDOWN(12.9583333333333,0)</f>
      </c>
      <c r="AB750" s="5">
        <v>24</v>
      </c>
      <c r="AC750" s="2" t="s">
        <v>680</v>
      </c>
      <c r="AD750" s="4">
        <v>80</v>
      </c>
      <c r="AE750" s="4">
        <v>550</v>
      </c>
      <c r="AF750" s="6">
        <v>65</v>
      </c>
      <c r="AG750" s="6">
        <v>48</v>
      </c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18</v>
      </c>
      <c r="BK750" s="8">
        <v>651.29</v>
      </c>
      <c r="BL750" s="2" t="s">
        <v>949</v>
      </c>
      <c r="BM750" s="7"/>
      <c r="BN750" s="7"/>
      <c r="BO750" s="4"/>
      <c r="BP750" s="8"/>
      <c r="BQ750" s="4"/>
      <c r="BR750" s="8"/>
      <c r="BS750" s="7"/>
      <c r="BT750" s="7"/>
      <c r="BU750" s="2" t="s">
        <v>109</v>
      </c>
      <c r="BV750" s="2" t="s">
        <v>97</v>
      </c>
      <c r="BW750" s="2" t="s">
        <v>137</v>
      </c>
      <c r="BX750" s="2" t="s">
        <v>2748</v>
      </c>
      <c r="BY750" s="2" t="s">
        <v>112</v>
      </c>
      <c r="BZ750" s="2" t="s">
        <v>100</v>
      </c>
    </row>
    <row r="751">
      <c r="A751" s="2" t="s">
        <v>2749</v>
      </c>
      <c r="B751" s="2" t="s">
        <v>87</v>
      </c>
      <c r="C751" s="2" t="s">
        <v>88</v>
      </c>
      <c r="D751" s="2" t="s">
        <v>2230</v>
      </c>
      <c r="E751" s="2" t="s">
        <v>2656</v>
      </c>
      <c r="F751" s="2" t="s">
        <v>2232</v>
      </c>
      <c r="G751" s="2" t="s">
        <v>2233</v>
      </c>
      <c r="H751" s="2" t="s">
        <v>2234</v>
      </c>
      <c r="I751" s="2" t="s">
        <v>2693</v>
      </c>
      <c r="J751" s="2" t="s">
        <v>795</v>
      </c>
      <c r="K751" s="2" t="s">
        <v>227</v>
      </c>
      <c r="L751" s="3">
        <v>39.69</v>
      </c>
      <c r="M751" s="3">
        <v>41.67</v>
      </c>
      <c r="N751" s="3">
        <v>79.99</v>
      </c>
      <c r="O751" s="2" t="s">
        <v>97</v>
      </c>
      <c r="P751" s="2" t="s">
        <v>242</v>
      </c>
      <c r="Q751" s="2" t="s">
        <v>99</v>
      </c>
      <c r="R751" s="2" t="s">
        <v>100</v>
      </c>
      <c r="S751" s="2" t="s">
        <v>2745</v>
      </c>
      <c r="T751" s="2" t="s">
        <v>100</v>
      </c>
      <c r="U751" s="2" t="s">
        <v>1508</v>
      </c>
      <c r="V751" s="2" t="s">
        <v>645</v>
      </c>
      <c r="W751" s="2" t="s">
        <v>104</v>
      </c>
      <c r="X751" s="2" t="s">
        <v>976</v>
      </c>
      <c r="Y751" s="2" t="s">
        <v>131</v>
      </c>
      <c r="Z751" s="4">
        <v>363</v>
      </c>
      <c r="AA751" s="4">
        <f>=ROUNDDOWN(17.2857142857143,0)</f>
      </c>
      <c r="AB751" s="5">
        <v>21</v>
      </c>
      <c r="AC751" s="2" t="s">
        <v>411</v>
      </c>
      <c r="AD751" s="4">
        <v>50</v>
      </c>
      <c r="AE751" s="4">
        <v>360</v>
      </c>
      <c r="AF751" s="6">
        <v>65</v>
      </c>
      <c r="AG751" s="6">
        <v>48</v>
      </c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/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>
        <v>10</v>
      </c>
      <c r="BK751" s="8">
        <v>430.34</v>
      </c>
      <c r="BL751" s="2" t="s">
        <v>2750</v>
      </c>
      <c r="BM751" s="7"/>
      <c r="BN751" s="7"/>
      <c r="BO751" s="4"/>
      <c r="BP751" s="8"/>
      <c r="BQ751" s="4"/>
      <c r="BR751" s="8"/>
      <c r="BS751" s="7"/>
      <c r="BT751" s="7"/>
      <c r="BU751" s="2" t="s">
        <v>109</v>
      </c>
      <c r="BV751" s="2" t="s">
        <v>97</v>
      </c>
      <c r="BW751" s="2" t="s">
        <v>137</v>
      </c>
      <c r="BX751" s="2" t="s">
        <v>2751</v>
      </c>
      <c r="BY751" s="2" t="s">
        <v>112</v>
      </c>
      <c r="BZ751" s="2" t="s">
        <v>100</v>
      </c>
    </row>
    <row r="752">
      <c r="A752" s="2" t="s">
        <v>2752</v>
      </c>
      <c r="B752" s="2" t="s">
        <v>87</v>
      </c>
      <c r="C752" s="2" t="s">
        <v>88</v>
      </c>
      <c r="D752" s="2" t="s">
        <v>2230</v>
      </c>
      <c r="E752" s="2" t="s">
        <v>2656</v>
      </c>
      <c r="F752" s="2" t="s">
        <v>2132</v>
      </c>
      <c r="G752" s="2" t="s">
        <v>2133</v>
      </c>
      <c r="H752" s="2" t="s">
        <v>2134</v>
      </c>
      <c r="I752" s="2" t="s">
        <v>2753</v>
      </c>
      <c r="J752" s="2" t="s">
        <v>785</v>
      </c>
      <c r="K752" s="2" t="s">
        <v>175</v>
      </c>
      <c r="L752" s="3">
        <v>48</v>
      </c>
      <c r="M752" s="3">
        <v>50.39</v>
      </c>
      <c r="N752" s="3">
        <v>99.99</v>
      </c>
      <c r="O752" s="2" t="s">
        <v>97</v>
      </c>
      <c r="P752" s="2" t="s">
        <v>242</v>
      </c>
      <c r="Q752" s="2" t="s">
        <v>99</v>
      </c>
      <c r="R752" s="2" t="s">
        <v>100</v>
      </c>
      <c r="S752" s="2" t="s">
        <v>2157</v>
      </c>
      <c r="T752" s="2" t="s">
        <v>100</v>
      </c>
      <c r="U752" s="2" t="s">
        <v>1508</v>
      </c>
      <c r="V752" s="2" t="s">
        <v>608</v>
      </c>
      <c r="W752" s="2" t="s">
        <v>646</v>
      </c>
      <c r="X752" s="2" t="s">
        <v>2754</v>
      </c>
      <c r="Y752" s="2" t="s">
        <v>2331</v>
      </c>
      <c r="Z752" s="4">
        <v>1630</v>
      </c>
      <c r="AA752" s="4">
        <f>=ROUNDDOWN(90.5555555555555,0)</f>
      </c>
      <c r="AB752" s="5">
        <v>18</v>
      </c>
      <c r="AC752" s="2" t="s">
        <v>287</v>
      </c>
      <c r="AD752" s="4">
        <v>630</v>
      </c>
      <c r="AE752" s="4">
        <v>1210</v>
      </c>
      <c r="AF752" s="6">
        <v>71</v>
      </c>
      <c r="AG752" s="6">
        <v>79</v>
      </c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>
        <v>2</v>
      </c>
      <c r="AQ752" s="8">
        <v>101.46</v>
      </c>
      <c r="AR752" s="4"/>
      <c r="AS752" s="8"/>
      <c r="AT752" s="7"/>
      <c r="AU752" s="7"/>
      <c r="AV752" s="4">
        <v>2</v>
      </c>
      <c r="AW752" s="8">
        <v>101.46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1</v>
      </c>
      <c r="BC752" s="4">
        <v>4</v>
      </c>
      <c r="BD752" s="8">
        <v>214.18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>
        <v>0.4737</v>
      </c>
      <c r="BJ752" s="4">
        <v>23</v>
      </c>
      <c r="BK752" s="8">
        <v>1189.62</v>
      </c>
      <c r="BL752" s="2" t="s">
        <v>2244</v>
      </c>
      <c r="BM752" s="7">
        <v>0.087</v>
      </c>
      <c r="BN752" s="7">
        <v>0.0853</v>
      </c>
      <c r="BO752" s="4">
        <v>2</v>
      </c>
      <c r="BP752" s="8">
        <v>101.46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110</v>
      </c>
      <c r="BX752" s="2" t="s">
        <v>2162</v>
      </c>
      <c r="BY752" s="2" t="s">
        <v>112</v>
      </c>
      <c r="BZ752" s="2" t="s">
        <v>100</v>
      </c>
    </row>
    <row r="753">
      <c r="A753" s="2" t="s">
        <v>2755</v>
      </c>
      <c r="B753" s="2" t="s">
        <v>87</v>
      </c>
      <c r="C753" s="2" t="s">
        <v>88</v>
      </c>
      <c r="D753" s="2" t="s">
        <v>2230</v>
      </c>
      <c r="E753" s="2" t="s">
        <v>2656</v>
      </c>
      <c r="F753" s="2" t="s">
        <v>2132</v>
      </c>
      <c r="G753" s="2" t="s">
        <v>2133</v>
      </c>
      <c r="H753" s="2" t="s">
        <v>2134</v>
      </c>
      <c r="I753" s="2" t="s">
        <v>2753</v>
      </c>
      <c r="J753" s="2" t="s">
        <v>795</v>
      </c>
      <c r="K753" s="2" t="s">
        <v>175</v>
      </c>
      <c r="L753" s="3">
        <v>57.6</v>
      </c>
      <c r="M753" s="3">
        <v>60.47</v>
      </c>
      <c r="N753" s="3">
        <v>119.99</v>
      </c>
      <c r="O753" s="2" t="s">
        <v>97</v>
      </c>
      <c r="P753" s="2" t="s">
        <v>242</v>
      </c>
      <c r="Q753" s="2" t="s">
        <v>99</v>
      </c>
      <c r="R753" s="2" t="s">
        <v>100</v>
      </c>
      <c r="S753" s="2" t="s">
        <v>2157</v>
      </c>
      <c r="T753" s="2" t="s">
        <v>100</v>
      </c>
      <c r="U753" s="2" t="s">
        <v>1508</v>
      </c>
      <c r="V753" s="2" t="s">
        <v>608</v>
      </c>
      <c r="W753" s="2" t="s">
        <v>646</v>
      </c>
      <c r="X753" s="2" t="s">
        <v>2754</v>
      </c>
      <c r="Y753" s="2" t="s">
        <v>2331</v>
      </c>
      <c r="Z753" s="4">
        <v>1995</v>
      </c>
      <c r="AA753" s="4">
        <f>=ROUNDDOWN(73.8888888888889,0)</f>
      </c>
      <c r="AB753" s="5">
        <v>27</v>
      </c>
      <c r="AC753" s="2" t="s">
        <v>907</v>
      </c>
      <c r="AD753" s="4">
        <v>130</v>
      </c>
      <c r="AE753" s="4">
        <v>650</v>
      </c>
      <c r="AF753" s="6">
        <v>71</v>
      </c>
      <c r="AG753" s="6">
        <v>79</v>
      </c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/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19</v>
      </c>
      <c r="BK753" s="8">
        <v>1179.14</v>
      </c>
      <c r="BL753" s="2" t="s">
        <v>2756</v>
      </c>
      <c r="BM753" s="7"/>
      <c r="BN753" s="7"/>
      <c r="BO753" s="4"/>
      <c r="BP753" s="8"/>
      <c r="BQ753" s="4"/>
      <c r="BR753" s="8"/>
      <c r="BS753" s="7"/>
      <c r="BT753" s="7"/>
      <c r="BU753" s="2" t="s">
        <v>109</v>
      </c>
      <c r="BV753" s="2" t="s">
        <v>97</v>
      </c>
      <c r="BW753" s="2" t="s">
        <v>110</v>
      </c>
      <c r="BX753" s="2" t="s">
        <v>2333</v>
      </c>
      <c r="BY753" s="2" t="s">
        <v>112</v>
      </c>
      <c r="BZ753" s="2" t="s">
        <v>100</v>
      </c>
    </row>
    <row r="754">
      <c r="A754" s="2" t="s">
        <v>2757</v>
      </c>
      <c r="B754" s="2" t="s">
        <v>87</v>
      </c>
      <c r="C754" s="2" t="s">
        <v>88</v>
      </c>
      <c r="D754" s="2" t="s">
        <v>2230</v>
      </c>
      <c r="E754" s="2" t="s">
        <v>2656</v>
      </c>
      <c r="F754" s="2" t="s">
        <v>2132</v>
      </c>
      <c r="G754" s="2" t="s">
        <v>2133</v>
      </c>
      <c r="H754" s="2" t="s">
        <v>2134</v>
      </c>
      <c r="I754" s="2" t="s">
        <v>2753</v>
      </c>
      <c r="J754" s="2" t="s">
        <v>785</v>
      </c>
      <c r="K754" s="2" t="s">
        <v>96</v>
      </c>
      <c r="L754" s="3">
        <v>48</v>
      </c>
      <c r="M754" s="3">
        <v>50.39</v>
      </c>
      <c r="N754" s="3">
        <v>99.99</v>
      </c>
      <c r="O754" s="2" t="s">
        <v>97</v>
      </c>
      <c r="P754" s="2" t="s">
        <v>98</v>
      </c>
      <c r="Q754" s="2" t="s">
        <v>99</v>
      </c>
      <c r="R754" s="2" t="s">
        <v>100</v>
      </c>
      <c r="S754" s="2" t="s">
        <v>2136</v>
      </c>
      <c r="T754" s="2" t="s">
        <v>359</v>
      </c>
      <c r="U754" s="2" t="s">
        <v>1508</v>
      </c>
      <c r="V754" s="2" t="s">
        <v>608</v>
      </c>
      <c r="W754" s="2" t="s">
        <v>646</v>
      </c>
      <c r="X754" s="2" t="s">
        <v>2754</v>
      </c>
      <c r="Y754" s="2" t="s">
        <v>2138</v>
      </c>
      <c r="Z754" s="4">
        <v>892</v>
      </c>
      <c r="AA754" s="4">
        <f>=ROUNDDOWN(52.4705882352941,0)</f>
      </c>
      <c r="AB754" s="5">
        <v>17</v>
      </c>
      <c r="AC754" s="2" t="s">
        <v>860</v>
      </c>
      <c r="AD754" s="4">
        <v>240</v>
      </c>
      <c r="AE754" s="4">
        <v>610</v>
      </c>
      <c r="AF754" s="6">
        <v>71</v>
      </c>
      <c r="AG754" s="6">
        <v>79</v>
      </c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>
        <v>1</v>
      </c>
      <c r="AW754" s="8">
        <v>61.99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/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>
        <v>0.2894</v>
      </c>
      <c r="BJ754" s="4">
        <v>19</v>
      </c>
      <c r="BK754" s="8">
        <v>904.15</v>
      </c>
      <c r="BL754" s="2" t="s">
        <v>710</v>
      </c>
      <c r="BM754" s="7"/>
      <c r="BN754" s="7"/>
      <c r="BO754" s="4"/>
      <c r="BP754" s="8"/>
      <c r="BQ754" s="4"/>
      <c r="BR754" s="8"/>
      <c r="BS754" s="7"/>
      <c r="BT754" s="7"/>
      <c r="BU754" s="2" t="s">
        <v>109</v>
      </c>
      <c r="BV754" s="2" t="s">
        <v>97</v>
      </c>
      <c r="BW754" s="2" t="s">
        <v>326</v>
      </c>
      <c r="BX754" s="2" t="s">
        <v>2758</v>
      </c>
      <c r="BY754" s="2" t="s">
        <v>112</v>
      </c>
      <c r="BZ754" s="2" t="s">
        <v>100</v>
      </c>
    </row>
    <row r="755">
      <c r="A755" s="2" t="s">
        <v>2759</v>
      </c>
      <c r="B755" s="2" t="s">
        <v>87</v>
      </c>
      <c r="C755" s="2" t="s">
        <v>88</v>
      </c>
      <c r="D755" s="2" t="s">
        <v>2230</v>
      </c>
      <c r="E755" s="2" t="s">
        <v>2656</v>
      </c>
      <c r="F755" s="2" t="s">
        <v>2132</v>
      </c>
      <c r="G755" s="2" t="s">
        <v>2133</v>
      </c>
      <c r="H755" s="2" t="s">
        <v>2134</v>
      </c>
      <c r="I755" s="2" t="s">
        <v>2753</v>
      </c>
      <c r="J755" s="2" t="s">
        <v>795</v>
      </c>
      <c r="K755" s="2" t="s">
        <v>96</v>
      </c>
      <c r="L755" s="3">
        <v>57.6</v>
      </c>
      <c r="M755" s="3">
        <v>60.47</v>
      </c>
      <c r="N755" s="3">
        <v>119.99</v>
      </c>
      <c r="O755" s="2" t="s">
        <v>97</v>
      </c>
      <c r="P755" s="2" t="s">
        <v>98</v>
      </c>
      <c r="Q755" s="2" t="s">
        <v>99</v>
      </c>
      <c r="R755" s="2" t="s">
        <v>100</v>
      </c>
      <c r="S755" s="2" t="s">
        <v>2136</v>
      </c>
      <c r="T755" s="2" t="s">
        <v>359</v>
      </c>
      <c r="U755" s="2" t="s">
        <v>1508</v>
      </c>
      <c r="V755" s="2" t="s">
        <v>608</v>
      </c>
      <c r="W755" s="2" t="s">
        <v>646</v>
      </c>
      <c r="X755" s="2" t="s">
        <v>2754</v>
      </c>
      <c r="Y755" s="2" t="s">
        <v>2138</v>
      </c>
      <c r="Z755" s="4">
        <v>817</v>
      </c>
      <c r="AA755" s="4">
        <f>=ROUNDDOWN(74.2727272727273,0)</f>
      </c>
      <c r="AB755" s="5">
        <v>11</v>
      </c>
      <c r="AC755" s="2" t="s">
        <v>100</v>
      </c>
      <c r="AD755" s="4"/>
      <c r="AE755" s="4"/>
      <c r="AF755" s="6">
        <v>71</v>
      </c>
      <c r="AG755" s="6">
        <v>79</v>
      </c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1</v>
      </c>
      <c r="AQ755" s="8">
        <v>61.99</v>
      </c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1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5</v>
      </c>
      <c r="BK755" s="8">
        <v>318.1</v>
      </c>
      <c r="BL755" s="2" t="s">
        <v>2760</v>
      </c>
      <c r="BM755" s="7">
        <v>0.2</v>
      </c>
      <c r="BN755" s="7">
        <v>0.1949</v>
      </c>
      <c r="BO755" s="4">
        <v>1</v>
      </c>
      <c r="BP755" s="8">
        <v>61.99</v>
      </c>
      <c r="BQ755" s="4"/>
      <c r="BR755" s="8"/>
      <c r="BS755" s="7"/>
      <c r="BT755" s="7"/>
      <c r="BU755" s="2" t="s">
        <v>109</v>
      </c>
      <c r="BV755" s="2" t="s">
        <v>97</v>
      </c>
      <c r="BW755" s="2" t="s">
        <v>326</v>
      </c>
      <c r="BX755" s="2" t="s">
        <v>2761</v>
      </c>
      <c r="BY755" s="2" t="s">
        <v>112</v>
      </c>
      <c r="BZ755" s="2" t="s">
        <v>100</v>
      </c>
    </row>
    <row r="756">
      <c r="A756" s="2" t="s">
        <v>2762</v>
      </c>
      <c r="B756" s="2" t="s">
        <v>87</v>
      </c>
      <c r="C756" s="2" t="s">
        <v>88</v>
      </c>
      <c r="D756" s="2" t="s">
        <v>2230</v>
      </c>
      <c r="E756" s="2" t="s">
        <v>2656</v>
      </c>
      <c r="F756" s="2" t="s">
        <v>2132</v>
      </c>
      <c r="G756" s="2" t="s">
        <v>2133</v>
      </c>
      <c r="H756" s="2" t="s">
        <v>2134</v>
      </c>
      <c r="I756" s="2" t="s">
        <v>2753</v>
      </c>
      <c r="J756" s="2" t="s">
        <v>673</v>
      </c>
      <c r="K756" s="2" t="s">
        <v>1834</v>
      </c>
      <c r="L756" s="3">
        <v>36.8</v>
      </c>
      <c r="M756" s="3">
        <v>38.64</v>
      </c>
      <c r="N756" s="3">
        <v>79.99</v>
      </c>
      <c r="O756" s="2" t="s">
        <v>97</v>
      </c>
      <c r="P756" s="2" t="s">
        <v>98</v>
      </c>
      <c r="Q756" s="2" t="s">
        <v>99</v>
      </c>
      <c r="R756" s="2" t="s">
        <v>100</v>
      </c>
      <c r="S756" s="2" t="s">
        <v>2149</v>
      </c>
      <c r="T756" s="2" t="s">
        <v>100</v>
      </c>
      <c r="U756" s="2" t="s">
        <v>2150</v>
      </c>
      <c r="V756" s="2" t="s">
        <v>608</v>
      </c>
      <c r="W756" s="2" t="s">
        <v>646</v>
      </c>
      <c r="X756" s="2" t="s">
        <v>2754</v>
      </c>
      <c r="Y756" s="2" t="s">
        <v>2151</v>
      </c>
      <c r="Z756" s="4">
        <v>778</v>
      </c>
      <c r="AA756" s="4">
        <f>=ROUNDDOWN(111.142857142857,0)</f>
      </c>
      <c r="AB756" s="5">
        <v>7</v>
      </c>
      <c r="AC756" s="2" t="s">
        <v>100</v>
      </c>
      <c r="AD756" s="4"/>
      <c r="AE756" s="4"/>
      <c r="AF756" s="6">
        <v>71</v>
      </c>
      <c r="AG756" s="6">
        <v>79</v>
      </c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>
        <v>1</v>
      </c>
      <c r="AW756" s="8">
        <v>50.73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/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>
        <v>0.2369</v>
      </c>
      <c r="BJ756" s="4">
        <v>3</v>
      </c>
      <c r="BK756" s="8">
        <v>116.47</v>
      </c>
      <c r="BL756" s="2" t="s">
        <v>391</v>
      </c>
      <c r="BM756" s="7"/>
      <c r="BN756" s="7"/>
      <c r="BO756" s="4"/>
      <c r="BP756" s="8"/>
      <c r="BQ756" s="4"/>
      <c r="BR756" s="8"/>
      <c r="BS756" s="7"/>
      <c r="BT756" s="7"/>
      <c r="BU756" s="2" t="s">
        <v>109</v>
      </c>
      <c r="BV756" s="2" t="s">
        <v>97</v>
      </c>
      <c r="BW756" s="2" t="s">
        <v>110</v>
      </c>
      <c r="BX756" s="2" t="s">
        <v>505</v>
      </c>
      <c r="BY756" s="2" t="s">
        <v>112</v>
      </c>
      <c r="BZ756" s="2" t="s">
        <v>100</v>
      </c>
    </row>
    <row r="757">
      <c r="A757" s="2" t="s">
        <v>2763</v>
      </c>
      <c r="B757" s="2" t="s">
        <v>87</v>
      </c>
      <c r="C757" s="2" t="s">
        <v>88</v>
      </c>
      <c r="D757" s="2" t="s">
        <v>2230</v>
      </c>
      <c r="E757" s="2" t="s">
        <v>2656</v>
      </c>
      <c r="F757" s="2" t="s">
        <v>2132</v>
      </c>
      <c r="G757" s="2" t="s">
        <v>2133</v>
      </c>
      <c r="H757" s="2" t="s">
        <v>2134</v>
      </c>
      <c r="I757" s="2" t="s">
        <v>2753</v>
      </c>
      <c r="J757" s="2" t="s">
        <v>785</v>
      </c>
      <c r="K757" s="2" t="s">
        <v>1834</v>
      </c>
      <c r="L757" s="3">
        <v>48</v>
      </c>
      <c r="M757" s="3">
        <v>50.39</v>
      </c>
      <c r="N757" s="3">
        <v>99.99</v>
      </c>
      <c r="O757" s="2" t="s">
        <v>97</v>
      </c>
      <c r="P757" s="2" t="s">
        <v>98</v>
      </c>
      <c r="Q757" s="2" t="s">
        <v>99</v>
      </c>
      <c r="R757" s="2" t="s">
        <v>100</v>
      </c>
      <c r="S757" s="2" t="s">
        <v>2149</v>
      </c>
      <c r="T757" s="2" t="s">
        <v>359</v>
      </c>
      <c r="U757" s="2" t="s">
        <v>1508</v>
      </c>
      <c r="V757" s="2" t="s">
        <v>608</v>
      </c>
      <c r="W757" s="2" t="s">
        <v>646</v>
      </c>
      <c r="X757" s="2" t="s">
        <v>2754</v>
      </c>
      <c r="Y757" s="2" t="s">
        <v>2138</v>
      </c>
      <c r="Z757" s="4">
        <v>1672</v>
      </c>
      <c r="AA757" s="4">
        <f>=ROUNDDOWN(88,0)</f>
      </c>
      <c r="AB757" s="5">
        <v>19</v>
      </c>
      <c r="AC757" s="2" t="s">
        <v>100</v>
      </c>
      <c r="AD757" s="4"/>
      <c r="AE757" s="4"/>
      <c r="AF757" s="6">
        <v>71</v>
      </c>
      <c r="AG757" s="6">
        <v>79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1</v>
      </c>
      <c r="AQ757" s="8">
        <v>50.73</v>
      </c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1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24</v>
      </c>
      <c r="BK757" s="8">
        <v>1160.06</v>
      </c>
      <c r="BL757" s="2" t="s">
        <v>2764</v>
      </c>
      <c r="BM757" s="7">
        <v>0.0417</v>
      </c>
      <c r="BN757" s="7">
        <v>0.0437</v>
      </c>
      <c r="BO757" s="4">
        <v>1</v>
      </c>
      <c r="BP757" s="8">
        <v>50.73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326</v>
      </c>
      <c r="BX757" s="2" t="s">
        <v>2758</v>
      </c>
      <c r="BY757" s="2" t="s">
        <v>112</v>
      </c>
      <c r="BZ757" s="2" t="s">
        <v>100</v>
      </c>
    </row>
    <row r="758">
      <c r="A758" s="2" t="s">
        <v>2765</v>
      </c>
      <c r="B758" s="2" t="s">
        <v>87</v>
      </c>
      <c r="C758" s="2" t="s">
        <v>88</v>
      </c>
      <c r="D758" s="2" t="s">
        <v>2230</v>
      </c>
      <c r="E758" s="2" t="s">
        <v>2656</v>
      </c>
      <c r="F758" s="2" t="s">
        <v>2132</v>
      </c>
      <c r="G758" s="2" t="s">
        <v>2133</v>
      </c>
      <c r="H758" s="2" t="s">
        <v>2134</v>
      </c>
      <c r="I758" s="2" t="s">
        <v>2753</v>
      </c>
      <c r="J758" s="2" t="s">
        <v>795</v>
      </c>
      <c r="K758" s="2" t="s">
        <v>1834</v>
      </c>
      <c r="L758" s="3">
        <v>57.6</v>
      </c>
      <c r="M758" s="3">
        <v>60.47</v>
      </c>
      <c r="N758" s="3">
        <v>119.99</v>
      </c>
      <c r="O758" s="2" t="s">
        <v>97</v>
      </c>
      <c r="P758" s="2" t="s">
        <v>98</v>
      </c>
      <c r="Q758" s="2" t="s">
        <v>99</v>
      </c>
      <c r="R758" s="2" t="s">
        <v>100</v>
      </c>
      <c r="S758" s="2" t="s">
        <v>2149</v>
      </c>
      <c r="T758" s="2" t="s">
        <v>359</v>
      </c>
      <c r="U758" s="2" t="s">
        <v>1508</v>
      </c>
      <c r="V758" s="2" t="s">
        <v>608</v>
      </c>
      <c r="W758" s="2" t="s">
        <v>646</v>
      </c>
      <c r="X758" s="2" t="s">
        <v>2754</v>
      </c>
      <c r="Y758" s="2" t="s">
        <v>2138</v>
      </c>
      <c r="Z758" s="4">
        <v>1863</v>
      </c>
      <c r="AA758" s="4">
        <f>=ROUNDDOWN(109.588235294118,0)</f>
      </c>
      <c r="AB758" s="5">
        <v>17</v>
      </c>
      <c r="AC758" s="2" t="s">
        <v>100</v>
      </c>
      <c r="AD758" s="4"/>
      <c r="AE758" s="4"/>
      <c r="AF758" s="6">
        <v>71</v>
      </c>
      <c r="AG758" s="6">
        <v>79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/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14</v>
      </c>
      <c r="BK758" s="8">
        <v>811.7</v>
      </c>
      <c r="BL758" s="2" t="s">
        <v>2766</v>
      </c>
      <c r="BM758" s="7"/>
      <c r="BN758" s="7"/>
      <c r="BO758" s="4"/>
      <c r="BP758" s="8"/>
      <c r="BQ758" s="4"/>
      <c r="BR758" s="8"/>
      <c r="BS758" s="7"/>
      <c r="BT758" s="7"/>
      <c r="BU758" s="2" t="s">
        <v>109</v>
      </c>
      <c r="BV758" s="2" t="s">
        <v>97</v>
      </c>
      <c r="BW758" s="2" t="s">
        <v>326</v>
      </c>
      <c r="BX758" s="2" t="s">
        <v>2767</v>
      </c>
      <c r="BY758" s="2" t="s">
        <v>112</v>
      </c>
      <c r="BZ758" s="2" t="s">
        <v>100</v>
      </c>
    </row>
    <row r="759">
      <c r="A759" s="2" t="s">
        <v>2768</v>
      </c>
      <c r="B759" s="2" t="s">
        <v>87</v>
      </c>
      <c r="C759" s="2" t="s">
        <v>88</v>
      </c>
      <c r="D759" s="2" t="s">
        <v>2230</v>
      </c>
      <c r="E759" s="2" t="s">
        <v>2656</v>
      </c>
      <c r="F759" s="2" t="s">
        <v>2769</v>
      </c>
      <c r="G759" s="2" t="s">
        <v>2770</v>
      </c>
      <c r="H759" s="2" t="s">
        <v>2771</v>
      </c>
      <c r="I759" s="2" t="s">
        <v>2772</v>
      </c>
      <c r="J759" s="2" t="s">
        <v>785</v>
      </c>
      <c r="K759" s="2" t="s">
        <v>2773</v>
      </c>
      <c r="L759" s="3">
        <v>36.8</v>
      </c>
      <c r="M759" s="3">
        <v>38.64</v>
      </c>
      <c r="N759" s="3">
        <v>79.99</v>
      </c>
      <c r="O759" s="2" t="s">
        <v>97</v>
      </c>
      <c r="P759" s="2" t="s">
        <v>98</v>
      </c>
      <c r="Q759" s="2" t="s">
        <v>99</v>
      </c>
      <c r="R759" s="2" t="s">
        <v>100</v>
      </c>
      <c r="S759" s="2" t="s">
        <v>2774</v>
      </c>
      <c r="T759" s="2" t="s">
        <v>787</v>
      </c>
      <c r="U759" s="2" t="s">
        <v>1508</v>
      </c>
      <c r="V759" s="2" t="s">
        <v>1112</v>
      </c>
      <c r="W759" s="2" t="s">
        <v>756</v>
      </c>
      <c r="X759" s="2" t="s">
        <v>678</v>
      </c>
      <c r="Y759" s="2" t="s">
        <v>2775</v>
      </c>
      <c r="Z759" s="4">
        <v>839</v>
      </c>
      <c r="AA759" s="4">
        <f>=ROUNDDOWN(31.0740740740741,0)</f>
      </c>
      <c r="AB759" s="5">
        <v>27</v>
      </c>
      <c r="AC759" s="2" t="s">
        <v>1372</v>
      </c>
      <c r="AD759" s="4">
        <v>420</v>
      </c>
      <c r="AE759" s="4">
        <v>770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>
        <v>1</v>
      </c>
      <c r="AW759" s="8">
        <v>45.09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/>
      <c r="BC759" s="4">
        <v>2</v>
      </c>
      <c r="BD759" s="8">
        <v>84.54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>
        <v>0.5334</v>
      </c>
      <c r="BJ759" s="4">
        <v>22</v>
      </c>
      <c r="BK759" s="8">
        <v>850.85</v>
      </c>
      <c r="BL759" s="2" t="s">
        <v>2776</v>
      </c>
      <c r="BM759" s="7"/>
      <c r="BN759" s="7"/>
      <c r="BO759" s="4"/>
      <c r="BP759" s="8"/>
      <c r="BQ759" s="4"/>
      <c r="BR759" s="8"/>
      <c r="BS759" s="7"/>
      <c r="BT759" s="7"/>
      <c r="BU759" s="2" t="s">
        <v>109</v>
      </c>
      <c r="BV759" s="2" t="s">
        <v>97</v>
      </c>
      <c r="BW759" s="2" t="s">
        <v>1159</v>
      </c>
      <c r="BX759" s="2" t="s">
        <v>1243</v>
      </c>
      <c r="BY759" s="2" t="s">
        <v>112</v>
      </c>
      <c r="BZ759" s="2" t="s">
        <v>100</v>
      </c>
    </row>
    <row r="760">
      <c r="A760" s="2" t="s">
        <v>2777</v>
      </c>
      <c r="B760" s="2" t="s">
        <v>87</v>
      </c>
      <c r="C760" s="2" t="s">
        <v>88</v>
      </c>
      <c r="D760" s="2" t="s">
        <v>2230</v>
      </c>
      <c r="E760" s="2" t="s">
        <v>2656</v>
      </c>
      <c r="F760" s="2" t="s">
        <v>2769</v>
      </c>
      <c r="G760" s="2" t="s">
        <v>2770</v>
      </c>
      <c r="H760" s="2" t="s">
        <v>2771</v>
      </c>
      <c r="I760" s="2" t="s">
        <v>2772</v>
      </c>
      <c r="J760" s="2" t="s">
        <v>795</v>
      </c>
      <c r="K760" s="2" t="s">
        <v>2773</v>
      </c>
      <c r="L760" s="3">
        <v>42.3</v>
      </c>
      <c r="M760" s="3">
        <v>44.41</v>
      </c>
      <c r="N760" s="3">
        <v>89.99</v>
      </c>
      <c r="O760" s="2" t="s">
        <v>97</v>
      </c>
      <c r="P760" s="2" t="s">
        <v>98</v>
      </c>
      <c r="Q760" s="2" t="s">
        <v>99</v>
      </c>
      <c r="R760" s="2" t="s">
        <v>100</v>
      </c>
      <c r="S760" s="2" t="s">
        <v>2774</v>
      </c>
      <c r="T760" s="2" t="s">
        <v>787</v>
      </c>
      <c r="U760" s="2" t="s">
        <v>1508</v>
      </c>
      <c r="V760" s="2" t="s">
        <v>1112</v>
      </c>
      <c r="W760" s="2" t="s">
        <v>756</v>
      </c>
      <c r="X760" s="2" t="s">
        <v>678</v>
      </c>
      <c r="Y760" s="2" t="s">
        <v>2775</v>
      </c>
      <c r="Z760" s="4">
        <v>643</v>
      </c>
      <c r="AA760" s="4">
        <f>=ROUNDDOWN(25.72,0)</f>
      </c>
      <c r="AB760" s="5">
        <v>25</v>
      </c>
      <c r="AC760" s="2" t="s">
        <v>1372</v>
      </c>
      <c r="AD760" s="4">
        <v>660</v>
      </c>
      <c r="AE760" s="4">
        <v>1010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1</v>
      </c>
      <c r="AQ760" s="8">
        <v>45.09</v>
      </c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1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 t="s">
        <v>100</v>
      </c>
      <c r="BJ760" s="4">
        <v>10</v>
      </c>
      <c r="BK760" s="8">
        <v>453.52</v>
      </c>
      <c r="BL760" s="2" t="s">
        <v>2778</v>
      </c>
      <c r="BM760" s="7">
        <v>0.1</v>
      </c>
      <c r="BN760" s="7">
        <v>0.0994</v>
      </c>
      <c r="BO760" s="4">
        <v>1</v>
      </c>
      <c r="BP760" s="8">
        <v>45.09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1159</v>
      </c>
      <c r="BX760" s="2" t="s">
        <v>264</v>
      </c>
      <c r="BY760" s="2" t="s">
        <v>112</v>
      </c>
      <c r="BZ760" s="2" t="s">
        <v>100</v>
      </c>
    </row>
    <row r="761">
      <c r="A761" s="2" t="s">
        <v>2779</v>
      </c>
      <c r="B761" s="2" t="s">
        <v>87</v>
      </c>
      <c r="C761" s="2" t="s">
        <v>88</v>
      </c>
      <c r="D761" s="2" t="s">
        <v>2230</v>
      </c>
      <c r="E761" s="2" t="s">
        <v>2656</v>
      </c>
      <c r="F761" s="2" t="s">
        <v>2769</v>
      </c>
      <c r="G761" s="2" t="s">
        <v>2770</v>
      </c>
      <c r="H761" s="2" t="s">
        <v>2771</v>
      </c>
      <c r="I761" s="2" t="s">
        <v>2772</v>
      </c>
      <c r="J761" s="2" t="s">
        <v>785</v>
      </c>
      <c r="K761" s="2" t="s">
        <v>2780</v>
      </c>
      <c r="L761" s="3">
        <v>36.8</v>
      </c>
      <c r="M761" s="3">
        <v>38.64</v>
      </c>
      <c r="N761" s="3">
        <v>79.99</v>
      </c>
      <c r="O761" s="2" t="s">
        <v>97</v>
      </c>
      <c r="P761" s="2" t="s">
        <v>98</v>
      </c>
      <c r="Q761" s="2" t="s">
        <v>99</v>
      </c>
      <c r="R761" s="2" t="s">
        <v>100</v>
      </c>
      <c r="S761" s="2" t="s">
        <v>2781</v>
      </c>
      <c r="T761" s="2" t="s">
        <v>787</v>
      </c>
      <c r="U761" s="2" t="s">
        <v>1508</v>
      </c>
      <c r="V761" s="2" t="s">
        <v>1112</v>
      </c>
      <c r="W761" s="2" t="s">
        <v>756</v>
      </c>
      <c r="X761" s="2" t="s">
        <v>678</v>
      </c>
      <c r="Y761" s="2" t="s">
        <v>2782</v>
      </c>
      <c r="Z761" s="4">
        <v>684</v>
      </c>
      <c r="AA761" s="4">
        <f>=ROUNDDOWN(27.36,0)</f>
      </c>
      <c r="AB761" s="5">
        <v>25</v>
      </c>
      <c r="AC761" s="2" t="s">
        <v>287</v>
      </c>
      <c r="AD761" s="4">
        <v>240</v>
      </c>
      <c r="AE761" s="4">
        <v>1270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1</v>
      </c>
      <c r="AQ761" s="8">
        <v>39.45</v>
      </c>
      <c r="AR761" s="4"/>
      <c r="AS761" s="8"/>
      <c r="AT761" s="7"/>
      <c r="AU761" s="7"/>
      <c r="AV761" s="4">
        <v>1</v>
      </c>
      <c r="AW761" s="8">
        <v>39.45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1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>
        <v>0.4666</v>
      </c>
      <c r="BJ761" s="4">
        <v>18</v>
      </c>
      <c r="BK761" s="8">
        <v>700.88</v>
      </c>
      <c r="BL761" s="2" t="s">
        <v>997</v>
      </c>
      <c r="BM761" s="7">
        <v>0.0556</v>
      </c>
      <c r="BN761" s="7">
        <v>0.0563</v>
      </c>
      <c r="BO761" s="4">
        <v>1</v>
      </c>
      <c r="BP761" s="8">
        <v>39.45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270</v>
      </c>
      <c r="BX761" s="2" t="s">
        <v>2783</v>
      </c>
      <c r="BY761" s="2" t="s">
        <v>112</v>
      </c>
      <c r="BZ761" s="2" t="s">
        <v>100</v>
      </c>
    </row>
    <row r="762">
      <c r="A762" s="2" t="s">
        <v>2784</v>
      </c>
      <c r="B762" s="2" t="s">
        <v>87</v>
      </c>
      <c r="C762" s="2" t="s">
        <v>88</v>
      </c>
      <c r="D762" s="2" t="s">
        <v>2230</v>
      </c>
      <c r="E762" s="2" t="s">
        <v>2656</v>
      </c>
      <c r="F762" s="2" t="s">
        <v>2769</v>
      </c>
      <c r="G762" s="2" t="s">
        <v>2770</v>
      </c>
      <c r="H762" s="2" t="s">
        <v>2771</v>
      </c>
      <c r="I762" s="2" t="s">
        <v>2772</v>
      </c>
      <c r="J762" s="2" t="s">
        <v>795</v>
      </c>
      <c r="K762" s="2" t="s">
        <v>2780</v>
      </c>
      <c r="L762" s="3">
        <v>42.3</v>
      </c>
      <c r="M762" s="3">
        <v>44.41</v>
      </c>
      <c r="N762" s="3">
        <v>89.99</v>
      </c>
      <c r="O762" s="2" t="s">
        <v>97</v>
      </c>
      <c r="P762" s="2" t="s">
        <v>98</v>
      </c>
      <c r="Q762" s="2" t="s">
        <v>99</v>
      </c>
      <c r="R762" s="2" t="s">
        <v>100</v>
      </c>
      <c r="S762" s="2" t="s">
        <v>2781</v>
      </c>
      <c r="T762" s="2" t="s">
        <v>787</v>
      </c>
      <c r="U762" s="2" t="s">
        <v>1508</v>
      </c>
      <c r="V762" s="2" t="s">
        <v>1112</v>
      </c>
      <c r="W762" s="2" t="s">
        <v>756</v>
      </c>
      <c r="X762" s="2" t="s">
        <v>678</v>
      </c>
      <c r="Y762" s="2" t="s">
        <v>2785</v>
      </c>
      <c r="Z762" s="4">
        <v>643</v>
      </c>
      <c r="AA762" s="4">
        <f>=ROUNDDOWN(49.4615384615385,0)</f>
      </c>
      <c r="AB762" s="5">
        <v>13</v>
      </c>
      <c r="AC762" s="2" t="s">
        <v>287</v>
      </c>
      <c r="AD762" s="4">
        <v>360</v>
      </c>
      <c r="AE762" s="4">
        <v>800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/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10</v>
      </c>
      <c r="BK762" s="8">
        <v>429.73</v>
      </c>
      <c r="BL762" s="2" t="s">
        <v>830</v>
      </c>
      <c r="BM762" s="7"/>
      <c r="BN762" s="7"/>
      <c r="BO762" s="4"/>
      <c r="BP762" s="8"/>
      <c r="BQ762" s="4"/>
      <c r="BR762" s="8"/>
      <c r="BS762" s="7"/>
      <c r="BT762" s="7"/>
      <c r="BU762" s="2" t="s">
        <v>109</v>
      </c>
      <c r="BV762" s="2" t="s">
        <v>97</v>
      </c>
      <c r="BW762" s="2" t="s">
        <v>270</v>
      </c>
      <c r="BX762" s="2" t="s">
        <v>1024</v>
      </c>
      <c r="BY762" s="2" t="s">
        <v>112</v>
      </c>
      <c r="BZ762" s="2" t="s">
        <v>100</v>
      </c>
    </row>
    <row r="763">
      <c r="A763" s="2" t="s">
        <v>2786</v>
      </c>
      <c r="B763" s="2" t="s">
        <v>87</v>
      </c>
      <c r="C763" s="2" t="s">
        <v>88</v>
      </c>
      <c r="D763" s="2" t="s">
        <v>2230</v>
      </c>
      <c r="E763" s="2" t="s">
        <v>2656</v>
      </c>
      <c r="F763" s="2" t="s">
        <v>2787</v>
      </c>
      <c r="G763" s="2" t="s">
        <v>2788</v>
      </c>
      <c r="H763" s="2" t="s">
        <v>2789</v>
      </c>
      <c r="I763" s="2" t="s">
        <v>2790</v>
      </c>
      <c r="J763" s="2" t="s">
        <v>785</v>
      </c>
      <c r="K763" s="2" t="s">
        <v>1515</v>
      </c>
      <c r="L763" s="3">
        <v>28.57</v>
      </c>
      <c r="M763" s="3">
        <v>30</v>
      </c>
      <c r="N763" s="3">
        <v>59.99</v>
      </c>
      <c r="O763" s="2" t="s">
        <v>97</v>
      </c>
      <c r="P763" s="2" t="s">
        <v>447</v>
      </c>
      <c r="Q763" s="2" t="s">
        <v>99</v>
      </c>
      <c r="R763" s="2" t="s">
        <v>100</v>
      </c>
      <c r="S763" s="2" t="s">
        <v>2791</v>
      </c>
      <c r="T763" s="2" t="s">
        <v>787</v>
      </c>
      <c r="U763" s="2" t="s">
        <v>1508</v>
      </c>
      <c r="V763" s="2" t="s">
        <v>645</v>
      </c>
      <c r="W763" s="2" t="s">
        <v>976</v>
      </c>
      <c r="X763" s="2" t="s">
        <v>345</v>
      </c>
      <c r="Y763" s="2" t="s">
        <v>2430</v>
      </c>
      <c r="Z763" s="4">
        <v>305</v>
      </c>
      <c r="AA763" s="4">
        <f>=ROUNDDOWN(16.5760869565217,0)</f>
      </c>
      <c r="AB763" s="5">
        <v>18.4</v>
      </c>
      <c r="AC763" s="2" t="s">
        <v>100</v>
      </c>
      <c r="AD763" s="4"/>
      <c r="AE763" s="4"/>
      <c r="AF763" s="6">
        <v>64</v>
      </c>
      <c r="AG763" s="6"/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>
        <v>1</v>
      </c>
      <c r="AW763" s="8">
        <v>36.75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/>
      <c r="BC763" s="4">
        <v>2</v>
      </c>
      <c r="BD763" s="8">
        <v>68.25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>
        <v>0.5385</v>
      </c>
      <c r="BJ763" s="4">
        <v>11</v>
      </c>
      <c r="BK763" s="8">
        <v>195.24</v>
      </c>
      <c r="BL763" s="2" t="s">
        <v>1041</v>
      </c>
      <c r="BM763" s="7"/>
      <c r="BN763" s="7"/>
      <c r="BO763" s="4"/>
      <c r="BP763" s="8"/>
      <c r="BQ763" s="4"/>
      <c r="BR763" s="8"/>
      <c r="BS763" s="7"/>
      <c r="BT763" s="7"/>
      <c r="BU763" s="2" t="s">
        <v>109</v>
      </c>
      <c r="BV763" s="2" t="s">
        <v>97</v>
      </c>
      <c r="BW763" s="2" t="s">
        <v>1518</v>
      </c>
      <c r="BX763" s="2" t="s">
        <v>793</v>
      </c>
      <c r="BY763" s="2" t="s">
        <v>112</v>
      </c>
      <c r="BZ763" s="2" t="s">
        <v>100</v>
      </c>
    </row>
    <row r="764">
      <c r="A764" s="2" t="s">
        <v>2792</v>
      </c>
      <c r="B764" s="2" t="s">
        <v>87</v>
      </c>
      <c r="C764" s="2" t="s">
        <v>88</v>
      </c>
      <c r="D764" s="2" t="s">
        <v>2230</v>
      </c>
      <c r="E764" s="2" t="s">
        <v>2656</v>
      </c>
      <c r="F764" s="2" t="s">
        <v>2787</v>
      </c>
      <c r="G764" s="2" t="s">
        <v>2788</v>
      </c>
      <c r="H764" s="2" t="s">
        <v>2789</v>
      </c>
      <c r="I764" s="2" t="s">
        <v>2790</v>
      </c>
      <c r="J764" s="2" t="s">
        <v>795</v>
      </c>
      <c r="K764" s="2" t="s">
        <v>1515</v>
      </c>
      <c r="L764" s="3">
        <v>33.33</v>
      </c>
      <c r="M764" s="3">
        <v>35</v>
      </c>
      <c r="N764" s="3">
        <v>69.99</v>
      </c>
      <c r="O764" s="2" t="s">
        <v>473</v>
      </c>
      <c r="P764" s="2" t="s">
        <v>447</v>
      </c>
      <c r="Q764" s="2" t="s">
        <v>99</v>
      </c>
      <c r="R764" s="2" t="s">
        <v>100</v>
      </c>
      <c r="S764" s="2" t="s">
        <v>2791</v>
      </c>
      <c r="T764" s="2" t="s">
        <v>787</v>
      </c>
      <c r="U764" s="2" t="s">
        <v>1508</v>
      </c>
      <c r="V764" s="2" t="s">
        <v>645</v>
      </c>
      <c r="W764" s="2" t="s">
        <v>976</v>
      </c>
      <c r="X764" s="2" t="s">
        <v>345</v>
      </c>
      <c r="Y764" s="2" t="s">
        <v>2430</v>
      </c>
      <c r="Z764" s="4">
        <v>536</v>
      </c>
      <c r="AA764" s="4">
        <f>=ROUNDDOWN(30.4545454545455,0)</f>
      </c>
      <c r="AB764" s="5">
        <v>17.6</v>
      </c>
      <c r="AC764" s="2" t="s">
        <v>100</v>
      </c>
      <c r="AD764" s="4"/>
      <c r="AE764" s="4"/>
      <c r="AF764" s="6">
        <v>64</v>
      </c>
      <c r="AG764" s="6"/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1</v>
      </c>
      <c r="AQ764" s="8">
        <v>36.75</v>
      </c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1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 t="s">
        <v>100</v>
      </c>
      <c r="BJ764" s="4">
        <v>10</v>
      </c>
      <c r="BK764" s="8">
        <v>271.74</v>
      </c>
      <c r="BL764" s="2" t="s">
        <v>2793</v>
      </c>
      <c r="BM764" s="7">
        <v>0.1</v>
      </c>
      <c r="BN764" s="7">
        <v>0.1352</v>
      </c>
      <c r="BO764" s="4">
        <v>1</v>
      </c>
      <c r="BP764" s="8">
        <v>36.75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1518</v>
      </c>
      <c r="BX764" s="2" t="s">
        <v>793</v>
      </c>
      <c r="BY764" s="2" t="s">
        <v>112</v>
      </c>
      <c r="BZ764" s="2" t="s">
        <v>100</v>
      </c>
    </row>
    <row r="765">
      <c r="A765" s="2" t="s">
        <v>2794</v>
      </c>
      <c r="B765" s="2" t="s">
        <v>87</v>
      </c>
      <c r="C765" s="2" t="s">
        <v>88</v>
      </c>
      <c r="D765" s="2" t="s">
        <v>2230</v>
      </c>
      <c r="E765" s="2" t="s">
        <v>2656</v>
      </c>
      <c r="F765" s="2" t="s">
        <v>2787</v>
      </c>
      <c r="G765" s="2" t="s">
        <v>2788</v>
      </c>
      <c r="H765" s="2" t="s">
        <v>2789</v>
      </c>
      <c r="I765" s="2" t="s">
        <v>2790</v>
      </c>
      <c r="J765" s="2" t="s">
        <v>785</v>
      </c>
      <c r="K765" s="2" t="s">
        <v>198</v>
      </c>
      <c r="L765" s="3">
        <v>28.57</v>
      </c>
      <c r="M765" s="3">
        <v>30</v>
      </c>
      <c r="N765" s="3">
        <v>59.99</v>
      </c>
      <c r="O765" s="2" t="s">
        <v>473</v>
      </c>
      <c r="P765" s="2" t="s">
        <v>447</v>
      </c>
      <c r="Q765" s="2" t="s">
        <v>99</v>
      </c>
      <c r="R765" s="2" t="s">
        <v>100</v>
      </c>
      <c r="S765" s="2" t="s">
        <v>2795</v>
      </c>
      <c r="T765" s="2" t="s">
        <v>787</v>
      </c>
      <c r="U765" s="2" t="s">
        <v>1508</v>
      </c>
      <c r="V765" s="2" t="s">
        <v>645</v>
      </c>
      <c r="W765" s="2" t="s">
        <v>976</v>
      </c>
      <c r="X765" s="2" t="s">
        <v>345</v>
      </c>
      <c r="Y765" s="2" t="s">
        <v>2430</v>
      </c>
      <c r="Z765" s="4">
        <v>197</v>
      </c>
      <c r="AA765" s="4">
        <f>=ROUNDDOWN(12.3899371069182,0)</f>
      </c>
      <c r="AB765" s="5">
        <v>15.9</v>
      </c>
      <c r="AC765" s="2" t="s">
        <v>100</v>
      </c>
      <c r="AD765" s="4"/>
      <c r="AE765" s="4"/>
      <c r="AF765" s="6">
        <v>64</v>
      </c>
      <c r="AG765" s="6"/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1</v>
      </c>
      <c r="AQ765" s="8">
        <v>31.5</v>
      </c>
      <c r="AR765" s="4"/>
      <c r="AS765" s="8"/>
      <c r="AT765" s="7"/>
      <c r="AU765" s="7"/>
      <c r="AV765" s="4">
        <v>1</v>
      </c>
      <c r="AW765" s="8">
        <v>31.5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1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>
        <v>0.4615</v>
      </c>
      <c r="BJ765" s="4">
        <v>16</v>
      </c>
      <c r="BK765" s="8">
        <v>357.96</v>
      </c>
      <c r="BL765" s="2" t="s">
        <v>2796</v>
      </c>
      <c r="BM765" s="7">
        <v>0.0625</v>
      </c>
      <c r="BN765" s="7">
        <v>0.088</v>
      </c>
      <c r="BO765" s="4">
        <v>1</v>
      </c>
      <c r="BP765" s="8">
        <v>31.5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1518</v>
      </c>
      <c r="BX765" s="2" t="s">
        <v>2797</v>
      </c>
      <c r="BY765" s="2" t="s">
        <v>112</v>
      </c>
      <c r="BZ765" s="2" t="s">
        <v>100</v>
      </c>
    </row>
    <row r="766">
      <c r="A766" s="2" t="s">
        <v>2798</v>
      </c>
      <c r="B766" s="2" t="s">
        <v>87</v>
      </c>
      <c r="C766" s="2" t="s">
        <v>88</v>
      </c>
      <c r="D766" s="2" t="s">
        <v>2230</v>
      </c>
      <c r="E766" s="2" t="s">
        <v>2656</v>
      </c>
      <c r="F766" s="2" t="s">
        <v>2787</v>
      </c>
      <c r="G766" s="2" t="s">
        <v>2788</v>
      </c>
      <c r="H766" s="2" t="s">
        <v>2789</v>
      </c>
      <c r="I766" s="2" t="s">
        <v>2790</v>
      </c>
      <c r="J766" s="2" t="s">
        <v>795</v>
      </c>
      <c r="K766" s="2" t="s">
        <v>198</v>
      </c>
      <c r="L766" s="3">
        <v>33.33</v>
      </c>
      <c r="M766" s="3">
        <v>35</v>
      </c>
      <c r="N766" s="3">
        <v>69.99</v>
      </c>
      <c r="O766" s="2" t="s">
        <v>473</v>
      </c>
      <c r="P766" s="2" t="s">
        <v>447</v>
      </c>
      <c r="Q766" s="2" t="s">
        <v>99</v>
      </c>
      <c r="R766" s="2" t="s">
        <v>100</v>
      </c>
      <c r="S766" s="2" t="s">
        <v>2795</v>
      </c>
      <c r="T766" s="2" t="s">
        <v>787</v>
      </c>
      <c r="U766" s="2" t="s">
        <v>1508</v>
      </c>
      <c r="V766" s="2" t="s">
        <v>645</v>
      </c>
      <c r="W766" s="2" t="s">
        <v>976</v>
      </c>
      <c r="X766" s="2" t="s">
        <v>345</v>
      </c>
      <c r="Y766" s="2" t="s">
        <v>2430</v>
      </c>
      <c r="Z766" s="4">
        <v>345</v>
      </c>
      <c r="AA766" s="4">
        <f>=ROUNDDOWN(35.9375,0)</f>
      </c>
      <c r="AB766" s="5">
        <v>9.6</v>
      </c>
      <c r="AC766" s="2" t="s">
        <v>100</v>
      </c>
      <c r="AD766" s="4"/>
      <c r="AE766" s="4"/>
      <c r="AF766" s="6">
        <v>64</v>
      </c>
      <c r="AG766" s="6"/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/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3</v>
      </c>
      <c r="BK766" s="8">
        <v>61.88</v>
      </c>
      <c r="BL766" s="2" t="s">
        <v>2799</v>
      </c>
      <c r="BM766" s="7"/>
      <c r="BN766" s="7"/>
      <c r="BO766" s="4"/>
      <c r="BP766" s="8"/>
      <c r="BQ766" s="4"/>
      <c r="BR766" s="8"/>
      <c r="BS766" s="7"/>
      <c r="BT766" s="7"/>
      <c r="BU766" s="2" t="s">
        <v>109</v>
      </c>
      <c r="BV766" s="2" t="s">
        <v>97</v>
      </c>
      <c r="BW766" s="2" t="s">
        <v>1518</v>
      </c>
      <c r="BX766" s="2" t="s">
        <v>1569</v>
      </c>
      <c r="BY766" s="2" t="s">
        <v>112</v>
      </c>
      <c r="BZ766" s="2" t="s">
        <v>100</v>
      </c>
    </row>
    <row r="767">
      <c r="A767" s="2" t="s">
        <v>2800</v>
      </c>
      <c r="B767" s="2" t="s">
        <v>87</v>
      </c>
      <c r="C767" s="2" t="s">
        <v>88</v>
      </c>
      <c r="D767" s="2" t="s">
        <v>2230</v>
      </c>
      <c r="E767" s="2" t="s">
        <v>2656</v>
      </c>
      <c r="F767" s="2" t="s">
        <v>2801</v>
      </c>
      <c r="G767" s="2" t="s">
        <v>2802</v>
      </c>
      <c r="H767" s="2" t="s">
        <v>2803</v>
      </c>
      <c r="I767" s="2" t="s">
        <v>2804</v>
      </c>
      <c r="J767" s="2" t="s">
        <v>673</v>
      </c>
      <c r="K767" s="2" t="s">
        <v>185</v>
      </c>
      <c r="L767" s="3">
        <v>28.34</v>
      </c>
      <c r="M767" s="3">
        <v>29.76</v>
      </c>
      <c r="N767" s="3">
        <v>54.99</v>
      </c>
      <c r="O767" s="2" t="s">
        <v>97</v>
      </c>
      <c r="P767" s="2" t="s">
        <v>98</v>
      </c>
      <c r="Q767" s="2" t="s">
        <v>99</v>
      </c>
      <c r="R767" s="2" t="s">
        <v>100</v>
      </c>
      <c r="S767" s="2" t="s">
        <v>2805</v>
      </c>
      <c r="T767" s="2" t="s">
        <v>100</v>
      </c>
      <c r="U767" s="2" t="s">
        <v>2150</v>
      </c>
      <c r="V767" s="2" t="s">
        <v>645</v>
      </c>
      <c r="W767" s="2" t="s">
        <v>976</v>
      </c>
      <c r="X767" s="2" t="s">
        <v>2806</v>
      </c>
      <c r="Y767" s="2" t="s">
        <v>2807</v>
      </c>
      <c r="Z767" s="4">
        <v>141</v>
      </c>
      <c r="AA767" s="4">
        <f>=ROUNDDOWN(17.625,0)</f>
      </c>
      <c r="AB767" s="5">
        <v>8</v>
      </c>
      <c r="AC767" s="2" t="s">
        <v>1962</v>
      </c>
      <c r="AD767" s="4">
        <v>90</v>
      </c>
      <c r="AE767" s="4">
        <v>160</v>
      </c>
      <c r="AF767" s="6">
        <v>65</v>
      </c>
      <c r="AG767" s="6">
        <v>48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>
        <v>1</v>
      </c>
      <c r="AW767" s="8">
        <v>46.97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/>
      <c r="BC767" s="4">
        <v>1</v>
      </c>
      <c r="BD767" s="8">
        <v>46.97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>
        <v>1</v>
      </c>
      <c r="BJ767" s="4">
        <v>9</v>
      </c>
      <c r="BK767" s="8">
        <v>245.13</v>
      </c>
      <c r="BL767" s="2" t="s">
        <v>2808</v>
      </c>
      <c r="BM767" s="7"/>
      <c r="BN767" s="7"/>
      <c r="BO767" s="4"/>
      <c r="BP767" s="8"/>
      <c r="BQ767" s="4"/>
      <c r="BR767" s="8"/>
      <c r="BS767" s="7"/>
      <c r="BT767" s="7"/>
      <c r="BU767" s="2" t="s">
        <v>109</v>
      </c>
      <c r="BV767" s="2" t="s">
        <v>97</v>
      </c>
      <c r="BW767" s="2" t="s">
        <v>326</v>
      </c>
      <c r="BX767" s="2" t="s">
        <v>721</v>
      </c>
      <c r="BY767" s="2" t="s">
        <v>112</v>
      </c>
      <c r="BZ767" s="2" t="s">
        <v>100</v>
      </c>
    </row>
    <row r="768">
      <c r="A768" s="2" t="s">
        <v>2809</v>
      </c>
      <c r="B768" s="2" t="s">
        <v>87</v>
      </c>
      <c r="C768" s="2" t="s">
        <v>88</v>
      </c>
      <c r="D768" s="2" t="s">
        <v>2230</v>
      </c>
      <c r="E768" s="2" t="s">
        <v>2656</v>
      </c>
      <c r="F768" s="2" t="s">
        <v>2801</v>
      </c>
      <c r="G768" s="2" t="s">
        <v>2802</v>
      </c>
      <c r="H768" s="2" t="s">
        <v>2803</v>
      </c>
      <c r="I768" s="2" t="s">
        <v>2810</v>
      </c>
      <c r="J768" s="2" t="s">
        <v>785</v>
      </c>
      <c r="K768" s="2" t="s">
        <v>185</v>
      </c>
      <c r="L768" s="3">
        <v>36.71</v>
      </c>
      <c r="M768" s="3">
        <v>38.55</v>
      </c>
      <c r="N768" s="3">
        <v>69.99</v>
      </c>
      <c r="O768" s="2" t="s">
        <v>97</v>
      </c>
      <c r="P768" s="2" t="s">
        <v>98</v>
      </c>
      <c r="Q768" s="2" t="s">
        <v>99</v>
      </c>
      <c r="R768" s="2" t="s">
        <v>100</v>
      </c>
      <c r="S768" s="2" t="s">
        <v>2805</v>
      </c>
      <c r="T768" s="2" t="s">
        <v>100</v>
      </c>
      <c r="U768" s="2" t="s">
        <v>1508</v>
      </c>
      <c r="V768" s="2" t="s">
        <v>645</v>
      </c>
      <c r="W768" s="2" t="s">
        <v>976</v>
      </c>
      <c r="X768" s="2" t="s">
        <v>2806</v>
      </c>
      <c r="Y768" s="2" t="s">
        <v>2807</v>
      </c>
      <c r="Z768" s="4">
        <v>265</v>
      </c>
      <c r="AA768" s="4">
        <f>=ROUNDDOWN(13.9473684210526,0)</f>
      </c>
      <c r="AB768" s="5">
        <v>19</v>
      </c>
      <c r="AC768" s="2" t="s">
        <v>1962</v>
      </c>
      <c r="AD768" s="4">
        <v>40</v>
      </c>
      <c r="AE768" s="4">
        <v>440</v>
      </c>
      <c r="AF768" s="6">
        <v>65</v>
      </c>
      <c r="AG768" s="6">
        <v>48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 t="s">
        <v>100</v>
      </c>
      <c r="AW768" s="8" t="s">
        <v>100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/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 t="s">
        <v>100</v>
      </c>
      <c r="BJ768" s="4">
        <v>13</v>
      </c>
      <c r="BK768" s="8">
        <v>487.73</v>
      </c>
      <c r="BL768" s="2" t="s">
        <v>2811</v>
      </c>
      <c r="BM768" s="7"/>
      <c r="BN768" s="7"/>
      <c r="BO768" s="4"/>
      <c r="BP768" s="8"/>
      <c r="BQ768" s="4"/>
      <c r="BR768" s="8"/>
      <c r="BS768" s="7"/>
      <c r="BT768" s="7"/>
      <c r="BU768" s="2" t="s">
        <v>109</v>
      </c>
      <c r="BV768" s="2" t="s">
        <v>97</v>
      </c>
      <c r="BW768" s="2" t="s">
        <v>326</v>
      </c>
      <c r="BX768" s="2" t="s">
        <v>2683</v>
      </c>
      <c r="BY768" s="2" t="s">
        <v>112</v>
      </c>
      <c r="BZ768" s="2" t="s">
        <v>100</v>
      </c>
    </row>
    <row r="769">
      <c r="A769" s="2" t="s">
        <v>2812</v>
      </c>
      <c r="B769" s="2" t="s">
        <v>87</v>
      </c>
      <c r="C769" s="2" t="s">
        <v>88</v>
      </c>
      <c r="D769" s="2" t="s">
        <v>2230</v>
      </c>
      <c r="E769" s="2" t="s">
        <v>2656</v>
      </c>
      <c r="F769" s="2" t="s">
        <v>2801</v>
      </c>
      <c r="G769" s="2" t="s">
        <v>2802</v>
      </c>
      <c r="H769" s="2" t="s">
        <v>2803</v>
      </c>
      <c r="I769" s="2" t="s">
        <v>2810</v>
      </c>
      <c r="J769" s="2" t="s">
        <v>795</v>
      </c>
      <c r="K769" s="2" t="s">
        <v>185</v>
      </c>
      <c r="L769" s="3">
        <v>41.03</v>
      </c>
      <c r="M769" s="3">
        <v>43.08</v>
      </c>
      <c r="N769" s="3">
        <v>79.99</v>
      </c>
      <c r="O769" s="2" t="s">
        <v>97</v>
      </c>
      <c r="P769" s="2" t="s">
        <v>98</v>
      </c>
      <c r="Q769" s="2" t="s">
        <v>99</v>
      </c>
      <c r="R769" s="2" t="s">
        <v>100</v>
      </c>
      <c r="S769" s="2" t="s">
        <v>2805</v>
      </c>
      <c r="T769" s="2" t="s">
        <v>100</v>
      </c>
      <c r="U769" s="2" t="s">
        <v>1508</v>
      </c>
      <c r="V769" s="2" t="s">
        <v>645</v>
      </c>
      <c r="W769" s="2" t="s">
        <v>976</v>
      </c>
      <c r="X769" s="2" t="s">
        <v>2806</v>
      </c>
      <c r="Y769" s="2" t="s">
        <v>2807</v>
      </c>
      <c r="Z769" s="4">
        <v>416</v>
      </c>
      <c r="AA769" s="4">
        <f>=ROUNDDOWN(20.8,0)</f>
      </c>
      <c r="AB769" s="5">
        <v>20</v>
      </c>
      <c r="AC769" s="2" t="s">
        <v>324</v>
      </c>
      <c r="AD769" s="4">
        <v>50</v>
      </c>
      <c r="AE769" s="4">
        <v>300</v>
      </c>
      <c r="AF769" s="6">
        <v>65</v>
      </c>
      <c r="AG769" s="6">
        <v>48</v>
      </c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1</v>
      </c>
      <c r="AQ769" s="8">
        <v>46.97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1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26</v>
      </c>
      <c r="BK769" s="8">
        <v>1064.73</v>
      </c>
      <c r="BL769" s="2" t="s">
        <v>2813</v>
      </c>
      <c r="BM769" s="7">
        <v>0.0385</v>
      </c>
      <c r="BN769" s="7">
        <v>0.0441</v>
      </c>
      <c r="BO769" s="4">
        <v>1</v>
      </c>
      <c r="BP769" s="8">
        <v>46.97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326</v>
      </c>
      <c r="BX769" s="2" t="s">
        <v>1360</v>
      </c>
      <c r="BY769" s="2" t="s">
        <v>112</v>
      </c>
      <c r="BZ769" s="2" t="s">
        <v>100</v>
      </c>
    </row>
    <row r="770">
      <c r="A770" s="2" t="s">
        <v>2814</v>
      </c>
      <c r="B770" s="2" t="s">
        <v>87</v>
      </c>
      <c r="C770" s="2" t="s">
        <v>88</v>
      </c>
      <c r="D770" s="2" t="s">
        <v>2230</v>
      </c>
      <c r="E770" s="2" t="s">
        <v>2656</v>
      </c>
      <c r="F770" s="2" t="s">
        <v>2801</v>
      </c>
      <c r="G770" s="2" t="s">
        <v>2802</v>
      </c>
      <c r="H770" s="2" t="s">
        <v>2803</v>
      </c>
      <c r="I770" s="2" t="s">
        <v>2804</v>
      </c>
      <c r="J770" s="2" t="s">
        <v>673</v>
      </c>
      <c r="K770" s="2" t="s">
        <v>146</v>
      </c>
      <c r="L770" s="3">
        <v>28.34</v>
      </c>
      <c r="M770" s="3">
        <v>29.76</v>
      </c>
      <c r="N770" s="3">
        <v>54.99</v>
      </c>
      <c r="O770" s="2" t="s">
        <v>97</v>
      </c>
      <c r="P770" s="2" t="s">
        <v>98</v>
      </c>
      <c r="Q770" s="2" t="s">
        <v>99</v>
      </c>
      <c r="R770" s="2" t="s">
        <v>100</v>
      </c>
      <c r="S770" s="2" t="s">
        <v>2815</v>
      </c>
      <c r="T770" s="2" t="s">
        <v>100</v>
      </c>
      <c r="U770" s="2" t="s">
        <v>2150</v>
      </c>
      <c r="V770" s="2" t="s">
        <v>645</v>
      </c>
      <c r="W770" s="2" t="s">
        <v>976</v>
      </c>
      <c r="X770" s="2" t="s">
        <v>2806</v>
      </c>
      <c r="Y770" s="2" t="s">
        <v>131</v>
      </c>
      <c r="Z770" s="4">
        <v>462</v>
      </c>
      <c r="AA770" s="4">
        <f>=ROUNDDOWN(42,0)</f>
      </c>
      <c r="AB770" s="5">
        <v>11</v>
      </c>
      <c r="AC770" s="2" t="s">
        <v>100</v>
      </c>
      <c r="AD770" s="4"/>
      <c r="AE770" s="4"/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/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7</v>
      </c>
      <c r="BK770" s="8">
        <v>198.38</v>
      </c>
      <c r="BL770" s="2" t="s">
        <v>2816</v>
      </c>
      <c r="BM770" s="7"/>
      <c r="BN770" s="7"/>
      <c r="BO770" s="4"/>
      <c r="BP770" s="8"/>
      <c r="BQ770" s="4"/>
      <c r="BR770" s="8"/>
      <c r="BS770" s="7"/>
      <c r="BT770" s="7"/>
      <c r="BU770" s="2" t="s">
        <v>109</v>
      </c>
      <c r="BV770" s="2" t="s">
        <v>97</v>
      </c>
      <c r="BW770" s="2" t="s">
        <v>117</v>
      </c>
      <c r="BX770" s="2" t="s">
        <v>192</v>
      </c>
      <c r="BY770" s="2" t="s">
        <v>112</v>
      </c>
      <c r="BZ770" s="2" t="s">
        <v>100</v>
      </c>
    </row>
    <row r="771">
      <c r="A771" s="2" t="s">
        <v>2817</v>
      </c>
      <c r="B771" s="2" t="s">
        <v>87</v>
      </c>
      <c r="C771" s="2" t="s">
        <v>88</v>
      </c>
      <c r="D771" s="2" t="s">
        <v>2230</v>
      </c>
      <c r="E771" s="2" t="s">
        <v>2656</v>
      </c>
      <c r="F771" s="2" t="s">
        <v>2801</v>
      </c>
      <c r="G771" s="2" t="s">
        <v>2802</v>
      </c>
      <c r="H771" s="2" t="s">
        <v>2803</v>
      </c>
      <c r="I771" s="2" t="s">
        <v>2810</v>
      </c>
      <c r="J771" s="2" t="s">
        <v>785</v>
      </c>
      <c r="K771" s="2" t="s">
        <v>146</v>
      </c>
      <c r="L771" s="3">
        <v>36.71</v>
      </c>
      <c r="M771" s="3">
        <v>38.55</v>
      </c>
      <c r="N771" s="3">
        <v>69.99</v>
      </c>
      <c r="O771" s="2" t="s">
        <v>97</v>
      </c>
      <c r="P771" s="2" t="s">
        <v>98</v>
      </c>
      <c r="Q771" s="2" t="s">
        <v>99</v>
      </c>
      <c r="R771" s="2" t="s">
        <v>100</v>
      </c>
      <c r="S771" s="2" t="s">
        <v>2815</v>
      </c>
      <c r="T771" s="2" t="s">
        <v>100</v>
      </c>
      <c r="U771" s="2" t="s">
        <v>1508</v>
      </c>
      <c r="V771" s="2" t="s">
        <v>645</v>
      </c>
      <c r="W771" s="2" t="s">
        <v>976</v>
      </c>
      <c r="X771" s="2" t="s">
        <v>2806</v>
      </c>
      <c r="Y771" s="2" t="s">
        <v>131</v>
      </c>
      <c r="Z771" s="4">
        <v>422</v>
      </c>
      <c r="AA771" s="4">
        <f>=ROUNDDOWN(21.1,0)</f>
      </c>
      <c r="AB771" s="5">
        <v>20</v>
      </c>
      <c r="AC771" s="2" t="s">
        <v>324</v>
      </c>
      <c r="AD771" s="4">
        <v>100</v>
      </c>
      <c r="AE771" s="4">
        <v>300</v>
      </c>
      <c r="AF771" s="6">
        <v>65</v>
      </c>
      <c r="AG771" s="6">
        <v>48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/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18</v>
      </c>
      <c r="BK771" s="8">
        <v>661.21</v>
      </c>
      <c r="BL771" s="2" t="s">
        <v>2818</v>
      </c>
      <c r="BM771" s="7"/>
      <c r="BN771" s="7"/>
      <c r="BO771" s="4"/>
      <c r="BP771" s="8"/>
      <c r="BQ771" s="4"/>
      <c r="BR771" s="8"/>
      <c r="BS771" s="7"/>
      <c r="BT771" s="7"/>
      <c r="BU771" s="2" t="s">
        <v>109</v>
      </c>
      <c r="BV771" s="2" t="s">
        <v>97</v>
      </c>
      <c r="BW771" s="2" t="s">
        <v>122</v>
      </c>
      <c r="BX771" s="2" t="s">
        <v>1842</v>
      </c>
      <c r="BY771" s="2" t="s">
        <v>112</v>
      </c>
      <c r="BZ771" s="2" t="s">
        <v>100</v>
      </c>
    </row>
    <row r="772">
      <c r="A772" s="2" t="s">
        <v>2819</v>
      </c>
      <c r="B772" s="2" t="s">
        <v>87</v>
      </c>
      <c r="C772" s="2" t="s">
        <v>88</v>
      </c>
      <c r="D772" s="2" t="s">
        <v>2230</v>
      </c>
      <c r="E772" s="2" t="s">
        <v>2656</v>
      </c>
      <c r="F772" s="2" t="s">
        <v>2801</v>
      </c>
      <c r="G772" s="2" t="s">
        <v>2802</v>
      </c>
      <c r="H772" s="2" t="s">
        <v>2803</v>
      </c>
      <c r="I772" s="2" t="s">
        <v>2810</v>
      </c>
      <c r="J772" s="2" t="s">
        <v>795</v>
      </c>
      <c r="K772" s="2" t="s">
        <v>146</v>
      </c>
      <c r="L772" s="3">
        <v>41.03</v>
      </c>
      <c r="M772" s="3">
        <v>43.08</v>
      </c>
      <c r="N772" s="3">
        <v>79.99</v>
      </c>
      <c r="O772" s="2" t="s">
        <v>97</v>
      </c>
      <c r="P772" s="2" t="s">
        <v>98</v>
      </c>
      <c r="Q772" s="2" t="s">
        <v>99</v>
      </c>
      <c r="R772" s="2" t="s">
        <v>100</v>
      </c>
      <c r="S772" s="2" t="s">
        <v>2815</v>
      </c>
      <c r="T772" s="2" t="s">
        <v>100</v>
      </c>
      <c r="U772" s="2" t="s">
        <v>1508</v>
      </c>
      <c r="V772" s="2" t="s">
        <v>645</v>
      </c>
      <c r="W772" s="2" t="s">
        <v>976</v>
      </c>
      <c r="X772" s="2" t="s">
        <v>2806</v>
      </c>
      <c r="Y772" s="2" t="s">
        <v>131</v>
      </c>
      <c r="Z772" s="4">
        <v>307</v>
      </c>
      <c r="AA772" s="4">
        <f>=ROUNDDOWN(15.35,0)</f>
      </c>
      <c r="AB772" s="5">
        <v>20</v>
      </c>
      <c r="AC772" s="2" t="s">
        <v>324</v>
      </c>
      <c r="AD772" s="4">
        <v>50</v>
      </c>
      <c r="AE772" s="4">
        <v>380</v>
      </c>
      <c r="AF772" s="6">
        <v>65</v>
      </c>
      <c r="AG772" s="6">
        <v>48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/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15</v>
      </c>
      <c r="BK772" s="8">
        <v>617.09</v>
      </c>
      <c r="BL772" s="2" t="s">
        <v>2820</v>
      </c>
      <c r="BM772" s="7"/>
      <c r="BN772" s="7"/>
      <c r="BO772" s="4"/>
      <c r="BP772" s="8"/>
      <c r="BQ772" s="4"/>
      <c r="BR772" s="8"/>
      <c r="BS772" s="7"/>
      <c r="BT772" s="7"/>
      <c r="BU772" s="2" t="s">
        <v>109</v>
      </c>
      <c r="BV772" s="2" t="s">
        <v>97</v>
      </c>
      <c r="BW772" s="2" t="s">
        <v>122</v>
      </c>
      <c r="BX772" s="2" t="s">
        <v>196</v>
      </c>
      <c r="BY772" s="2" t="s">
        <v>112</v>
      </c>
      <c r="BZ772" s="2" t="s">
        <v>100</v>
      </c>
    </row>
    <row r="773">
      <c r="A773" s="2" t="s">
        <v>2821</v>
      </c>
      <c r="B773" s="2" t="s">
        <v>87</v>
      </c>
      <c r="C773" s="2" t="s">
        <v>88</v>
      </c>
      <c r="D773" s="2" t="s">
        <v>2230</v>
      </c>
      <c r="E773" s="2" t="s">
        <v>2656</v>
      </c>
      <c r="F773" s="2" t="s">
        <v>2801</v>
      </c>
      <c r="G773" s="2" t="s">
        <v>2802</v>
      </c>
      <c r="H773" s="2" t="s">
        <v>2803</v>
      </c>
      <c r="I773" s="2" t="s">
        <v>2804</v>
      </c>
      <c r="J773" s="2" t="s">
        <v>673</v>
      </c>
      <c r="K773" s="2" t="s">
        <v>163</v>
      </c>
      <c r="L773" s="3">
        <v>28.34</v>
      </c>
      <c r="M773" s="3">
        <v>29.76</v>
      </c>
      <c r="N773" s="3">
        <v>54.99</v>
      </c>
      <c r="O773" s="2" t="s">
        <v>97</v>
      </c>
      <c r="P773" s="2" t="s">
        <v>98</v>
      </c>
      <c r="Q773" s="2" t="s">
        <v>99</v>
      </c>
      <c r="R773" s="2" t="s">
        <v>100</v>
      </c>
      <c r="S773" s="2" t="s">
        <v>2822</v>
      </c>
      <c r="T773" s="2" t="s">
        <v>100</v>
      </c>
      <c r="U773" s="2" t="s">
        <v>2150</v>
      </c>
      <c r="V773" s="2" t="s">
        <v>645</v>
      </c>
      <c r="W773" s="2" t="s">
        <v>976</v>
      </c>
      <c r="X773" s="2" t="s">
        <v>2806</v>
      </c>
      <c r="Y773" s="2" t="s">
        <v>870</v>
      </c>
      <c r="Z773" s="4">
        <v>207</v>
      </c>
      <c r="AA773" s="4">
        <f>=ROUNDDOWN(11.5,0)</f>
      </c>
      <c r="AB773" s="5">
        <v>18</v>
      </c>
      <c r="AC773" s="2" t="s">
        <v>1962</v>
      </c>
      <c r="AD773" s="4">
        <v>30</v>
      </c>
      <c r="AE773" s="4">
        <v>400</v>
      </c>
      <c r="AF773" s="6">
        <v>65</v>
      </c>
      <c r="AG773" s="6">
        <v>48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/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20</v>
      </c>
      <c r="BK773" s="8">
        <v>549.85</v>
      </c>
      <c r="BL773" s="2" t="s">
        <v>2823</v>
      </c>
      <c r="BM773" s="7"/>
      <c r="BN773" s="7"/>
      <c r="BO773" s="4"/>
      <c r="BP773" s="8"/>
      <c r="BQ773" s="4"/>
      <c r="BR773" s="8"/>
      <c r="BS773" s="7"/>
      <c r="BT773" s="7"/>
      <c r="BU773" s="2" t="s">
        <v>109</v>
      </c>
      <c r="BV773" s="2" t="s">
        <v>97</v>
      </c>
      <c r="BW773" s="2" t="s">
        <v>122</v>
      </c>
      <c r="BX773" s="2" t="s">
        <v>427</v>
      </c>
      <c r="BY773" s="2" t="s">
        <v>112</v>
      </c>
      <c r="BZ773" s="2" t="s">
        <v>100</v>
      </c>
    </row>
    <row r="774">
      <c r="A774" s="2" t="s">
        <v>2824</v>
      </c>
      <c r="B774" s="2" t="s">
        <v>87</v>
      </c>
      <c r="C774" s="2" t="s">
        <v>88</v>
      </c>
      <c r="D774" s="2" t="s">
        <v>2230</v>
      </c>
      <c r="E774" s="2" t="s">
        <v>2656</v>
      </c>
      <c r="F774" s="2" t="s">
        <v>2801</v>
      </c>
      <c r="G774" s="2" t="s">
        <v>2802</v>
      </c>
      <c r="H774" s="2" t="s">
        <v>2803</v>
      </c>
      <c r="I774" s="2" t="s">
        <v>2810</v>
      </c>
      <c r="J774" s="2" t="s">
        <v>785</v>
      </c>
      <c r="K774" s="2" t="s">
        <v>163</v>
      </c>
      <c r="L774" s="3">
        <v>36.71</v>
      </c>
      <c r="M774" s="3">
        <v>38.55</v>
      </c>
      <c r="N774" s="3">
        <v>69.99</v>
      </c>
      <c r="O774" s="2" t="s">
        <v>97</v>
      </c>
      <c r="P774" s="2" t="s">
        <v>98</v>
      </c>
      <c r="Q774" s="2" t="s">
        <v>99</v>
      </c>
      <c r="R774" s="2" t="s">
        <v>100</v>
      </c>
      <c r="S774" s="2" t="s">
        <v>2822</v>
      </c>
      <c r="T774" s="2" t="s">
        <v>100</v>
      </c>
      <c r="U774" s="2" t="s">
        <v>1508</v>
      </c>
      <c r="V774" s="2" t="s">
        <v>645</v>
      </c>
      <c r="W774" s="2" t="s">
        <v>976</v>
      </c>
      <c r="X774" s="2" t="s">
        <v>2806</v>
      </c>
      <c r="Y774" s="2" t="s">
        <v>131</v>
      </c>
      <c r="Z774" s="4">
        <v>490</v>
      </c>
      <c r="AA774" s="4">
        <f>=ROUNDDOWN(23.3333333333333,0)</f>
      </c>
      <c r="AB774" s="5">
        <v>21</v>
      </c>
      <c r="AC774" s="2" t="s">
        <v>615</v>
      </c>
      <c r="AD774" s="4">
        <v>50</v>
      </c>
      <c r="AE774" s="4">
        <v>220</v>
      </c>
      <c r="AF774" s="6">
        <v>65</v>
      </c>
      <c r="AG774" s="6">
        <v>48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/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 t="s">
        <v>100</v>
      </c>
      <c r="BJ774" s="4">
        <v>15</v>
      </c>
      <c r="BK774" s="8">
        <v>560.87</v>
      </c>
      <c r="BL774" s="2" t="s">
        <v>2200</v>
      </c>
      <c r="BM774" s="7"/>
      <c r="BN774" s="7"/>
      <c r="BO774" s="4"/>
      <c r="BP774" s="8"/>
      <c r="BQ774" s="4"/>
      <c r="BR774" s="8"/>
      <c r="BS774" s="7"/>
      <c r="BT774" s="7"/>
      <c r="BU774" s="2" t="s">
        <v>109</v>
      </c>
      <c r="BV774" s="2" t="s">
        <v>97</v>
      </c>
      <c r="BW774" s="2" t="s">
        <v>117</v>
      </c>
      <c r="BX774" s="2" t="s">
        <v>1126</v>
      </c>
      <c r="BY774" s="2" t="s">
        <v>112</v>
      </c>
      <c r="BZ774" s="2" t="s">
        <v>100</v>
      </c>
    </row>
    <row r="775">
      <c r="A775" s="2" t="s">
        <v>2825</v>
      </c>
      <c r="B775" s="2" t="s">
        <v>87</v>
      </c>
      <c r="C775" s="2" t="s">
        <v>88</v>
      </c>
      <c r="D775" s="2" t="s">
        <v>2230</v>
      </c>
      <c r="E775" s="2" t="s">
        <v>2656</v>
      </c>
      <c r="F775" s="2" t="s">
        <v>2801</v>
      </c>
      <c r="G775" s="2" t="s">
        <v>2802</v>
      </c>
      <c r="H775" s="2" t="s">
        <v>2803</v>
      </c>
      <c r="I775" s="2" t="s">
        <v>2810</v>
      </c>
      <c r="J775" s="2" t="s">
        <v>795</v>
      </c>
      <c r="K775" s="2" t="s">
        <v>163</v>
      </c>
      <c r="L775" s="3">
        <v>41.03</v>
      </c>
      <c r="M775" s="3">
        <v>43.08</v>
      </c>
      <c r="N775" s="3">
        <v>79.99</v>
      </c>
      <c r="O775" s="2" t="s">
        <v>97</v>
      </c>
      <c r="P775" s="2" t="s">
        <v>98</v>
      </c>
      <c r="Q775" s="2" t="s">
        <v>99</v>
      </c>
      <c r="R775" s="2" t="s">
        <v>100</v>
      </c>
      <c r="S775" s="2" t="s">
        <v>2822</v>
      </c>
      <c r="T775" s="2" t="s">
        <v>100</v>
      </c>
      <c r="U775" s="2" t="s">
        <v>1508</v>
      </c>
      <c r="V775" s="2" t="s">
        <v>645</v>
      </c>
      <c r="W775" s="2" t="s">
        <v>976</v>
      </c>
      <c r="X775" s="2" t="s">
        <v>2806</v>
      </c>
      <c r="Y775" s="2" t="s">
        <v>131</v>
      </c>
      <c r="Z775" s="4">
        <v>301</v>
      </c>
      <c r="AA775" s="4">
        <f>=ROUNDDOWN(15.8421052631579,0)</f>
      </c>
      <c r="AB775" s="5">
        <v>19</v>
      </c>
      <c r="AC775" s="2" t="s">
        <v>287</v>
      </c>
      <c r="AD775" s="4">
        <v>100</v>
      </c>
      <c r="AE775" s="4">
        <v>400</v>
      </c>
      <c r="AF775" s="6">
        <v>65</v>
      </c>
      <c r="AG775" s="6">
        <v>48</v>
      </c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/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26</v>
      </c>
      <c r="BK775" s="8">
        <v>1089.99</v>
      </c>
      <c r="BL775" s="2" t="s">
        <v>2826</v>
      </c>
      <c r="BM775" s="7"/>
      <c r="BN775" s="7"/>
      <c r="BO775" s="4"/>
      <c r="BP775" s="8"/>
      <c r="BQ775" s="4"/>
      <c r="BR775" s="8"/>
      <c r="BS775" s="7"/>
      <c r="BT775" s="7"/>
      <c r="BU775" s="2" t="s">
        <v>109</v>
      </c>
      <c r="BV775" s="2" t="s">
        <v>97</v>
      </c>
      <c r="BW775" s="2" t="s">
        <v>2827</v>
      </c>
      <c r="BX775" s="2" t="s">
        <v>222</v>
      </c>
      <c r="BY775" s="2" t="s">
        <v>112</v>
      </c>
      <c r="BZ775" s="2" t="s">
        <v>100</v>
      </c>
    </row>
    <row r="776">
      <c r="A776" s="2" t="s">
        <v>2828</v>
      </c>
      <c r="B776" s="2" t="s">
        <v>87</v>
      </c>
      <c r="C776" s="2" t="s">
        <v>88</v>
      </c>
      <c r="D776" s="2" t="s">
        <v>2230</v>
      </c>
      <c r="E776" s="2" t="s">
        <v>2656</v>
      </c>
      <c r="F776" s="2" t="s">
        <v>2801</v>
      </c>
      <c r="G776" s="2" t="s">
        <v>2802</v>
      </c>
      <c r="H776" s="2" t="s">
        <v>2803</v>
      </c>
      <c r="I776" s="2" t="s">
        <v>2804</v>
      </c>
      <c r="J776" s="2" t="s">
        <v>673</v>
      </c>
      <c r="K776" s="2" t="s">
        <v>1515</v>
      </c>
      <c r="L776" s="3">
        <v>28.34</v>
      </c>
      <c r="M776" s="3">
        <v>29.76</v>
      </c>
      <c r="N776" s="3">
        <v>54.99</v>
      </c>
      <c r="O776" s="2" t="s">
        <v>97</v>
      </c>
      <c r="P776" s="2" t="s">
        <v>98</v>
      </c>
      <c r="Q776" s="2" t="s">
        <v>99</v>
      </c>
      <c r="R776" s="2" t="s">
        <v>100</v>
      </c>
      <c r="S776" s="2" t="s">
        <v>2805</v>
      </c>
      <c r="T776" s="2" t="s">
        <v>100</v>
      </c>
      <c r="U776" s="2" t="s">
        <v>2150</v>
      </c>
      <c r="V776" s="2" t="s">
        <v>645</v>
      </c>
      <c r="W776" s="2" t="s">
        <v>976</v>
      </c>
      <c r="X776" s="2" t="s">
        <v>2806</v>
      </c>
      <c r="Y776" s="2" t="s">
        <v>928</v>
      </c>
      <c r="Z776" s="4">
        <v>285</v>
      </c>
      <c r="AA776" s="4">
        <f>=ROUNDDOWN(35.625,0)</f>
      </c>
      <c r="AB776" s="5">
        <v>8</v>
      </c>
      <c r="AC776" s="2" t="s">
        <v>324</v>
      </c>
      <c r="AD776" s="4">
        <v>70</v>
      </c>
      <c r="AE776" s="4">
        <v>70</v>
      </c>
      <c r="AF776" s="6">
        <v>65</v>
      </c>
      <c r="AG776" s="6">
        <v>48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/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 t="s">
        <v>100</v>
      </c>
      <c r="BJ776" s="4">
        <v>8</v>
      </c>
      <c r="BK776" s="8">
        <v>207.07</v>
      </c>
      <c r="BL776" s="2" t="s">
        <v>999</v>
      </c>
      <c r="BM776" s="7"/>
      <c r="BN776" s="7"/>
      <c r="BO776" s="4"/>
      <c r="BP776" s="8"/>
      <c r="BQ776" s="4"/>
      <c r="BR776" s="8"/>
      <c r="BS776" s="7"/>
      <c r="BT776" s="7"/>
      <c r="BU776" s="2" t="s">
        <v>109</v>
      </c>
      <c r="BV776" s="2" t="s">
        <v>97</v>
      </c>
      <c r="BW776" s="2" t="s">
        <v>326</v>
      </c>
      <c r="BX776" s="2" t="s">
        <v>2829</v>
      </c>
      <c r="BY776" s="2" t="s">
        <v>112</v>
      </c>
      <c r="BZ776" s="2" t="s">
        <v>100</v>
      </c>
    </row>
    <row r="777">
      <c r="A777" s="2" t="s">
        <v>2830</v>
      </c>
      <c r="B777" s="2" t="s">
        <v>87</v>
      </c>
      <c r="C777" s="2" t="s">
        <v>88</v>
      </c>
      <c r="D777" s="2" t="s">
        <v>2230</v>
      </c>
      <c r="E777" s="2" t="s">
        <v>2656</v>
      </c>
      <c r="F777" s="2" t="s">
        <v>2801</v>
      </c>
      <c r="G777" s="2" t="s">
        <v>2802</v>
      </c>
      <c r="H777" s="2" t="s">
        <v>2803</v>
      </c>
      <c r="I777" s="2" t="s">
        <v>2810</v>
      </c>
      <c r="J777" s="2" t="s">
        <v>785</v>
      </c>
      <c r="K777" s="2" t="s">
        <v>1515</v>
      </c>
      <c r="L777" s="3">
        <v>36.71</v>
      </c>
      <c r="M777" s="3">
        <v>38.55</v>
      </c>
      <c r="N777" s="3">
        <v>69.99</v>
      </c>
      <c r="O777" s="2" t="s">
        <v>97</v>
      </c>
      <c r="P777" s="2" t="s">
        <v>98</v>
      </c>
      <c r="Q777" s="2" t="s">
        <v>99</v>
      </c>
      <c r="R777" s="2" t="s">
        <v>100</v>
      </c>
      <c r="S777" s="2" t="s">
        <v>2805</v>
      </c>
      <c r="T777" s="2" t="s">
        <v>100</v>
      </c>
      <c r="U777" s="2" t="s">
        <v>1508</v>
      </c>
      <c r="V777" s="2" t="s">
        <v>645</v>
      </c>
      <c r="W777" s="2" t="s">
        <v>976</v>
      </c>
      <c r="X777" s="2" t="s">
        <v>2806</v>
      </c>
      <c r="Y777" s="2" t="s">
        <v>928</v>
      </c>
      <c r="Z777" s="4">
        <v>391</v>
      </c>
      <c r="AA777" s="4">
        <f>=ROUNDDOWN(26.0666666666667,0)</f>
      </c>
      <c r="AB777" s="5">
        <v>15</v>
      </c>
      <c r="AC777" s="2" t="s">
        <v>324</v>
      </c>
      <c r="AD777" s="4">
        <v>90</v>
      </c>
      <c r="AE777" s="4">
        <v>230</v>
      </c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/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13</v>
      </c>
      <c r="BK777" s="8">
        <v>498.61</v>
      </c>
      <c r="BL777" s="2" t="s">
        <v>2831</v>
      </c>
      <c r="BM777" s="7"/>
      <c r="BN777" s="7"/>
      <c r="BO777" s="4"/>
      <c r="BP777" s="8"/>
      <c r="BQ777" s="4"/>
      <c r="BR777" s="8"/>
      <c r="BS777" s="7"/>
      <c r="BT777" s="7"/>
      <c r="BU777" s="2" t="s">
        <v>109</v>
      </c>
      <c r="BV777" s="2" t="s">
        <v>97</v>
      </c>
      <c r="BW777" s="2" t="s">
        <v>1754</v>
      </c>
      <c r="BX777" s="2" t="s">
        <v>327</v>
      </c>
      <c r="BY777" s="2" t="s">
        <v>112</v>
      </c>
      <c r="BZ777" s="2" t="s">
        <v>100</v>
      </c>
    </row>
    <row r="778">
      <c r="A778" s="2" t="s">
        <v>2832</v>
      </c>
      <c r="B778" s="2" t="s">
        <v>87</v>
      </c>
      <c r="C778" s="2" t="s">
        <v>88</v>
      </c>
      <c r="D778" s="2" t="s">
        <v>2230</v>
      </c>
      <c r="E778" s="2" t="s">
        <v>2656</v>
      </c>
      <c r="F778" s="2" t="s">
        <v>2801</v>
      </c>
      <c r="G778" s="2" t="s">
        <v>2802</v>
      </c>
      <c r="H778" s="2" t="s">
        <v>2803</v>
      </c>
      <c r="I778" s="2" t="s">
        <v>2810</v>
      </c>
      <c r="J778" s="2" t="s">
        <v>795</v>
      </c>
      <c r="K778" s="2" t="s">
        <v>1515</v>
      </c>
      <c r="L778" s="3">
        <v>41.03</v>
      </c>
      <c r="M778" s="3">
        <v>43.08</v>
      </c>
      <c r="N778" s="3">
        <v>79.99</v>
      </c>
      <c r="O778" s="2" t="s">
        <v>97</v>
      </c>
      <c r="P778" s="2" t="s">
        <v>98</v>
      </c>
      <c r="Q778" s="2" t="s">
        <v>99</v>
      </c>
      <c r="R778" s="2" t="s">
        <v>100</v>
      </c>
      <c r="S778" s="2" t="s">
        <v>2805</v>
      </c>
      <c r="T778" s="2" t="s">
        <v>100</v>
      </c>
      <c r="U778" s="2" t="s">
        <v>1508</v>
      </c>
      <c r="V778" s="2" t="s">
        <v>645</v>
      </c>
      <c r="W778" s="2" t="s">
        <v>976</v>
      </c>
      <c r="X778" s="2" t="s">
        <v>2806</v>
      </c>
      <c r="Y778" s="2" t="s">
        <v>928</v>
      </c>
      <c r="Z778" s="4">
        <v>418</v>
      </c>
      <c r="AA778" s="4">
        <f>=ROUNDDOWN(20.9,0)</f>
      </c>
      <c r="AB778" s="5">
        <v>20</v>
      </c>
      <c r="AC778" s="2" t="s">
        <v>287</v>
      </c>
      <c r="AD778" s="4">
        <v>120</v>
      </c>
      <c r="AE778" s="4">
        <v>420</v>
      </c>
      <c r="AF778" s="6">
        <v>65</v>
      </c>
      <c r="AG778" s="6">
        <v>48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/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11</v>
      </c>
      <c r="BK778" s="8">
        <v>447.59</v>
      </c>
      <c r="BL778" s="2" t="s">
        <v>2833</v>
      </c>
      <c r="BM778" s="7"/>
      <c r="BN778" s="7"/>
      <c r="BO778" s="4"/>
      <c r="BP778" s="8"/>
      <c r="BQ778" s="4"/>
      <c r="BR778" s="8"/>
      <c r="BS778" s="7"/>
      <c r="BT778" s="7"/>
      <c r="BU778" s="2" t="s">
        <v>109</v>
      </c>
      <c r="BV778" s="2" t="s">
        <v>97</v>
      </c>
      <c r="BW778" s="2" t="s">
        <v>2834</v>
      </c>
      <c r="BX778" s="2" t="s">
        <v>2473</v>
      </c>
      <c r="BY778" s="2" t="s">
        <v>112</v>
      </c>
      <c r="BZ778" s="2" t="s">
        <v>100</v>
      </c>
    </row>
    <row r="779">
      <c r="A779" s="2" t="s">
        <v>2835</v>
      </c>
      <c r="B779" s="2" t="s">
        <v>87</v>
      </c>
      <c r="C779" s="2" t="s">
        <v>88</v>
      </c>
      <c r="D779" s="2" t="s">
        <v>2230</v>
      </c>
      <c r="E779" s="2" t="s">
        <v>2656</v>
      </c>
      <c r="F779" s="2" t="s">
        <v>2801</v>
      </c>
      <c r="G779" s="2" t="s">
        <v>2802</v>
      </c>
      <c r="H779" s="2" t="s">
        <v>2803</v>
      </c>
      <c r="I779" s="2" t="s">
        <v>2804</v>
      </c>
      <c r="J779" s="2" t="s">
        <v>673</v>
      </c>
      <c r="K779" s="2" t="s">
        <v>213</v>
      </c>
      <c r="L779" s="3">
        <v>28.34</v>
      </c>
      <c r="M779" s="3">
        <v>29.76</v>
      </c>
      <c r="N779" s="3">
        <v>54.99</v>
      </c>
      <c r="O779" s="2" t="s">
        <v>97</v>
      </c>
      <c r="P779" s="2" t="s">
        <v>98</v>
      </c>
      <c r="Q779" s="2" t="s">
        <v>99</v>
      </c>
      <c r="R779" s="2" t="s">
        <v>100</v>
      </c>
      <c r="S779" s="2" t="s">
        <v>2836</v>
      </c>
      <c r="T779" s="2" t="s">
        <v>100</v>
      </c>
      <c r="U779" s="2" t="s">
        <v>2150</v>
      </c>
      <c r="V779" s="2" t="s">
        <v>645</v>
      </c>
      <c r="W779" s="2" t="s">
        <v>976</v>
      </c>
      <c r="X779" s="2" t="s">
        <v>2806</v>
      </c>
      <c r="Y779" s="2" t="s">
        <v>131</v>
      </c>
      <c r="Z779" s="4">
        <v>429</v>
      </c>
      <c r="AA779" s="4">
        <f>=ROUNDDOWN(25.2352941176471,0)</f>
      </c>
      <c r="AB779" s="5">
        <v>17</v>
      </c>
      <c r="AC779" s="2" t="s">
        <v>324</v>
      </c>
      <c r="AD779" s="4">
        <v>60</v>
      </c>
      <c r="AE779" s="4">
        <v>120</v>
      </c>
      <c r="AF779" s="6">
        <v>65</v>
      </c>
      <c r="AG779" s="6">
        <v>48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/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8</v>
      </c>
      <c r="BK779" s="8">
        <v>215.24</v>
      </c>
      <c r="BL779" s="2" t="s">
        <v>917</v>
      </c>
      <c r="BM779" s="7"/>
      <c r="BN779" s="7"/>
      <c r="BO779" s="4"/>
      <c r="BP779" s="8"/>
      <c r="BQ779" s="4"/>
      <c r="BR779" s="8"/>
      <c r="BS779" s="7"/>
      <c r="BT779" s="7"/>
      <c r="BU779" s="2" t="s">
        <v>109</v>
      </c>
      <c r="BV779" s="2" t="s">
        <v>97</v>
      </c>
      <c r="BW779" s="2" t="s">
        <v>122</v>
      </c>
      <c r="BX779" s="2" t="s">
        <v>1322</v>
      </c>
      <c r="BY779" s="2" t="s">
        <v>112</v>
      </c>
      <c r="BZ779" s="2" t="s">
        <v>100</v>
      </c>
    </row>
    <row r="780">
      <c r="A780" s="2" t="s">
        <v>2837</v>
      </c>
      <c r="B780" s="2" t="s">
        <v>87</v>
      </c>
      <c r="C780" s="2" t="s">
        <v>88</v>
      </c>
      <c r="D780" s="2" t="s">
        <v>2230</v>
      </c>
      <c r="E780" s="2" t="s">
        <v>2656</v>
      </c>
      <c r="F780" s="2" t="s">
        <v>2801</v>
      </c>
      <c r="G780" s="2" t="s">
        <v>2802</v>
      </c>
      <c r="H780" s="2" t="s">
        <v>2803</v>
      </c>
      <c r="I780" s="2" t="s">
        <v>2810</v>
      </c>
      <c r="J780" s="2" t="s">
        <v>785</v>
      </c>
      <c r="K780" s="2" t="s">
        <v>213</v>
      </c>
      <c r="L780" s="3">
        <v>36.71</v>
      </c>
      <c r="M780" s="3">
        <v>38.55</v>
      </c>
      <c r="N780" s="3">
        <v>69.99</v>
      </c>
      <c r="O780" s="2" t="s">
        <v>97</v>
      </c>
      <c r="P780" s="2" t="s">
        <v>98</v>
      </c>
      <c r="Q780" s="2" t="s">
        <v>99</v>
      </c>
      <c r="R780" s="2" t="s">
        <v>100</v>
      </c>
      <c r="S780" s="2" t="s">
        <v>2836</v>
      </c>
      <c r="T780" s="2" t="s">
        <v>100</v>
      </c>
      <c r="U780" s="2" t="s">
        <v>1508</v>
      </c>
      <c r="V780" s="2" t="s">
        <v>645</v>
      </c>
      <c r="W780" s="2" t="s">
        <v>976</v>
      </c>
      <c r="X780" s="2" t="s">
        <v>2806</v>
      </c>
      <c r="Y780" s="2" t="s">
        <v>131</v>
      </c>
      <c r="Z780" s="4">
        <v>566</v>
      </c>
      <c r="AA780" s="4">
        <f>=ROUNDDOWN(20.2142857142857,0)</f>
      </c>
      <c r="AB780" s="5">
        <v>28</v>
      </c>
      <c r="AC780" s="2" t="s">
        <v>329</v>
      </c>
      <c r="AD780" s="4">
        <v>300</v>
      </c>
      <c r="AE780" s="4">
        <v>300</v>
      </c>
      <c r="AF780" s="6">
        <v>65</v>
      </c>
      <c r="AG780" s="6">
        <v>48</v>
      </c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 t="s">
        <v>100</v>
      </c>
      <c r="BJ780" s="4">
        <v>44</v>
      </c>
      <c r="BK780" s="8">
        <v>1554.01</v>
      </c>
      <c r="BL780" s="2" t="s">
        <v>2838</v>
      </c>
      <c r="BM780" s="7"/>
      <c r="BN780" s="7"/>
      <c r="BO780" s="4"/>
      <c r="BP780" s="8"/>
      <c r="BQ780" s="4"/>
      <c r="BR780" s="8"/>
      <c r="BS780" s="7"/>
      <c r="BT780" s="7"/>
      <c r="BU780" s="2" t="s">
        <v>109</v>
      </c>
      <c r="BV780" s="2" t="s">
        <v>97</v>
      </c>
      <c r="BW780" s="2" t="s">
        <v>122</v>
      </c>
      <c r="BX780" s="2" t="s">
        <v>621</v>
      </c>
      <c r="BY780" s="2" t="s">
        <v>112</v>
      </c>
      <c r="BZ780" s="2" t="s">
        <v>100</v>
      </c>
    </row>
    <row r="781">
      <c r="A781" s="2" t="s">
        <v>2839</v>
      </c>
      <c r="B781" s="2" t="s">
        <v>87</v>
      </c>
      <c r="C781" s="2" t="s">
        <v>88</v>
      </c>
      <c r="D781" s="2" t="s">
        <v>2230</v>
      </c>
      <c r="E781" s="2" t="s">
        <v>2656</v>
      </c>
      <c r="F781" s="2" t="s">
        <v>2801</v>
      </c>
      <c r="G781" s="2" t="s">
        <v>2802</v>
      </c>
      <c r="H781" s="2" t="s">
        <v>2803</v>
      </c>
      <c r="I781" s="2" t="s">
        <v>2810</v>
      </c>
      <c r="J781" s="2" t="s">
        <v>795</v>
      </c>
      <c r="K781" s="2" t="s">
        <v>213</v>
      </c>
      <c r="L781" s="3">
        <v>41.03</v>
      </c>
      <c r="M781" s="3">
        <v>43.08</v>
      </c>
      <c r="N781" s="3">
        <v>79.99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2836</v>
      </c>
      <c r="T781" s="2" t="s">
        <v>100</v>
      </c>
      <c r="U781" s="2" t="s">
        <v>1508</v>
      </c>
      <c r="V781" s="2" t="s">
        <v>645</v>
      </c>
      <c r="W781" s="2" t="s">
        <v>976</v>
      </c>
      <c r="X781" s="2" t="s">
        <v>2806</v>
      </c>
      <c r="Y781" s="2" t="s">
        <v>131</v>
      </c>
      <c r="Z781" s="4">
        <v>547</v>
      </c>
      <c r="AA781" s="4">
        <f>=ROUNDDOWN(17.09375,0)</f>
      </c>
      <c r="AB781" s="5">
        <v>32</v>
      </c>
      <c r="AC781" s="2" t="s">
        <v>1962</v>
      </c>
      <c r="AD781" s="4">
        <v>100</v>
      </c>
      <c r="AE781" s="4">
        <v>600</v>
      </c>
      <c r="AF781" s="6">
        <v>65</v>
      </c>
      <c r="AG781" s="6">
        <v>48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/>
      <c r="AQ781" s="8"/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/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36</v>
      </c>
      <c r="BK781" s="8">
        <v>1509.89</v>
      </c>
      <c r="BL781" s="2" t="s">
        <v>2840</v>
      </c>
      <c r="BM781" s="7"/>
      <c r="BN781" s="7"/>
      <c r="BO781" s="4"/>
      <c r="BP781" s="8"/>
      <c r="BQ781" s="4"/>
      <c r="BR781" s="8"/>
      <c r="BS781" s="7"/>
      <c r="BT781" s="7"/>
      <c r="BU781" s="2" t="s">
        <v>109</v>
      </c>
      <c r="BV781" s="2" t="s">
        <v>97</v>
      </c>
      <c r="BW781" s="2" t="s">
        <v>122</v>
      </c>
      <c r="BX781" s="2" t="s">
        <v>222</v>
      </c>
      <c r="BY781" s="2" t="s">
        <v>112</v>
      </c>
      <c r="BZ781" s="2" t="s">
        <v>100</v>
      </c>
    </row>
    <row r="782">
      <c r="A782" s="2" t="s">
        <v>2841</v>
      </c>
      <c r="B782" s="2" t="s">
        <v>87</v>
      </c>
      <c r="C782" s="2" t="s">
        <v>88</v>
      </c>
      <c r="D782" s="2" t="s">
        <v>2230</v>
      </c>
      <c r="E782" s="2" t="s">
        <v>2656</v>
      </c>
      <c r="F782" s="2" t="s">
        <v>1435</v>
      </c>
      <c r="G782" s="2" t="s">
        <v>1436</v>
      </c>
      <c r="H782" s="2" t="s">
        <v>1201</v>
      </c>
      <c r="I782" s="2" t="s">
        <v>2842</v>
      </c>
      <c r="J782" s="2" t="s">
        <v>785</v>
      </c>
      <c r="K782" s="2" t="s">
        <v>1444</v>
      </c>
      <c r="L782" s="3">
        <v>38.09</v>
      </c>
      <c r="M782" s="3">
        <v>39.99</v>
      </c>
      <c r="N782" s="3">
        <v>79.99</v>
      </c>
      <c r="O782" s="2" t="s">
        <v>97</v>
      </c>
      <c r="P782" s="2" t="s">
        <v>242</v>
      </c>
      <c r="Q782" s="2" t="s">
        <v>99</v>
      </c>
      <c r="R782" s="2" t="s">
        <v>100</v>
      </c>
      <c r="S782" s="2" t="s">
        <v>1445</v>
      </c>
      <c r="T782" s="2" t="s">
        <v>787</v>
      </c>
      <c r="U782" s="2" t="s">
        <v>1508</v>
      </c>
      <c r="V782" s="2" t="s">
        <v>734</v>
      </c>
      <c r="W782" s="2" t="s">
        <v>1440</v>
      </c>
      <c r="X782" s="2" t="s">
        <v>898</v>
      </c>
      <c r="Y782" s="2" t="s">
        <v>2843</v>
      </c>
      <c r="Z782" s="4">
        <v>889</v>
      </c>
      <c r="AA782" s="4">
        <f>=ROUNDDOWN(25.4,0)</f>
      </c>
      <c r="AB782" s="5">
        <v>35</v>
      </c>
      <c r="AC782" s="2" t="s">
        <v>429</v>
      </c>
      <c r="AD782" s="4">
        <v>260</v>
      </c>
      <c r="AE782" s="4">
        <v>700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>
        <v>0</v>
      </c>
      <c r="AP782" s="4">
        <v>1</v>
      </c>
      <c r="AQ782" s="8">
        <v>41.99</v>
      </c>
      <c r="AR782" s="4"/>
      <c r="AS782" s="8"/>
      <c r="AT782" s="7"/>
      <c r="AU782" s="7"/>
      <c r="AV782" s="4">
        <v>1</v>
      </c>
      <c r="AW782" s="8">
        <v>41.99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1</v>
      </c>
      <c r="BC782" s="4">
        <v>1</v>
      </c>
      <c r="BD782" s="8">
        <v>41.99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>
        <v>1</v>
      </c>
      <c r="BJ782" s="4">
        <v>23</v>
      </c>
      <c r="BK782" s="8">
        <v>896.57</v>
      </c>
      <c r="BL782" s="2" t="s">
        <v>2844</v>
      </c>
      <c r="BM782" s="7">
        <v>0.0435</v>
      </c>
      <c r="BN782" s="7">
        <v>0.0468</v>
      </c>
      <c r="BO782" s="4">
        <v>1</v>
      </c>
      <c r="BP782" s="8">
        <v>41.99</v>
      </c>
      <c r="BQ782" s="4"/>
      <c r="BR782" s="8"/>
      <c r="BS782" s="7"/>
      <c r="BT782" s="7"/>
      <c r="BU782" s="2" t="s">
        <v>109</v>
      </c>
      <c r="BV782" s="2" t="s">
        <v>97</v>
      </c>
      <c r="BW782" s="2" t="s">
        <v>566</v>
      </c>
      <c r="BX782" s="2" t="s">
        <v>2361</v>
      </c>
      <c r="BY782" s="2" t="s">
        <v>112</v>
      </c>
      <c r="BZ782" s="2" t="s">
        <v>100</v>
      </c>
    </row>
    <row r="783">
      <c r="A783" s="2" t="s">
        <v>2845</v>
      </c>
      <c r="B783" s="2" t="s">
        <v>87</v>
      </c>
      <c r="C783" s="2" t="s">
        <v>88</v>
      </c>
      <c r="D783" s="2" t="s">
        <v>2230</v>
      </c>
      <c r="E783" s="2" t="s">
        <v>2656</v>
      </c>
      <c r="F783" s="2" t="s">
        <v>1435</v>
      </c>
      <c r="G783" s="2" t="s">
        <v>1436</v>
      </c>
      <c r="H783" s="2" t="s">
        <v>1201</v>
      </c>
      <c r="I783" s="2" t="s">
        <v>2842</v>
      </c>
      <c r="J783" s="2" t="s">
        <v>795</v>
      </c>
      <c r="K783" s="2" t="s">
        <v>1444</v>
      </c>
      <c r="L783" s="3">
        <v>42.85</v>
      </c>
      <c r="M783" s="3">
        <v>44.99</v>
      </c>
      <c r="N783" s="3">
        <v>89.99</v>
      </c>
      <c r="O783" s="2" t="s">
        <v>97</v>
      </c>
      <c r="P783" s="2" t="s">
        <v>242</v>
      </c>
      <c r="Q783" s="2" t="s">
        <v>99</v>
      </c>
      <c r="R783" s="2" t="s">
        <v>100</v>
      </c>
      <c r="S783" s="2" t="s">
        <v>1445</v>
      </c>
      <c r="T783" s="2" t="s">
        <v>787</v>
      </c>
      <c r="U783" s="2" t="s">
        <v>1508</v>
      </c>
      <c r="V783" s="2" t="s">
        <v>734</v>
      </c>
      <c r="W783" s="2" t="s">
        <v>1440</v>
      </c>
      <c r="X783" s="2" t="s">
        <v>898</v>
      </c>
      <c r="Y783" s="2" t="s">
        <v>2843</v>
      </c>
      <c r="Z783" s="4">
        <v>467</v>
      </c>
      <c r="AA783" s="4">
        <f>=ROUNDDOWN(11.1190476190476,0)</f>
      </c>
      <c r="AB783" s="5">
        <v>42</v>
      </c>
      <c r="AC783" s="2" t="s">
        <v>1449</v>
      </c>
      <c r="AD783" s="4">
        <v>640</v>
      </c>
      <c r="AE783" s="4">
        <v>1390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 t="s">
        <v>100</v>
      </c>
      <c r="AW783" s="8" t="s">
        <v>100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/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 t="s">
        <v>100</v>
      </c>
      <c r="BJ783" s="4">
        <v>22</v>
      </c>
      <c r="BK783" s="8">
        <v>948.83</v>
      </c>
      <c r="BL783" s="2" t="s">
        <v>2846</v>
      </c>
      <c r="BM783" s="7"/>
      <c r="BN783" s="7"/>
      <c r="BO783" s="4"/>
      <c r="BP783" s="8"/>
      <c r="BQ783" s="4"/>
      <c r="BR783" s="8"/>
      <c r="BS783" s="7"/>
      <c r="BT783" s="7"/>
      <c r="BU783" s="2" t="s">
        <v>109</v>
      </c>
      <c r="BV783" s="2" t="s">
        <v>97</v>
      </c>
      <c r="BW783" s="2" t="s">
        <v>566</v>
      </c>
      <c r="BX783" s="2" t="s">
        <v>2847</v>
      </c>
      <c r="BY783" s="2" t="s">
        <v>112</v>
      </c>
      <c r="BZ783" s="2" t="s">
        <v>100</v>
      </c>
    </row>
    <row r="784">
      <c r="A784" s="2" t="s">
        <v>2848</v>
      </c>
      <c r="B784" s="2" t="s">
        <v>87</v>
      </c>
      <c r="C784" s="2" t="s">
        <v>88</v>
      </c>
      <c r="D784" s="2" t="s">
        <v>2230</v>
      </c>
      <c r="E784" s="2" t="s">
        <v>2656</v>
      </c>
      <c r="F784" s="2" t="s">
        <v>1435</v>
      </c>
      <c r="G784" s="2" t="s">
        <v>1436</v>
      </c>
      <c r="H784" s="2" t="s">
        <v>1201</v>
      </c>
      <c r="I784" s="2" t="s">
        <v>2842</v>
      </c>
      <c r="J784" s="2" t="s">
        <v>785</v>
      </c>
      <c r="K784" s="2" t="s">
        <v>1438</v>
      </c>
      <c r="L784" s="3">
        <v>38.09</v>
      </c>
      <c r="M784" s="3">
        <v>39.99</v>
      </c>
      <c r="N784" s="3">
        <v>79.99</v>
      </c>
      <c r="O784" s="2" t="s">
        <v>97</v>
      </c>
      <c r="P784" s="2" t="s">
        <v>1216</v>
      </c>
      <c r="Q784" s="2" t="s">
        <v>99</v>
      </c>
      <c r="R784" s="2" t="s">
        <v>100</v>
      </c>
      <c r="S784" s="2" t="s">
        <v>1439</v>
      </c>
      <c r="T784" s="2" t="s">
        <v>787</v>
      </c>
      <c r="U784" s="2" t="s">
        <v>1508</v>
      </c>
      <c r="V784" s="2" t="s">
        <v>734</v>
      </c>
      <c r="W784" s="2" t="s">
        <v>1440</v>
      </c>
      <c r="X784" s="2" t="s">
        <v>898</v>
      </c>
      <c r="Y784" s="2" t="s">
        <v>1441</v>
      </c>
      <c r="Z784" s="4"/>
      <c r="AA784" s="4">
        <f>=ROUNDDOWN({0},0)</f>
      </c>
      <c r="AB784" s="5">
        <v>18</v>
      </c>
      <c r="AC784" s="2" t="s">
        <v>482</v>
      </c>
      <c r="AD784" s="4">
        <v>150</v>
      </c>
      <c r="AE784" s="4">
        <v>300</v>
      </c>
      <c r="AF784" s="6">
        <v>64</v>
      </c>
      <c r="AG784" s="6"/>
      <c r="AH784" s="7">
        <v>0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/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/>
      <c r="BK784" s="8"/>
      <c r="BL784" s="2" t="s">
        <v>100</v>
      </c>
      <c r="BM784" s="7"/>
      <c r="BN784" s="7"/>
      <c r="BO784" s="4"/>
      <c r="BP784" s="8"/>
      <c r="BQ784" s="4"/>
      <c r="BR784" s="8"/>
      <c r="BS784" s="7"/>
      <c r="BT784" s="7"/>
      <c r="BU784" s="2" t="s">
        <v>1338</v>
      </c>
      <c r="BV784" s="2" t="s">
        <v>97</v>
      </c>
      <c r="BW784" s="2" t="s">
        <v>100</v>
      </c>
      <c r="BX784" s="2" t="s">
        <v>100</v>
      </c>
      <c r="BY784" s="2" t="s">
        <v>112</v>
      </c>
      <c r="BZ784" s="2" t="s">
        <v>100</v>
      </c>
    </row>
    <row r="785">
      <c r="A785" s="2" t="s">
        <v>2849</v>
      </c>
      <c r="B785" s="2" t="s">
        <v>87</v>
      </c>
      <c r="C785" s="2" t="s">
        <v>88</v>
      </c>
      <c r="D785" s="2" t="s">
        <v>2230</v>
      </c>
      <c r="E785" s="2" t="s">
        <v>2656</v>
      </c>
      <c r="F785" s="2" t="s">
        <v>1435</v>
      </c>
      <c r="G785" s="2" t="s">
        <v>1436</v>
      </c>
      <c r="H785" s="2" t="s">
        <v>1201</v>
      </c>
      <c r="I785" s="2" t="s">
        <v>2842</v>
      </c>
      <c r="J785" s="2" t="s">
        <v>795</v>
      </c>
      <c r="K785" s="2" t="s">
        <v>1438</v>
      </c>
      <c r="L785" s="3">
        <v>42.85</v>
      </c>
      <c r="M785" s="3">
        <v>44.99</v>
      </c>
      <c r="N785" s="3">
        <v>89.99</v>
      </c>
      <c r="O785" s="2" t="s">
        <v>97</v>
      </c>
      <c r="P785" s="2" t="s">
        <v>1216</v>
      </c>
      <c r="Q785" s="2" t="s">
        <v>99</v>
      </c>
      <c r="R785" s="2" t="s">
        <v>100</v>
      </c>
      <c r="S785" s="2" t="s">
        <v>1439</v>
      </c>
      <c r="T785" s="2" t="s">
        <v>787</v>
      </c>
      <c r="U785" s="2" t="s">
        <v>1508</v>
      </c>
      <c r="V785" s="2" t="s">
        <v>734</v>
      </c>
      <c r="W785" s="2" t="s">
        <v>1440</v>
      </c>
      <c r="X785" s="2" t="s">
        <v>898</v>
      </c>
      <c r="Y785" s="2" t="s">
        <v>1441</v>
      </c>
      <c r="Z785" s="4"/>
      <c r="AA785" s="4">
        <f>=ROUNDDOWN({0},0)</f>
      </c>
      <c r="AB785" s="5">
        <v>21</v>
      </c>
      <c r="AC785" s="2" t="s">
        <v>482</v>
      </c>
      <c r="AD785" s="4">
        <v>180</v>
      </c>
      <c r="AE785" s="4">
        <v>360</v>
      </c>
      <c r="AF785" s="6">
        <v>64</v>
      </c>
      <c r="AG785" s="6"/>
      <c r="AH785" s="7">
        <v>0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/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 t="s">
        <v>100</v>
      </c>
      <c r="BJ785" s="4"/>
      <c r="BK785" s="8"/>
      <c r="BL785" s="2" t="s">
        <v>100</v>
      </c>
      <c r="BM785" s="7"/>
      <c r="BN785" s="7"/>
      <c r="BO785" s="4"/>
      <c r="BP785" s="8"/>
      <c r="BQ785" s="4"/>
      <c r="BR785" s="8"/>
      <c r="BS785" s="7"/>
      <c r="BT785" s="7"/>
      <c r="BU785" s="2" t="s">
        <v>1338</v>
      </c>
      <c r="BV785" s="2" t="s">
        <v>97</v>
      </c>
      <c r="BW785" s="2" t="s">
        <v>100</v>
      </c>
      <c r="BX785" s="2" t="s">
        <v>100</v>
      </c>
      <c r="BY785" s="2" t="s">
        <v>112</v>
      </c>
      <c r="BZ785" s="2" t="s">
        <v>100</v>
      </c>
    </row>
    <row r="786">
      <c r="A786" s="2" t="s">
        <v>2850</v>
      </c>
      <c r="B786" s="2" t="s">
        <v>87</v>
      </c>
      <c r="C786" s="2" t="s">
        <v>88</v>
      </c>
      <c r="D786" s="2" t="s">
        <v>2230</v>
      </c>
      <c r="E786" s="2" t="s">
        <v>2656</v>
      </c>
      <c r="F786" s="2" t="s">
        <v>1696</v>
      </c>
      <c r="G786" s="2" t="s">
        <v>1864</v>
      </c>
      <c r="H786" s="2" t="s">
        <v>1400</v>
      </c>
      <c r="I786" s="2" t="s">
        <v>2851</v>
      </c>
      <c r="J786" s="2" t="s">
        <v>785</v>
      </c>
      <c r="K786" s="2" t="s">
        <v>1444</v>
      </c>
      <c r="L786" s="3">
        <v>38.09</v>
      </c>
      <c r="M786" s="3">
        <v>39.99</v>
      </c>
      <c r="N786" s="3">
        <v>79.99</v>
      </c>
      <c r="O786" s="2" t="s">
        <v>473</v>
      </c>
      <c r="P786" s="2" t="s">
        <v>447</v>
      </c>
      <c r="Q786" s="2" t="s">
        <v>99</v>
      </c>
      <c r="R786" s="2" t="s">
        <v>100</v>
      </c>
      <c r="S786" s="2" t="s">
        <v>2852</v>
      </c>
      <c r="T786" s="2" t="s">
        <v>787</v>
      </c>
      <c r="U786" s="2" t="s">
        <v>1508</v>
      </c>
      <c r="V786" s="2" t="s">
        <v>449</v>
      </c>
      <c r="W786" s="2" t="s">
        <v>976</v>
      </c>
      <c r="X786" s="2" t="s">
        <v>788</v>
      </c>
      <c r="Y786" s="2" t="s">
        <v>2853</v>
      </c>
      <c r="Z786" s="4">
        <v>187</v>
      </c>
      <c r="AA786" s="4">
        <f>=ROUNDDOWN(143.846153846154,0)</f>
      </c>
      <c r="AB786" s="5">
        <v>1.3</v>
      </c>
      <c r="AC786" s="2" t="s">
        <v>100</v>
      </c>
      <c r="AD786" s="4"/>
      <c r="AE786" s="4"/>
      <c r="AF786" s="6">
        <v>66</v>
      </c>
      <c r="AG786" s="6"/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/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/>
      <c r="BJ786" s="4">
        <v>3</v>
      </c>
      <c r="BK786" s="8">
        <v>93.81</v>
      </c>
      <c r="BL786" s="2" t="s">
        <v>1490</v>
      </c>
      <c r="BM786" s="7"/>
      <c r="BN786" s="7"/>
      <c r="BO786" s="4"/>
      <c r="BP786" s="8"/>
      <c r="BQ786" s="4"/>
      <c r="BR786" s="8"/>
      <c r="BS786" s="7"/>
      <c r="BT786" s="7"/>
      <c r="BU786" s="2" t="s">
        <v>109</v>
      </c>
      <c r="BV786" s="2" t="s">
        <v>97</v>
      </c>
      <c r="BW786" s="2" t="s">
        <v>566</v>
      </c>
      <c r="BX786" s="2" t="s">
        <v>100</v>
      </c>
      <c r="BY786" s="2" t="s">
        <v>112</v>
      </c>
      <c r="BZ786" s="2" t="s">
        <v>100</v>
      </c>
    </row>
    <row r="787">
      <c r="A787" s="2" t="s">
        <v>2854</v>
      </c>
      <c r="B787" s="2" t="s">
        <v>87</v>
      </c>
      <c r="C787" s="2" t="s">
        <v>88</v>
      </c>
      <c r="D787" s="2" t="s">
        <v>2230</v>
      </c>
      <c r="E787" s="2" t="s">
        <v>2656</v>
      </c>
      <c r="F787" s="2" t="s">
        <v>1696</v>
      </c>
      <c r="G787" s="2" t="s">
        <v>1864</v>
      </c>
      <c r="H787" s="2" t="s">
        <v>1400</v>
      </c>
      <c r="I787" s="2" t="s">
        <v>2851</v>
      </c>
      <c r="J787" s="2" t="s">
        <v>795</v>
      </c>
      <c r="K787" s="2" t="s">
        <v>1444</v>
      </c>
      <c r="L787" s="3">
        <v>42.85</v>
      </c>
      <c r="M787" s="3">
        <v>44.99</v>
      </c>
      <c r="N787" s="3">
        <v>89.99</v>
      </c>
      <c r="O787" s="2" t="s">
        <v>473</v>
      </c>
      <c r="P787" s="2" t="s">
        <v>447</v>
      </c>
      <c r="Q787" s="2" t="s">
        <v>99</v>
      </c>
      <c r="R787" s="2" t="s">
        <v>100</v>
      </c>
      <c r="S787" s="2" t="s">
        <v>2852</v>
      </c>
      <c r="T787" s="2" t="s">
        <v>787</v>
      </c>
      <c r="U787" s="2" t="s">
        <v>1508</v>
      </c>
      <c r="V787" s="2" t="s">
        <v>449</v>
      </c>
      <c r="W787" s="2" t="s">
        <v>976</v>
      </c>
      <c r="X787" s="2" t="s">
        <v>788</v>
      </c>
      <c r="Y787" s="2" t="s">
        <v>2853</v>
      </c>
      <c r="Z787" s="4">
        <v>199</v>
      </c>
      <c r="AA787" s="4">
        <f>=ROUNDDOWN(165.833333333333,0)</f>
      </c>
      <c r="AB787" s="5">
        <v>1.2</v>
      </c>
      <c r="AC787" s="2" t="s">
        <v>100</v>
      </c>
      <c r="AD787" s="4"/>
      <c r="AE787" s="4"/>
      <c r="AF787" s="6">
        <v>66</v>
      </c>
      <c r="AG787" s="6"/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100</v>
      </c>
      <c r="AW787" s="8" t="s">
        <v>100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/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/>
      <c r="BJ787" s="4"/>
      <c r="BK787" s="8"/>
      <c r="BL787" s="2" t="s">
        <v>100</v>
      </c>
      <c r="BM787" s="7"/>
      <c r="BN787" s="7"/>
      <c r="BO787" s="4"/>
      <c r="BP787" s="8"/>
      <c r="BQ787" s="4"/>
      <c r="BR787" s="8"/>
      <c r="BS787" s="7"/>
      <c r="BT787" s="7"/>
      <c r="BU787" s="2" t="s">
        <v>109</v>
      </c>
      <c r="BV787" s="2" t="s">
        <v>97</v>
      </c>
      <c r="BW787" s="2" t="s">
        <v>566</v>
      </c>
      <c r="BX787" s="2" t="s">
        <v>884</v>
      </c>
      <c r="BY787" s="2" t="s">
        <v>112</v>
      </c>
      <c r="BZ787" s="2" t="s">
        <v>100</v>
      </c>
    </row>
    <row r="788">
      <c r="A788" s="2" t="s">
        <v>2855</v>
      </c>
      <c r="B788" s="2" t="s">
        <v>87</v>
      </c>
      <c r="C788" s="2" t="s">
        <v>88</v>
      </c>
      <c r="D788" s="2" t="s">
        <v>2230</v>
      </c>
      <c r="E788" s="2" t="s">
        <v>2656</v>
      </c>
      <c r="F788" s="2" t="s">
        <v>2856</v>
      </c>
      <c r="G788" s="2" t="s">
        <v>2857</v>
      </c>
      <c r="H788" s="2" t="s">
        <v>2858</v>
      </c>
      <c r="I788" s="2" t="s">
        <v>2859</v>
      </c>
      <c r="J788" s="2" t="s">
        <v>795</v>
      </c>
      <c r="K788" s="2" t="s">
        <v>2860</v>
      </c>
      <c r="L788" s="3">
        <v>42.85</v>
      </c>
      <c r="M788" s="3">
        <v>44.99</v>
      </c>
      <c r="N788" s="3">
        <v>89.99</v>
      </c>
      <c r="O788" s="2" t="s">
        <v>97</v>
      </c>
      <c r="P788" s="2" t="s">
        <v>447</v>
      </c>
      <c r="Q788" s="2" t="s">
        <v>99</v>
      </c>
      <c r="R788" s="2" t="s">
        <v>100</v>
      </c>
      <c r="S788" s="2" t="s">
        <v>2861</v>
      </c>
      <c r="T788" s="2" t="s">
        <v>100</v>
      </c>
      <c r="U788" s="2" t="s">
        <v>1508</v>
      </c>
      <c r="V788" s="2" t="s">
        <v>645</v>
      </c>
      <c r="W788" s="2" t="s">
        <v>976</v>
      </c>
      <c r="X788" s="2" t="s">
        <v>788</v>
      </c>
      <c r="Y788" s="2" t="s">
        <v>2862</v>
      </c>
      <c r="Z788" s="4">
        <v>115</v>
      </c>
      <c r="AA788" s="4">
        <f>=ROUNDDOWN(22.1153846153846,0)</f>
      </c>
      <c r="AB788" s="5">
        <v>5.2</v>
      </c>
      <c r="AC788" s="2" t="s">
        <v>100</v>
      </c>
      <c r="AD788" s="4"/>
      <c r="AE788" s="4"/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/>
      <c r="BJ788" s="4">
        <v>6</v>
      </c>
      <c r="BK788" s="8">
        <v>274.44</v>
      </c>
      <c r="BL788" s="2" t="s">
        <v>2863</v>
      </c>
      <c r="BM788" s="7"/>
      <c r="BN788" s="7"/>
      <c r="BO788" s="4"/>
      <c r="BP788" s="8"/>
      <c r="BQ788" s="4"/>
      <c r="BR788" s="8"/>
      <c r="BS788" s="7"/>
      <c r="BT788" s="7"/>
      <c r="BU788" s="2" t="s">
        <v>109</v>
      </c>
      <c r="BV788" s="2" t="s">
        <v>97</v>
      </c>
      <c r="BW788" s="2" t="s">
        <v>566</v>
      </c>
      <c r="BX788" s="2" t="s">
        <v>2864</v>
      </c>
      <c r="BY788" s="2" t="s">
        <v>112</v>
      </c>
      <c r="BZ788" s="2" t="s">
        <v>100</v>
      </c>
    </row>
    <row r="789">
      <c r="A789" s="2" t="s">
        <v>2865</v>
      </c>
      <c r="B789" s="2" t="s">
        <v>87</v>
      </c>
      <c r="C789" s="2" t="s">
        <v>88</v>
      </c>
      <c r="D789" s="2" t="s">
        <v>2230</v>
      </c>
      <c r="E789" s="2" t="s">
        <v>2656</v>
      </c>
      <c r="F789" s="2" t="s">
        <v>2856</v>
      </c>
      <c r="G789" s="2" t="s">
        <v>2857</v>
      </c>
      <c r="H789" s="2" t="s">
        <v>2858</v>
      </c>
      <c r="I789" s="2" t="s">
        <v>2859</v>
      </c>
      <c r="J789" s="2" t="s">
        <v>785</v>
      </c>
      <c r="K789" s="2" t="s">
        <v>163</v>
      </c>
      <c r="L789" s="3">
        <v>38.09</v>
      </c>
      <c r="M789" s="3">
        <v>39.99</v>
      </c>
      <c r="N789" s="3">
        <v>79.99</v>
      </c>
      <c r="O789" s="2" t="s">
        <v>473</v>
      </c>
      <c r="P789" s="2" t="s">
        <v>447</v>
      </c>
      <c r="Q789" s="2" t="s">
        <v>99</v>
      </c>
      <c r="R789" s="2" t="s">
        <v>100</v>
      </c>
      <c r="S789" s="2" t="s">
        <v>2866</v>
      </c>
      <c r="T789" s="2" t="s">
        <v>100</v>
      </c>
      <c r="U789" s="2" t="s">
        <v>1508</v>
      </c>
      <c r="V789" s="2" t="s">
        <v>645</v>
      </c>
      <c r="W789" s="2" t="s">
        <v>976</v>
      </c>
      <c r="X789" s="2" t="s">
        <v>788</v>
      </c>
      <c r="Y789" s="2" t="s">
        <v>2862</v>
      </c>
      <c r="Z789" s="4">
        <v>125</v>
      </c>
      <c r="AA789" s="4">
        <f>=ROUNDDOWN(69.4444444444444,0)</f>
      </c>
      <c r="AB789" s="5">
        <v>1.8</v>
      </c>
      <c r="AC789" s="2" t="s">
        <v>100</v>
      </c>
      <c r="AD789" s="4"/>
      <c r="AE789" s="4"/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/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/>
      <c r="BJ789" s="4">
        <v>1</v>
      </c>
      <c r="BK789" s="8">
        <v>21.9</v>
      </c>
      <c r="BL789" s="2" t="s">
        <v>1356</v>
      </c>
      <c r="BM789" s="7"/>
      <c r="BN789" s="7"/>
      <c r="BO789" s="4"/>
      <c r="BP789" s="8"/>
      <c r="BQ789" s="4"/>
      <c r="BR789" s="8"/>
      <c r="BS789" s="7"/>
      <c r="BT789" s="7"/>
      <c r="BU789" s="2" t="s">
        <v>109</v>
      </c>
      <c r="BV789" s="2" t="s">
        <v>97</v>
      </c>
      <c r="BW789" s="2" t="s">
        <v>566</v>
      </c>
      <c r="BX789" s="2" t="s">
        <v>2867</v>
      </c>
      <c r="BY789" s="2" t="s">
        <v>112</v>
      </c>
      <c r="BZ789" s="2" t="s">
        <v>100</v>
      </c>
    </row>
    <row r="790">
      <c r="A790" s="2" t="s">
        <v>2868</v>
      </c>
      <c r="B790" s="2" t="s">
        <v>87</v>
      </c>
      <c r="C790" s="2" t="s">
        <v>88</v>
      </c>
      <c r="D790" s="2" t="s">
        <v>2230</v>
      </c>
      <c r="E790" s="2" t="s">
        <v>2656</v>
      </c>
      <c r="F790" s="2" t="s">
        <v>2856</v>
      </c>
      <c r="G790" s="2" t="s">
        <v>2857</v>
      </c>
      <c r="H790" s="2" t="s">
        <v>2858</v>
      </c>
      <c r="I790" s="2" t="s">
        <v>2859</v>
      </c>
      <c r="J790" s="2" t="s">
        <v>795</v>
      </c>
      <c r="K790" s="2" t="s">
        <v>163</v>
      </c>
      <c r="L790" s="3">
        <v>42.85</v>
      </c>
      <c r="M790" s="3">
        <v>44.99</v>
      </c>
      <c r="N790" s="3">
        <v>89.99</v>
      </c>
      <c r="O790" s="2" t="s">
        <v>473</v>
      </c>
      <c r="P790" s="2" t="s">
        <v>447</v>
      </c>
      <c r="Q790" s="2" t="s">
        <v>99</v>
      </c>
      <c r="R790" s="2" t="s">
        <v>100</v>
      </c>
      <c r="S790" s="2" t="s">
        <v>2866</v>
      </c>
      <c r="T790" s="2" t="s">
        <v>100</v>
      </c>
      <c r="U790" s="2" t="s">
        <v>1508</v>
      </c>
      <c r="V790" s="2" t="s">
        <v>645</v>
      </c>
      <c r="W790" s="2" t="s">
        <v>976</v>
      </c>
      <c r="X790" s="2" t="s">
        <v>788</v>
      </c>
      <c r="Y790" s="2" t="s">
        <v>2862</v>
      </c>
      <c r="Z790" s="4">
        <v>229</v>
      </c>
      <c r="AA790" s="4">
        <f>=ROUNDDOWN(109.047619047619,0)</f>
      </c>
      <c r="AB790" s="5">
        <v>2.1</v>
      </c>
      <c r="AC790" s="2" t="s">
        <v>100</v>
      </c>
      <c r="AD790" s="4"/>
      <c r="AE790" s="4"/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/>
      <c r="AQ790" s="8"/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/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/>
      <c r="BJ790" s="4">
        <v>3</v>
      </c>
      <c r="BK790" s="8">
        <v>102.38</v>
      </c>
      <c r="BL790" s="2" t="s">
        <v>2869</v>
      </c>
      <c r="BM790" s="7"/>
      <c r="BN790" s="7"/>
      <c r="BO790" s="4"/>
      <c r="BP790" s="8"/>
      <c r="BQ790" s="4"/>
      <c r="BR790" s="8"/>
      <c r="BS790" s="7"/>
      <c r="BT790" s="7"/>
      <c r="BU790" s="2" t="s">
        <v>109</v>
      </c>
      <c r="BV790" s="2" t="s">
        <v>97</v>
      </c>
      <c r="BW790" s="2" t="s">
        <v>566</v>
      </c>
      <c r="BX790" s="2" t="s">
        <v>1210</v>
      </c>
      <c r="BY790" s="2" t="s">
        <v>112</v>
      </c>
      <c r="BZ790" s="2" t="s">
        <v>100</v>
      </c>
    </row>
    <row r="791">
      <c r="A791" s="2" t="s">
        <v>2870</v>
      </c>
      <c r="B791" s="2" t="s">
        <v>87</v>
      </c>
      <c r="C791" s="2" t="s">
        <v>88</v>
      </c>
      <c r="D791" s="2" t="s">
        <v>2230</v>
      </c>
      <c r="E791" s="2" t="s">
        <v>2656</v>
      </c>
      <c r="F791" s="2" t="s">
        <v>2871</v>
      </c>
      <c r="G791" s="2" t="s">
        <v>2872</v>
      </c>
      <c r="H791" s="2" t="s">
        <v>2873</v>
      </c>
      <c r="I791" s="2" t="s">
        <v>2874</v>
      </c>
      <c r="J791" s="2" t="s">
        <v>785</v>
      </c>
      <c r="K791" s="2" t="s">
        <v>253</v>
      </c>
      <c r="L791" s="3">
        <v>52.8</v>
      </c>
      <c r="M791" s="3">
        <v>55.44</v>
      </c>
      <c r="N791" s="3">
        <v>109.99</v>
      </c>
      <c r="O791" s="2" t="s">
        <v>473</v>
      </c>
      <c r="P791" s="2" t="s">
        <v>447</v>
      </c>
      <c r="Q791" s="2" t="s">
        <v>99</v>
      </c>
      <c r="R791" s="2" t="s">
        <v>100</v>
      </c>
      <c r="S791" s="2" t="s">
        <v>2875</v>
      </c>
      <c r="T791" s="2" t="s">
        <v>100</v>
      </c>
      <c r="U791" s="2" t="s">
        <v>1508</v>
      </c>
      <c r="V791" s="2" t="s">
        <v>2876</v>
      </c>
      <c r="W791" s="2" t="s">
        <v>976</v>
      </c>
      <c r="X791" s="2" t="s">
        <v>788</v>
      </c>
      <c r="Y791" s="2" t="s">
        <v>2877</v>
      </c>
      <c r="Z791" s="4">
        <v>318</v>
      </c>
      <c r="AA791" s="4">
        <f>=ROUNDDOWN(88.3333333333333,0)</f>
      </c>
      <c r="AB791" s="5">
        <v>3.6</v>
      </c>
      <c r="AC791" s="2" t="s">
        <v>100</v>
      </c>
      <c r="AD791" s="4"/>
      <c r="AE791" s="4"/>
      <c r="AF791" s="6">
        <v>67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/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/>
      <c r="BJ791" s="4">
        <v>2</v>
      </c>
      <c r="BK791" s="8">
        <v>71.86</v>
      </c>
      <c r="BL791" s="2" t="s">
        <v>715</v>
      </c>
      <c r="BM791" s="7"/>
      <c r="BN791" s="7"/>
      <c r="BO791" s="4"/>
      <c r="BP791" s="8"/>
      <c r="BQ791" s="4"/>
      <c r="BR791" s="8"/>
      <c r="BS791" s="7"/>
      <c r="BT791" s="7"/>
      <c r="BU791" s="2" t="s">
        <v>109</v>
      </c>
      <c r="BV791" s="2" t="s">
        <v>97</v>
      </c>
      <c r="BW791" s="2" t="s">
        <v>566</v>
      </c>
      <c r="BX791" s="2" t="s">
        <v>100</v>
      </c>
      <c r="BY791" s="2" t="s">
        <v>112</v>
      </c>
      <c r="BZ791" s="2" t="s">
        <v>100</v>
      </c>
    </row>
    <row r="792">
      <c r="A792" s="2" t="s">
        <v>2878</v>
      </c>
      <c r="B792" s="2" t="s">
        <v>87</v>
      </c>
      <c r="C792" s="2" t="s">
        <v>88</v>
      </c>
      <c r="D792" s="2" t="s">
        <v>2230</v>
      </c>
      <c r="E792" s="2" t="s">
        <v>2656</v>
      </c>
      <c r="F792" s="2" t="s">
        <v>2871</v>
      </c>
      <c r="G792" s="2" t="s">
        <v>2872</v>
      </c>
      <c r="H792" s="2" t="s">
        <v>2873</v>
      </c>
      <c r="I792" s="2" t="s">
        <v>2874</v>
      </c>
      <c r="J792" s="2" t="s">
        <v>795</v>
      </c>
      <c r="K792" s="2" t="s">
        <v>253</v>
      </c>
      <c r="L792" s="3">
        <v>57.14</v>
      </c>
      <c r="M792" s="3">
        <v>60</v>
      </c>
      <c r="N792" s="3">
        <v>119.99</v>
      </c>
      <c r="O792" s="2" t="s">
        <v>473</v>
      </c>
      <c r="P792" s="2" t="s">
        <v>447</v>
      </c>
      <c r="Q792" s="2" t="s">
        <v>99</v>
      </c>
      <c r="R792" s="2" t="s">
        <v>100</v>
      </c>
      <c r="S792" s="2" t="s">
        <v>2875</v>
      </c>
      <c r="T792" s="2" t="s">
        <v>100</v>
      </c>
      <c r="U792" s="2" t="s">
        <v>1508</v>
      </c>
      <c r="V792" s="2" t="s">
        <v>2876</v>
      </c>
      <c r="W792" s="2" t="s">
        <v>976</v>
      </c>
      <c r="X792" s="2" t="s">
        <v>788</v>
      </c>
      <c r="Y792" s="2" t="s">
        <v>2877</v>
      </c>
      <c r="Z792" s="4">
        <v>232</v>
      </c>
      <c r="AA792" s="4">
        <f>=ROUNDDOWN(59.4871794871795,0)</f>
      </c>
      <c r="AB792" s="5">
        <v>3.9</v>
      </c>
      <c r="AC792" s="2" t="s">
        <v>100</v>
      </c>
      <c r="AD792" s="4"/>
      <c r="AE792" s="4"/>
      <c r="AF792" s="6">
        <v>67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/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/>
      <c r="BJ792" s="4">
        <v>1</v>
      </c>
      <c r="BK792" s="8">
        <v>38.88</v>
      </c>
      <c r="BL792" s="2" t="s">
        <v>2115</v>
      </c>
      <c r="BM792" s="7"/>
      <c r="BN792" s="7"/>
      <c r="BO792" s="4"/>
      <c r="BP792" s="8"/>
      <c r="BQ792" s="4"/>
      <c r="BR792" s="8"/>
      <c r="BS792" s="7"/>
      <c r="BT792" s="7"/>
      <c r="BU792" s="2" t="s">
        <v>109</v>
      </c>
      <c r="BV792" s="2" t="s">
        <v>97</v>
      </c>
      <c r="BW792" s="2" t="s">
        <v>566</v>
      </c>
      <c r="BX792" s="2" t="s">
        <v>2879</v>
      </c>
      <c r="BY792" s="2" t="s">
        <v>112</v>
      </c>
      <c r="BZ792" s="2" t="s">
        <v>100</v>
      </c>
    </row>
    <row r="793">
      <c r="A793" s="2" t="s">
        <v>2880</v>
      </c>
      <c r="B793" s="2" t="s">
        <v>87</v>
      </c>
      <c r="C793" s="2" t="s">
        <v>88</v>
      </c>
      <c r="D793" s="2" t="s">
        <v>2230</v>
      </c>
      <c r="E793" s="2" t="s">
        <v>2656</v>
      </c>
      <c r="F793" s="2" t="s">
        <v>2881</v>
      </c>
      <c r="G793" s="2" t="s">
        <v>2882</v>
      </c>
      <c r="H793" s="2" t="s">
        <v>2883</v>
      </c>
      <c r="I793" s="2" t="s">
        <v>2884</v>
      </c>
      <c r="J793" s="2" t="s">
        <v>785</v>
      </c>
      <c r="K793" s="2" t="s">
        <v>146</v>
      </c>
      <c r="L793" s="3">
        <v>36.57</v>
      </c>
      <c r="M793" s="3">
        <v>38.4</v>
      </c>
      <c r="N793" s="3">
        <v>79.99</v>
      </c>
      <c r="O793" s="2" t="s">
        <v>97</v>
      </c>
      <c r="P793" s="2" t="s">
        <v>1216</v>
      </c>
      <c r="Q793" s="2" t="s">
        <v>99</v>
      </c>
      <c r="R793" s="2" t="s">
        <v>100</v>
      </c>
      <c r="S793" s="2" t="s">
        <v>2885</v>
      </c>
      <c r="T793" s="2" t="s">
        <v>1218</v>
      </c>
      <c r="U793" s="2" t="s">
        <v>1508</v>
      </c>
      <c r="V793" s="2" t="s">
        <v>734</v>
      </c>
      <c r="W793" s="2" t="s">
        <v>976</v>
      </c>
      <c r="X793" s="2" t="s">
        <v>100</v>
      </c>
      <c r="Y793" s="2" t="s">
        <v>2126</v>
      </c>
      <c r="Z793" s="4">
        <v>331</v>
      </c>
      <c r="AA793" s="4">
        <f>=ROUNDDOWN(55.1666666666667,0)</f>
      </c>
      <c r="AB793" s="5">
        <v>6</v>
      </c>
      <c r="AC793" s="2" t="s">
        <v>100</v>
      </c>
      <c r="AD793" s="4"/>
      <c r="AE793" s="4"/>
      <c r="AF793" s="6">
        <v>64</v>
      </c>
      <c r="AG793" s="6"/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/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/>
      <c r="BJ793" s="4">
        <v>3</v>
      </c>
      <c r="BK793" s="8">
        <v>118.27</v>
      </c>
      <c r="BL793" s="2" t="s">
        <v>2886</v>
      </c>
      <c r="BM793" s="7"/>
      <c r="BN793" s="7"/>
      <c r="BO793" s="4"/>
      <c r="BP793" s="8"/>
      <c r="BQ793" s="4"/>
      <c r="BR793" s="8"/>
      <c r="BS793" s="7"/>
      <c r="BT793" s="7"/>
      <c r="BU793" s="2" t="s">
        <v>109</v>
      </c>
      <c r="BV793" s="2" t="s">
        <v>97</v>
      </c>
      <c r="BW793" s="2" t="s">
        <v>1518</v>
      </c>
      <c r="BX793" s="2" t="s">
        <v>100</v>
      </c>
      <c r="BY793" s="2" t="s">
        <v>112</v>
      </c>
      <c r="BZ793" s="2" t="s">
        <v>100</v>
      </c>
    </row>
    <row r="794">
      <c r="A794" s="2" t="s">
        <v>2887</v>
      </c>
      <c r="B794" s="2" t="s">
        <v>87</v>
      </c>
      <c r="C794" s="2" t="s">
        <v>88</v>
      </c>
      <c r="D794" s="2" t="s">
        <v>2230</v>
      </c>
      <c r="E794" s="2" t="s">
        <v>2656</v>
      </c>
      <c r="F794" s="2" t="s">
        <v>2881</v>
      </c>
      <c r="G794" s="2" t="s">
        <v>2882</v>
      </c>
      <c r="H794" s="2" t="s">
        <v>2883</v>
      </c>
      <c r="I794" s="2" t="s">
        <v>2884</v>
      </c>
      <c r="J794" s="2" t="s">
        <v>795</v>
      </c>
      <c r="K794" s="2" t="s">
        <v>146</v>
      </c>
      <c r="L794" s="3">
        <v>41.14</v>
      </c>
      <c r="M794" s="3">
        <v>43.2</v>
      </c>
      <c r="N794" s="3">
        <v>89.99</v>
      </c>
      <c r="O794" s="2" t="s">
        <v>97</v>
      </c>
      <c r="P794" s="2" t="s">
        <v>1216</v>
      </c>
      <c r="Q794" s="2" t="s">
        <v>99</v>
      </c>
      <c r="R794" s="2" t="s">
        <v>100</v>
      </c>
      <c r="S794" s="2" t="s">
        <v>2885</v>
      </c>
      <c r="T794" s="2" t="s">
        <v>1218</v>
      </c>
      <c r="U794" s="2" t="s">
        <v>1508</v>
      </c>
      <c r="V794" s="2" t="s">
        <v>734</v>
      </c>
      <c r="W794" s="2" t="s">
        <v>976</v>
      </c>
      <c r="X794" s="2" t="s">
        <v>100</v>
      </c>
      <c r="Y794" s="2" t="s">
        <v>2129</v>
      </c>
      <c r="Z794" s="4">
        <v>414</v>
      </c>
      <c r="AA794" s="4">
        <f>=ROUNDDOWN(59.1428571428571,0)</f>
      </c>
      <c r="AB794" s="5">
        <v>7</v>
      </c>
      <c r="AC794" s="2" t="s">
        <v>100</v>
      </c>
      <c r="AD794" s="4"/>
      <c r="AE794" s="4"/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/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/>
      <c r="BJ794" s="4"/>
      <c r="BK794" s="8"/>
      <c r="BL794" s="2" t="s">
        <v>100</v>
      </c>
      <c r="BM794" s="7"/>
      <c r="BN794" s="7"/>
      <c r="BO794" s="4"/>
      <c r="BP794" s="8"/>
      <c r="BQ794" s="4"/>
      <c r="BR794" s="8"/>
      <c r="BS794" s="7"/>
      <c r="BT794" s="7"/>
      <c r="BU794" s="2" t="s">
        <v>109</v>
      </c>
      <c r="BV794" s="2" t="s">
        <v>97</v>
      </c>
      <c r="BW794" s="2" t="s">
        <v>1518</v>
      </c>
      <c r="BX794" s="2" t="s">
        <v>100</v>
      </c>
      <c r="BY794" s="2" t="s">
        <v>112</v>
      </c>
      <c r="BZ794" s="2" t="s">
        <v>100</v>
      </c>
    </row>
    <row r="795">
      <c r="A795" s="2" t="s">
        <v>2888</v>
      </c>
      <c r="B795" s="2" t="s">
        <v>87</v>
      </c>
      <c r="C795" s="2" t="s">
        <v>88</v>
      </c>
      <c r="D795" s="2" t="s">
        <v>2230</v>
      </c>
      <c r="E795" s="2" t="s">
        <v>2656</v>
      </c>
      <c r="F795" s="2" t="s">
        <v>2881</v>
      </c>
      <c r="G795" s="2" t="s">
        <v>2882</v>
      </c>
      <c r="H795" s="2" t="s">
        <v>2883</v>
      </c>
      <c r="I795" s="2" t="s">
        <v>2884</v>
      </c>
      <c r="J795" s="2" t="s">
        <v>785</v>
      </c>
      <c r="K795" s="2" t="s">
        <v>868</v>
      </c>
      <c r="L795" s="3">
        <v>36.57</v>
      </c>
      <c r="M795" s="3">
        <v>38.4</v>
      </c>
      <c r="N795" s="3">
        <v>79.99</v>
      </c>
      <c r="O795" s="2" t="s">
        <v>97</v>
      </c>
      <c r="P795" s="2" t="s">
        <v>1216</v>
      </c>
      <c r="Q795" s="2" t="s">
        <v>99</v>
      </c>
      <c r="R795" s="2" t="s">
        <v>100</v>
      </c>
      <c r="S795" s="2" t="s">
        <v>2889</v>
      </c>
      <c r="T795" s="2" t="s">
        <v>1218</v>
      </c>
      <c r="U795" s="2" t="s">
        <v>1508</v>
      </c>
      <c r="V795" s="2" t="s">
        <v>734</v>
      </c>
      <c r="W795" s="2" t="s">
        <v>976</v>
      </c>
      <c r="X795" s="2" t="s">
        <v>100</v>
      </c>
      <c r="Y795" s="2" t="s">
        <v>2890</v>
      </c>
      <c r="Z795" s="4">
        <v>306</v>
      </c>
      <c r="AA795" s="4">
        <f>=ROUNDDOWN(51,0)</f>
      </c>
      <c r="AB795" s="5">
        <v>6</v>
      </c>
      <c r="AC795" s="2" t="s">
        <v>100</v>
      </c>
      <c r="AD795" s="4"/>
      <c r="AE795" s="4"/>
      <c r="AF795" s="6">
        <v>64</v>
      </c>
      <c r="AG795" s="6"/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/>
      <c r="BJ795" s="4">
        <v>2</v>
      </c>
      <c r="BK795" s="8">
        <v>82.94</v>
      </c>
      <c r="BL795" s="2" t="s">
        <v>2891</v>
      </c>
      <c r="BM795" s="7"/>
      <c r="BN795" s="7"/>
      <c r="BO795" s="4"/>
      <c r="BP795" s="8"/>
      <c r="BQ795" s="4"/>
      <c r="BR795" s="8"/>
      <c r="BS795" s="7"/>
      <c r="BT795" s="7"/>
      <c r="BU795" s="2" t="s">
        <v>109</v>
      </c>
      <c r="BV795" s="2" t="s">
        <v>97</v>
      </c>
      <c r="BW795" s="2" t="s">
        <v>1518</v>
      </c>
      <c r="BX795" s="2" t="s">
        <v>1133</v>
      </c>
      <c r="BY795" s="2" t="s">
        <v>112</v>
      </c>
      <c r="BZ795" s="2" t="s">
        <v>100</v>
      </c>
    </row>
    <row r="796">
      <c r="A796" s="2" t="s">
        <v>2892</v>
      </c>
      <c r="B796" s="2" t="s">
        <v>87</v>
      </c>
      <c r="C796" s="2" t="s">
        <v>88</v>
      </c>
      <c r="D796" s="2" t="s">
        <v>2230</v>
      </c>
      <c r="E796" s="2" t="s">
        <v>2656</v>
      </c>
      <c r="F796" s="2" t="s">
        <v>2881</v>
      </c>
      <c r="G796" s="2" t="s">
        <v>2882</v>
      </c>
      <c r="H796" s="2" t="s">
        <v>2883</v>
      </c>
      <c r="I796" s="2" t="s">
        <v>2884</v>
      </c>
      <c r="J796" s="2" t="s">
        <v>795</v>
      </c>
      <c r="K796" s="2" t="s">
        <v>868</v>
      </c>
      <c r="L796" s="3">
        <v>41.14</v>
      </c>
      <c r="M796" s="3">
        <v>43.2</v>
      </c>
      <c r="N796" s="3">
        <v>89.99</v>
      </c>
      <c r="O796" s="2" t="s">
        <v>97</v>
      </c>
      <c r="P796" s="2" t="s">
        <v>1216</v>
      </c>
      <c r="Q796" s="2" t="s">
        <v>99</v>
      </c>
      <c r="R796" s="2" t="s">
        <v>100</v>
      </c>
      <c r="S796" s="2" t="s">
        <v>2889</v>
      </c>
      <c r="T796" s="2" t="s">
        <v>1218</v>
      </c>
      <c r="U796" s="2" t="s">
        <v>1508</v>
      </c>
      <c r="V796" s="2" t="s">
        <v>734</v>
      </c>
      <c r="W796" s="2" t="s">
        <v>976</v>
      </c>
      <c r="X796" s="2" t="s">
        <v>100</v>
      </c>
      <c r="Y796" s="2" t="s">
        <v>2890</v>
      </c>
      <c r="Z796" s="4">
        <v>389</v>
      </c>
      <c r="AA796" s="4">
        <f>=ROUNDDOWN(77.8,0)</f>
      </c>
      <c r="AB796" s="5">
        <v>5</v>
      </c>
      <c r="AC796" s="2" t="s">
        <v>100</v>
      </c>
      <c r="AD796" s="4"/>
      <c r="AE796" s="4"/>
      <c r="AF796" s="6">
        <v>64</v>
      </c>
      <c r="AG796" s="6"/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/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/>
      <c r="BJ796" s="4">
        <v>1</v>
      </c>
      <c r="BK796" s="8">
        <v>47.31</v>
      </c>
      <c r="BL796" s="2" t="s">
        <v>625</v>
      </c>
      <c r="BM796" s="7"/>
      <c r="BN796" s="7"/>
      <c r="BO796" s="4"/>
      <c r="BP796" s="8"/>
      <c r="BQ796" s="4"/>
      <c r="BR796" s="8"/>
      <c r="BS796" s="7"/>
      <c r="BT796" s="7"/>
      <c r="BU796" s="2" t="s">
        <v>109</v>
      </c>
      <c r="BV796" s="2" t="s">
        <v>97</v>
      </c>
      <c r="BW796" s="2" t="s">
        <v>1518</v>
      </c>
      <c r="BX796" s="2" t="s">
        <v>1188</v>
      </c>
      <c r="BY796" s="2" t="s">
        <v>112</v>
      </c>
      <c r="BZ796" s="2" t="s">
        <v>100</v>
      </c>
    </row>
    <row r="797">
      <c r="A797" s="2" t="s">
        <v>2893</v>
      </c>
      <c r="B797" s="2" t="s">
        <v>87</v>
      </c>
      <c r="C797" s="2" t="s">
        <v>88</v>
      </c>
      <c r="D797" s="2" t="s">
        <v>2230</v>
      </c>
      <c r="E797" s="2" t="s">
        <v>2656</v>
      </c>
      <c r="F797" s="2" t="s">
        <v>2894</v>
      </c>
      <c r="G797" s="2" t="s">
        <v>2895</v>
      </c>
      <c r="H797" s="2" t="s">
        <v>2896</v>
      </c>
      <c r="I797" s="2" t="s">
        <v>2897</v>
      </c>
      <c r="J797" s="2" t="s">
        <v>785</v>
      </c>
      <c r="K797" s="2" t="s">
        <v>409</v>
      </c>
      <c r="L797" s="3">
        <v>43.2</v>
      </c>
      <c r="M797" s="3">
        <v>45.36</v>
      </c>
      <c r="N797" s="3">
        <v>79.99</v>
      </c>
      <c r="O797" s="2" t="s">
        <v>97</v>
      </c>
      <c r="P797" s="2" t="s">
        <v>98</v>
      </c>
      <c r="Q797" s="2" t="s">
        <v>99</v>
      </c>
      <c r="R797" s="2" t="s">
        <v>100</v>
      </c>
      <c r="S797" s="2" t="s">
        <v>2898</v>
      </c>
      <c r="T797" s="2" t="s">
        <v>1565</v>
      </c>
      <c r="U797" s="2" t="s">
        <v>1508</v>
      </c>
      <c r="V797" s="2" t="s">
        <v>645</v>
      </c>
      <c r="W797" s="2" t="s">
        <v>1240</v>
      </c>
      <c r="X797" s="2" t="s">
        <v>2022</v>
      </c>
      <c r="Y797" s="2" t="s">
        <v>834</v>
      </c>
      <c r="Z797" s="4">
        <v>605</v>
      </c>
      <c r="AA797" s="4">
        <f>=ROUNDDOWN(40.3333333333333,0)</f>
      </c>
      <c r="AB797" s="5">
        <v>15</v>
      </c>
      <c r="AC797" s="2" t="s">
        <v>287</v>
      </c>
      <c r="AD797" s="4">
        <v>160</v>
      </c>
      <c r="AE797" s="4">
        <v>580</v>
      </c>
      <c r="AF797" s="6">
        <v>64</v>
      </c>
      <c r="AG797" s="6">
        <v>47</v>
      </c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 t="s">
        <v>100</v>
      </c>
      <c r="AW797" s="8" t="s">
        <v>100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/>
      <c r="BJ797" s="4">
        <v>12</v>
      </c>
      <c r="BK797" s="8">
        <v>612.22</v>
      </c>
      <c r="BL797" s="2" t="s">
        <v>2899</v>
      </c>
      <c r="BM797" s="7"/>
      <c r="BN797" s="7"/>
      <c r="BO797" s="4"/>
      <c r="BP797" s="8"/>
      <c r="BQ797" s="4"/>
      <c r="BR797" s="8"/>
      <c r="BS797" s="7"/>
      <c r="BT797" s="7"/>
      <c r="BU797" s="2" t="s">
        <v>109</v>
      </c>
      <c r="BV797" s="2" t="s">
        <v>97</v>
      </c>
      <c r="BW797" s="2" t="s">
        <v>266</v>
      </c>
      <c r="BX797" s="2" t="s">
        <v>389</v>
      </c>
      <c r="BY797" s="2" t="s">
        <v>112</v>
      </c>
      <c r="BZ797" s="2" t="s">
        <v>100</v>
      </c>
    </row>
    <row r="798">
      <c r="A798" s="2" t="s">
        <v>2900</v>
      </c>
      <c r="B798" s="2" t="s">
        <v>87</v>
      </c>
      <c r="C798" s="2" t="s">
        <v>88</v>
      </c>
      <c r="D798" s="2" t="s">
        <v>2230</v>
      </c>
      <c r="E798" s="2" t="s">
        <v>2656</v>
      </c>
      <c r="F798" s="2" t="s">
        <v>2894</v>
      </c>
      <c r="G798" s="2" t="s">
        <v>2895</v>
      </c>
      <c r="H798" s="2" t="s">
        <v>2896</v>
      </c>
      <c r="I798" s="2" t="s">
        <v>2897</v>
      </c>
      <c r="J798" s="2" t="s">
        <v>795</v>
      </c>
      <c r="K798" s="2" t="s">
        <v>409</v>
      </c>
      <c r="L798" s="3">
        <v>47.52</v>
      </c>
      <c r="M798" s="3">
        <v>49.9</v>
      </c>
      <c r="N798" s="3">
        <v>89.99</v>
      </c>
      <c r="O798" s="2" t="s">
        <v>97</v>
      </c>
      <c r="P798" s="2" t="s">
        <v>98</v>
      </c>
      <c r="Q798" s="2" t="s">
        <v>99</v>
      </c>
      <c r="R798" s="2" t="s">
        <v>100</v>
      </c>
      <c r="S798" s="2" t="s">
        <v>2898</v>
      </c>
      <c r="T798" s="2" t="s">
        <v>1565</v>
      </c>
      <c r="U798" s="2" t="s">
        <v>1508</v>
      </c>
      <c r="V798" s="2" t="s">
        <v>645</v>
      </c>
      <c r="W798" s="2" t="s">
        <v>1240</v>
      </c>
      <c r="X798" s="2" t="s">
        <v>2022</v>
      </c>
      <c r="Y798" s="2" t="s">
        <v>834</v>
      </c>
      <c r="Z798" s="4">
        <v>1028</v>
      </c>
      <c r="AA798" s="4">
        <f>=ROUNDDOWN(41.12,0)</f>
      </c>
      <c r="AB798" s="5">
        <v>25</v>
      </c>
      <c r="AC798" s="2" t="s">
        <v>955</v>
      </c>
      <c r="AD798" s="4">
        <v>290</v>
      </c>
      <c r="AE798" s="4">
        <v>620</v>
      </c>
      <c r="AF798" s="6">
        <v>64</v>
      </c>
      <c r="AG798" s="6">
        <v>47</v>
      </c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/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/>
      <c r="BJ798" s="4">
        <v>13</v>
      </c>
      <c r="BK798" s="8">
        <v>730.61</v>
      </c>
      <c r="BL798" s="2" t="s">
        <v>2439</v>
      </c>
      <c r="BM798" s="7"/>
      <c r="BN798" s="7"/>
      <c r="BO798" s="4"/>
      <c r="BP798" s="8"/>
      <c r="BQ798" s="4"/>
      <c r="BR798" s="8"/>
      <c r="BS798" s="7"/>
      <c r="BT798" s="7"/>
      <c r="BU798" s="2" t="s">
        <v>109</v>
      </c>
      <c r="BV798" s="2" t="s">
        <v>97</v>
      </c>
      <c r="BW798" s="2" t="s">
        <v>266</v>
      </c>
      <c r="BX798" s="2" t="s">
        <v>389</v>
      </c>
      <c r="BY798" s="2" t="s">
        <v>112</v>
      </c>
      <c r="BZ798" s="2" t="s">
        <v>100</v>
      </c>
    </row>
    <row r="799">
      <c r="A799" s="2" t="s">
        <v>2901</v>
      </c>
      <c r="B799" s="2" t="s">
        <v>87</v>
      </c>
      <c r="C799" s="2" t="s">
        <v>88</v>
      </c>
      <c r="D799" s="2" t="s">
        <v>2230</v>
      </c>
      <c r="E799" s="2" t="s">
        <v>2656</v>
      </c>
      <c r="F799" s="2" t="s">
        <v>2894</v>
      </c>
      <c r="G799" s="2" t="s">
        <v>2895</v>
      </c>
      <c r="H799" s="2" t="s">
        <v>2896</v>
      </c>
      <c r="I799" s="2" t="s">
        <v>2897</v>
      </c>
      <c r="J799" s="2" t="s">
        <v>785</v>
      </c>
      <c r="K799" s="2" t="s">
        <v>146</v>
      </c>
      <c r="L799" s="3">
        <v>43.2</v>
      </c>
      <c r="M799" s="3">
        <v>45.36</v>
      </c>
      <c r="N799" s="3">
        <v>79.99</v>
      </c>
      <c r="O799" s="2" t="s">
        <v>97</v>
      </c>
      <c r="P799" s="2" t="s">
        <v>98</v>
      </c>
      <c r="Q799" s="2" t="s">
        <v>99</v>
      </c>
      <c r="R799" s="2" t="s">
        <v>100</v>
      </c>
      <c r="S799" s="2" t="s">
        <v>2902</v>
      </c>
      <c r="T799" s="2" t="s">
        <v>1565</v>
      </c>
      <c r="U799" s="2" t="s">
        <v>1508</v>
      </c>
      <c r="V799" s="2" t="s">
        <v>645</v>
      </c>
      <c r="W799" s="2" t="s">
        <v>1240</v>
      </c>
      <c r="X799" s="2" t="s">
        <v>1302</v>
      </c>
      <c r="Y799" s="2" t="s">
        <v>131</v>
      </c>
      <c r="Z799" s="4">
        <v>389</v>
      </c>
      <c r="AA799" s="4">
        <f>=ROUNDDOWN(43.2222222222222,0)</f>
      </c>
      <c r="AB799" s="5">
        <v>9</v>
      </c>
      <c r="AC799" s="2" t="s">
        <v>287</v>
      </c>
      <c r="AD799" s="4">
        <v>170</v>
      </c>
      <c r="AE799" s="4">
        <v>270</v>
      </c>
      <c r="AF799" s="6">
        <v>64</v>
      </c>
      <c r="AG799" s="6">
        <v>47</v>
      </c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/>
      <c r="BJ799" s="4">
        <v>5</v>
      </c>
      <c r="BK799" s="8">
        <v>230.09</v>
      </c>
      <c r="BL799" s="2" t="s">
        <v>485</v>
      </c>
      <c r="BM799" s="7"/>
      <c r="BN799" s="7"/>
      <c r="BO799" s="4"/>
      <c r="BP799" s="8"/>
      <c r="BQ799" s="4"/>
      <c r="BR799" s="8"/>
      <c r="BS799" s="7"/>
      <c r="BT799" s="7"/>
      <c r="BU799" s="2" t="s">
        <v>109</v>
      </c>
      <c r="BV799" s="2" t="s">
        <v>97</v>
      </c>
      <c r="BW799" s="2" t="s">
        <v>122</v>
      </c>
      <c r="BX799" s="2" t="s">
        <v>831</v>
      </c>
      <c r="BY799" s="2" t="s">
        <v>112</v>
      </c>
      <c r="BZ799" s="2" t="s">
        <v>100</v>
      </c>
    </row>
    <row r="800">
      <c r="A800" s="2" t="s">
        <v>2903</v>
      </c>
      <c r="B800" s="2" t="s">
        <v>87</v>
      </c>
      <c r="C800" s="2" t="s">
        <v>88</v>
      </c>
      <c r="D800" s="2" t="s">
        <v>2230</v>
      </c>
      <c r="E800" s="2" t="s">
        <v>2656</v>
      </c>
      <c r="F800" s="2" t="s">
        <v>2894</v>
      </c>
      <c r="G800" s="2" t="s">
        <v>2895</v>
      </c>
      <c r="H800" s="2" t="s">
        <v>2896</v>
      </c>
      <c r="I800" s="2" t="s">
        <v>2897</v>
      </c>
      <c r="J800" s="2" t="s">
        <v>795</v>
      </c>
      <c r="K800" s="2" t="s">
        <v>146</v>
      </c>
      <c r="L800" s="3">
        <v>47.52</v>
      </c>
      <c r="M800" s="3">
        <v>49.9</v>
      </c>
      <c r="N800" s="3">
        <v>89.99</v>
      </c>
      <c r="O800" s="2" t="s">
        <v>97</v>
      </c>
      <c r="P800" s="2" t="s">
        <v>98</v>
      </c>
      <c r="Q800" s="2" t="s">
        <v>99</v>
      </c>
      <c r="R800" s="2" t="s">
        <v>100</v>
      </c>
      <c r="S800" s="2" t="s">
        <v>2902</v>
      </c>
      <c r="T800" s="2" t="s">
        <v>1565</v>
      </c>
      <c r="U800" s="2" t="s">
        <v>1508</v>
      </c>
      <c r="V800" s="2" t="s">
        <v>645</v>
      </c>
      <c r="W800" s="2" t="s">
        <v>1240</v>
      </c>
      <c r="X800" s="2" t="s">
        <v>1302</v>
      </c>
      <c r="Y800" s="2" t="s">
        <v>131</v>
      </c>
      <c r="Z800" s="4">
        <v>529</v>
      </c>
      <c r="AA800" s="4">
        <f>=ROUNDDOWN(35.2666666666667,0)</f>
      </c>
      <c r="AB800" s="5">
        <v>15</v>
      </c>
      <c r="AC800" s="2" t="s">
        <v>287</v>
      </c>
      <c r="AD800" s="4">
        <v>100</v>
      </c>
      <c r="AE800" s="4">
        <v>290</v>
      </c>
      <c r="AF800" s="6">
        <v>64</v>
      </c>
      <c r="AG800" s="6">
        <v>47</v>
      </c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/>
      <c r="BJ800" s="4">
        <v>12</v>
      </c>
      <c r="BK800" s="8">
        <v>634.22</v>
      </c>
      <c r="BL800" s="2" t="s">
        <v>2904</v>
      </c>
      <c r="BM800" s="7"/>
      <c r="BN800" s="7"/>
      <c r="BO800" s="4"/>
      <c r="BP800" s="8"/>
      <c r="BQ800" s="4"/>
      <c r="BR800" s="8"/>
      <c r="BS800" s="7"/>
      <c r="BT800" s="7"/>
      <c r="BU800" s="2" t="s">
        <v>109</v>
      </c>
      <c r="BV800" s="2" t="s">
        <v>97</v>
      </c>
      <c r="BW800" s="2" t="s">
        <v>1159</v>
      </c>
      <c r="BX800" s="2" t="s">
        <v>1634</v>
      </c>
      <c r="BY800" s="2" t="s">
        <v>112</v>
      </c>
      <c r="BZ800" s="2" t="s">
        <v>100</v>
      </c>
    </row>
    <row r="801">
      <c r="A801" s="2" t="s">
        <v>2905</v>
      </c>
      <c r="B801" s="2" t="s">
        <v>87</v>
      </c>
      <c r="C801" s="2" t="s">
        <v>88</v>
      </c>
      <c r="D801" s="2" t="s">
        <v>2230</v>
      </c>
      <c r="E801" s="2" t="s">
        <v>2656</v>
      </c>
      <c r="F801" s="2" t="s">
        <v>2894</v>
      </c>
      <c r="G801" s="2" t="s">
        <v>2895</v>
      </c>
      <c r="H801" s="2" t="s">
        <v>2896</v>
      </c>
      <c r="I801" s="2" t="s">
        <v>2897</v>
      </c>
      <c r="J801" s="2" t="s">
        <v>785</v>
      </c>
      <c r="K801" s="2" t="s">
        <v>198</v>
      </c>
      <c r="L801" s="3">
        <v>43.2</v>
      </c>
      <c r="M801" s="3">
        <v>45.36</v>
      </c>
      <c r="N801" s="3">
        <v>79.99</v>
      </c>
      <c r="O801" s="2" t="s">
        <v>97</v>
      </c>
      <c r="P801" s="2" t="s">
        <v>98</v>
      </c>
      <c r="Q801" s="2" t="s">
        <v>99</v>
      </c>
      <c r="R801" s="2" t="s">
        <v>100</v>
      </c>
      <c r="S801" s="2" t="s">
        <v>2906</v>
      </c>
      <c r="T801" s="2" t="s">
        <v>1565</v>
      </c>
      <c r="U801" s="2" t="s">
        <v>1508</v>
      </c>
      <c r="V801" s="2" t="s">
        <v>645</v>
      </c>
      <c r="W801" s="2" t="s">
        <v>1240</v>
      </c>
      <c r="X801" s="2" t="s">
        <v>1302</v>
      </c>
      <c r="Y801" s="2" t="s">
        <v>131</v>
      </c>
      <c r="Z801" s="4">
        <v>465</v>
      </c>
      <c r="AA801" s="4">
        <f>=ROUNDDOWN(46.5,0)</f>
      </c>
      <c r="AB801" s="5">
        <v>10</v>
      </c>
      <c r="AC801" s="2" t="s">
        <v>287</v>
      </c>
      <c r="AD801" s="4">
        <v>200</v>
      </c>
      <c r="AE801" s="4">
        <v>310</v>
      </c>
      <c r="AF801" s="6">
        <v>64</v>
      </c>
      <c r="AG801" s="6">
        <v>47</v>
      </c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/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/>
      <c r="BJ801" s="4">
        <v>7</v>
      </c>
      <c r="BK801" s="8">
        <v>334.96</v>
      </c>
      <c r="BL801" s="2" t="s">
        <v>2606</v>
      </c>
      <c r="BM801" s="7"/>
      <c r="BN801" s="7"/>
      <c r="BO801" s="4"/>
      <c r="BP801" s="8"/>
      <c r="BQ801" s="4"/>
      <c r="BR801" s="8"/>
      <c r="BS801" s="7"/>
      <c r="BT801" s="7"/>
      <c r="BU801" s="2" t="s">
        <v>109</v>
      </c>
      <c r="BV801" s="2" t="s">
        <v>97</v>
      </c>
      <c r="BW801" s="2" t="s">
        <v>122</v>
      </c>
      <c r="BX801" s="2" t="s">
        <v>928</v>
      </c>
      <c r="BY801" s="2" t="s">
        <v>112</v>
      </c>
      <c r="BZ801" s="2" t="s">
        <v>100</v>
      </c>
    </row>
    <row r="802">
      <c r="A802" s="2" t="s">
        <v>2907</v>
      </c>
      <c r="B802" s="2" t="s">
        <v>87</v>
      </c>
      <c r="C802" s="2" t="s">
        <v>88</v>
      </c>
      <c r="D802" s="2" t="s">
        <v>2230</v>
      </c>
      <c r="E802" s="2" t="s">
        <v>2656</v>
      </c>
      <c r="F802" s="2" t="s">
        <v>2894</v>
      </c>
      <c r="G802" s="2" t="s">
        <v>2895</v>
      </c>
      <c r="H802" s="2" t="s">
        <v>2896</v>
      </c>
      <c r="I802" s="2" t="s">
        <v>2897</v>
      </c>
      <c r="J802" s="2" t="s">
        <v>795</v>
      </c>
      <c r="K802" s="2" t="s">
        <v>198</v>
      </c>
      <c r="L802" s="3">
        <v>47.52</v>
      </c>
      <c r="M802" s="3">
        <v>49.9</v>
      </c>
      <c r="N802" s="3">
        <v>89.99</v>
      </c>
      <c r="O802" s="2" t="s">
        <v>97</v>
      </c>
      <c r="P802" s="2" t="s">
        <v>98</v>
      </c>
      <c r="Q802" s="2" t="s">
        <v>99</v>
      </c>
      <c r="R802" s="2" t="s">
        <v>100</v>
      </c>
      <c r="S802" s="2" t="s">
        <v>2906</v>
      </c>
      <c r="T802" s="2" t="s">
        <v>1565</v>
      </c>
      <c r="U802" s="2" t="s">
        <v>1508</v>
      </c>
      <c r="V802" s="2" t="s">
        <v>645</v>
      </c>
      <c r="W802" s="2" t="s">
        <v>1240</v>
      </c>
      <c r="X802" s="2" t="s">
        <v>1302</v>
      </c>
      <c r="Y802" s="2" t="s">
        <v>131</v>
      </c>
      <c r="Z802" s="4">
        <v>680</v>
      </c>
      <c r="AA802" s="4">
        <f>=ROUNDDOWN(37.7777777777778,0)</f>
      </c>
      <c r="AB802" s="5">
        <v>18</v>
      </c>
      <c r="AC802" s="2" t="s">
        <v>583</v>
      </c>
      <c r="AD802" s="4">
        <v>280</v>
      </c>
      <c r="AE802" s="4">
        <v>280</v>
      </c>
      <c r="AF802" s="6">
        <v>64</v>
      </c>
      <c r="AG802" s="6">
        <v>47</v>
      </c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/>
      <c r="BJ802" s="4">
        <v>12</v>
      </c>
      <c r="BK802" s="8">
        <v>640.31</v>
      </c>
      <c r="BL802" s="2" t="s">
        <v>2908</v>
      </c>
      <c r="BM802" s="7"/>
      <c r="BN802" s="7"/>
      <c r="BO802" s="4"/>
      <c r="BP802" s="8"/>
      <c r="BQ802" s="4"/>
      <c r="BR802" s="8"/>
      <c r="BS802" s="7"/>
      <c r="BT802" s="7"/>
      <c r="BU802" s="2" t="s">
        <v>109</v>
      </c>
      <c r="BV802" s="2" t="s">
        <v>97</v>
      </c>
      <c r="BW802" s="2" t="s">
        <v>122</v>
      </c>
      <c r="BX802" s="2" t="s">
        <v>600</v>
      </c>
      <c r="BY802" s="2" t="s">
        <v>112</v>
      </c>
      <c r="BZ802" s="2" t="s">
        <v>100</v>
      </c>
    </row>
    <row r="803">
      <c r="A803" s="2" t="s">
        <v>2909</v>
      </c>
      <c r="B803" s="2" t="s">
        <v>87</v>
      </c>
      <c r="C803" s="2" t="s">
        <v>88</v>
      </c>
      <c r="D803" s="2" t="s">
        <v>2230</v>
      </c>
      <c r="E803" s="2" t="s">
        <v>2656</v>
      </c>
      <c r="F803" s="2" t="s">
        <v>2894</v>
      </c>
      <c r="G803" s="2" t="s">
        <v>2895</v>
      </c>
      <c r="H803" s="2" t="s">
        <v>2896</v>
      </c>
      <c r="I803" s="2" t="s">
        <v>2897</v>
      </c>
      <c r="J803" s="2" t="s">
        <v>785</v>
      </c>
      <c r="K803" s="2" t="s">
        <v>2910</v>
      </c>
      <c r="L803" s="3">
        <v>43.2</v>
      </c>
      <c r="M803" s="3">
        <v>45.36</v>
      </c>
      <c r="N803" s="3">
        <v>79.99</v>
      </c>
      <c r="O803" s="2" t="s">
        <v>473</v>
      </c>
      <c r="P803" s="2" t="s">
        <v>447</v>
      </c>
      <c r="Q803" s="2" t="s">
        <v>99</v>
      </c>
      <c r="R803" s="2" t="s">
        <v>100</v>
      </c>
      <c r="S803" s="2" t="s">
        <v>2911</v>
      </c>
      <c r="T803" s="2" t="s">
        <v>1565</v>
      </c>
      <c r="U803" s="2" t="s">
        <v>1508</v>
      </c>
      <c r="V803" s="2" t="s">
        <v>645</v>
      </c>
      <c r="W803" s="2" t="s">
        <v>1240</v>
      </c>
      <c r="X803" s="2" t="s">
        <v>2022</v>
      </c>
      <c r="Y803" s="2" t="s">
        <v>1180</v>
      </c>
      <c r="Z803" s="4">
        <v>307</v>
      </c>
      <c r="AA803" s="4">
        <f>=ROUNDDOWN(43.8571428571429,0)</f>
      </c>
      <c r="AB803" s="5">
        <v>7</v>
      </c>
      <c r="AC803" s="2" t="s">
        <v>100</v>
      </c>
      <c r="AD803" s="4"/>
      <c r="AE803" s="4"/>
      <c r="AF803" s="6">
        <v>64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/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/>
      <c r="BJ803" s="4">
        <v>5</v>
      </c>
      <c r="BK803" s="8">
        <v>231.85</v>
      </c>
      <c r="BL803" s="2" t="s">
        <v>2746</v>
      </c>
      <c r="BM803" s="7"/>
      <c r="BN803" s="7"/>
      <c r="BO803" s="4"/>
      <c r="BP803" s="8"/>
      <c r="BQ803" s="4"/>
      <c r="BR803" s="8"/>
      <c r="BS803" s="7"/>
      <c r="BT803" s="7"/>
      <c r="BU803" s="2" t="s">
        <v>109</v>
      </c>
      <c r="BV803" s="2" t="s">
        <v>97</v>
      </c>
      <c r="BW803" s="2" t="s">
        <v>312</v>
      </c>
      <c r="BX803" s="2" t="s">
        <v>2430</v>
      </c>
      <c r="BY803" s="2" t="s">
        <v>112</v>
      </c>
      <c r="BZ803" s="2" t="s">
        <v>100</v>
      </c>
    </row>
    <row r="804">
      <c r="A804" s="2" t="s">
        <v>2912</v>
      </c>
      <c r="B804" s="2" t="s">
        <v>87</v>
      </c>
      <c r="C804" s="2" t="s">
        <v>88</v>
      </c>
      <c r="D804" s="2" t="s">
        <v>2230</v>
      </c>
      <c r="E804" s="2" t="s">
        <v>2656</v>
      </c>
      <c r="F804" s="2" t="s">
        <v>2894</v>
      </c>
      <c r="G804" s="2" t="s">
        <v>2895</v>
      </c>
      <c r="H804" s="2" t="s">
        <v>2896</v>
      </c>
      <c r="I804" s="2" t="s">
        <v>2897</v>
      </c>
      <c r="J804" s="2" t="s">
        <v>795</v>
      </c>
      <c r="K804" s="2" t="s">
        <v>2910</v>
      </c>
      <c r="L804" s="3">
        <v>47.52</v>
      </c>
      <c r="M804" s="3">
        <v>49.9</v>
      </c>
      <c r="N804" s="3">
        <v>89.99</v>
      </c>
      <c r="O804" s="2" t="s">
        <v>473</v>
      </c>
      <c r="P804" s="2" t="s">
        <v>447</v>
      </c>
      <c r="Q804" s="2" t="s">
        <v>99</v>
      </c>
      <c r="R804" s="2" t="s">
        <v>100</v>
      </c>
      <c r="S804" s="2" t="s">
        <v>2911</v>
      </c>
      <c r="T804" s="2" t="s">
        <v>1565</v>
      </c>
      <c r="U804" s="2" t="s">
        <v>1508</v>
      </c>
      <c r="V804" s="2" t="s">
        <v>645</v>
      </c>
      <c r="W804" s="2" t="s">
        <v>1240</v>
      </c>
      <c r="X804" s="2" t="s">
        <v>2022</v>
      </c>
      <c r="Y804" s="2" t="s">
        <v>1180</v>
      </c>
      <c r="Z804" s="4">
        <v>606</v>
      </c>
      <c r="AA804" s="4">
        <f>=ROUNDDOWN(60.6,0)</f>
      </c>
      <c r="AB804" s="5">
        <v>10</v>
      </c>
      <c r="AC804" s="2" t="s">
        <v>100</v>
      </c>
      <c r="AD804" s="4"/>
      <c r="AE804" s="4"/>
      <c r="AF804" s="6">
        <v>64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/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/>
      <c r="BJ804" s="4">
        <v>8</v>
      </c>
      <c r="BK804" s="8">
        <v>450.57</v>
      </c>
      <c r="BL804" s="2" t="s">
        <v>1195</v>
      </c>
      <c r="BM804" s="7"/>
      <c r="BN804" s="7"/>
      <c r="BO804" s="4"/>
      <c r="BP804" s="8"/>
      <c r="BQ804" s="4"/>
      <c r="BR804" s="8"/>
      <c r="BS804" s="7"/>
      <c r="BT804" s="7"/>
      <c r="BU804" s="2" t="s">
        <v>109</v>
      </c>
      <c r="BV804" s="2" t="s">
        <v>97</v>
      </c>
      <c r="BW804" s="2" t="s">
        <v>312</v>
      </c>
      <c r="BX804" s="2" t="s">
        <v>2358</v>
      </c>
      <c r="BY804" s="2" t="s">
        <v>112</v>
      </c>
      <c r="BZ804" s="2" t="s">
        <v>100</v>
      </c>
    </row>
    <row r="805">
      <c r="A805" s="2" t="s">
        <v>2913</v>
      </c>
      <c r="B805" s="2" t="s">
        <v>87</v>
      </c>
      <c r="C805" s="2" t="s">
        <v>88</v>
      </c>
      <c r="D805" s="2" t="s">
        <v>2230</v>
      </c>
      <c r="E805" s="2" t="s">
        <v>2656</v>
      </c>
      <c r="F805" s="2" t="s">
        <v>2894</v>
      </c>
      <c r="G805" s="2" t="s">
        <v>2895</v>
      </c>
      <c r="H805" s="2" t="s">
        <v>2896</v>
      </c>
      <c r="I805" s="2" t="s">
        <v>2897</v>
      </c>
      <c r="J805" s="2" t="s">
        <v>785</v>
      </c>
      <c r="K805" s="2" t="s">
        <v>163</v>
      </c>
      <c r="L805" s="3">
        <v>43.2</v>
      </c>
      <c r="M805" s="3">
        <v>45.36</v>
      </c>
      <c r="N805" s="3">
        <v>79.99</v>
      </c>
      <c r="O805" s="2" t="s">
        <v>97</v>
      </c>
      <c r="P805" s="2" t="s">
        <v>98</v>
      </c>
      <c r="Q805" s="2" t="s">
        <v>99</v>
      </c>
      <c r="R805" s="2" t="s">
        <v>100</v>
      </c>
      <c r="S805" s="2" t="s">
        <v>2914</v>
      </c>
      <c r="T805" s="2" t="s">
        <v>1565</v>
      </c>
      <c r="U805" s="2" t="s">
        <v>1508</v>
      </c>
      <c r="V805" s="2" t="s">
        <v>645</v>
      </c>
      <c r="W805" s="2" t="s">
        <v>1240</v>
      </c>
      <c r="X805" s="2" t="s">
        <v>1302</v>
      </c>
      <c r="Y805" s="2" t="s">
        <v>131</v>
      </c>
      <c r="Z805" s="4">
        <v>520</v>
      </c>
      <c r="AA805" s="4">
        <f>=ROUNDDOWN(40,0)</f>
      </c>
      <c r="AB805" s="5">
        <v>13</v>
      </c>
      <c r="AC805" s="2" t="s">
        <v>955</v>
      </c>
      <c r="AD805" s="4">
        <v>90</v>
      </c>
      <c r="AE805" s="4">
        <v>90</v>
      </c>
      <c r="AF805" s="6">
        <v>64</v>
      </c>
      <c r="AG805" s="6">
        <v>47</v>
      </c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/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/>
      <c r="BJ805" s="4">
        <v>11</v>
      </c>
      <c r="BK805" s="8">
        <v>548.41</v>
      </c>
      <c r="BL805" s="2" t="s">
        <v>2915</v>
      </c>
      <c r="BM805" s="7"/>
      <c r="BN805" s="7"/>
      <c r="BO805" s="4"/>
      <c r="BP805" s="8"/>
      <c r="BQ805" s="4"/>
      <c r="BR805" s="8"/>
      <c r="BS805" s="7"/>
      <c r="BT805" s="7"/>
      <c r="BU805" s="2" t="s">
        <v>109</v>
      </c>
      <c r="BV805" s="2" t="s">
        <v>97</v>
      </c>
      <c r="BW805" s="2" t="s">
        <v>122</v>
      </c>
      <c r="BX805" s="2" t="s">
        <v>653</v>
      </c>
      <c r="BY805" s="2" t="s">
        <v>112</v>
      </c>
      <c r="BZ805" s="2" t="s">
        <v>100</v>
      </c>
    </row>
    <row r="806">
      <c r="A806" s="2" t="s">
        <v>2916</v>
      </c>
      <c r="B806" s="2" t="s">
        <v>87</v>
      </c>
      <c r="C806" s="2" t="s">
        <v>88</v>
      </c>
      <c r="D806" s="2" t="s">
        <v>2230</v>
      </c>
      <c r="E806" s="2" t="s">
        <v>2656</v>
      </c>
      <c r="F806" s="2" t="s">
        <v>2894</v>
      </c>
      <c r="G806" s="2" t="s">
        <v>2895</v>
      </c>
      <c r="H806" s="2" t="s">
        <v>2896</v>
      </c>
      <c r="I806" s="2" t="s">
        <v>2897</v>
      </c>
      <c r="J806" s="2" t="s">
        <v>795</v>
      </c>
      <c r="K806" s="2" t="s">
        <v>163</v>
      </c>
      <c r="L806" s="3">
        <v>47.52</v>
      </c>
      <c r="M806" s="3">
        <v>49.9</v>
      </c>
      <c r="N806" s="3">
        <v>89.99</v>
      </c>
      <c r="O806" s="2" t="s">
        <v>97</v>
      </c>
      <c r="P806" s="2" t="s">
        <v>98</v>
      </c>
      <c r="Q806" s="2" t="s">
        <v>99</v>
      </c>
      <c r="R806" s="2" t="s">
        <v>100</v>
      </c>
      <c r="S806" s="2" t="s">
        <v>2914</v>
      </c>
      <c r="T806" s="2" t="s">
        <v>1565</v>
      </c>
      <c r="U806" s="2" t="s">
        <v>1508</v>
      </c>
      <c r="V806" s="2" t="s">
        <v>645</v>
      </c>
      <c r="W806" s="2" t="s">
        <v>1240</v>
      </c>
      <c r="X806" s="2" t="s">
        <v>1302</v>
      </c>
      <c r="Y806" s="2" t="s">
        <v>131</v>
      </c>
      <c r="Z806" s="4">
        <v>676</v>
      </c>
      <c r="AA806" s="4">
        <f>=ROUNDDOWN(32.1904761904762,0)</f>
      </c>
      <c r="AB806" s="5">
        <v>21</v>
      </c>
      <c r="AC806" s="2" t="s">
        <v>955</v>
      </c>
      <c r="AD806" s="4">
        <v>310</v>
      </c>
      <c r="AE806" s="4">
        <v>310</v>
      </c>
      <c r="AF806" s="6">
        <v>64</v>
      </c>
      <c r="AG806" s="6">
        <v>47</v>
      </c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/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/>
      <c r="BJ806" s="4">
        <v>15</v>
      </c>
      <c r="BK806" s="8">
        <v>847.5</v>
      </c>
      <c r="BL806" s="2" t="s">
        <v>2917</v>
      </c>
      <c r="BM806" s="7"/>
      <c r="BN806" s="7"/>
      <c r="BO806" s="4"/>
      <c r="BP806" s="8"/>
      <c r="BQ806" s="4"/>
      <c r="BR806" s="8"/>
      <c r="BS806" s="7"/>
      <c r="BT806" s="7"/>
      <c r="BU806" s="2" t="s">
        <v>109</v>
      </c>
      <c r="BV806" s="2" t="s">
        <v>97</v>
      </c>
      <c r="BW806" s="2" t="s">
        <v>122</v>
      </c>
      <c r="BX806" s="2" t="s">
        <v>402</v>
      </c>
      <c r="BY806" s="2" t="s">
        <v>112</v>
      </c>
      <c r="BZ806" s="2" t="s">
        <v>100</v>
      </c>
    </row>
    <row r="807">
      <c r="A807" s="2" t="s">
        <v>2918</v>
      </c>
      <c r="B807" s="2" t="s">
        <v>87</v>
      </c>
      <c r="C807" s="2" t="s">
        <v>88</v>
      </c>
      <c r="D807" s="2" t="s">
        <v>2230</v>
      </c>
      <c r="E807" s="2" t="s">
        <v>2656</v>
      </c>
      <c r="F807" s="2" t="s">
        <v>2894</v>
      </c>
      <c r="G807" s="2" t="s">
        <v>2895</v>
      </c>
      <c r="H807" s="2" t="s">
        <v>2896</v>
      </c>
      <c r="I807" s="2" t="s">
        <v>2897</v>
      </c>
      <c r="J807" s="2" t="s">
        <v>785</v>
      </c>
      <c r="K807" s="2" t="s">
        <v>2919</v>
      </c>
      <c r="L807" s="3">
        <v>43.2</v>
      </c>
      <c r="M807" s="3">
        <v>45.36</v>
      </c>
      <c r="N807" s="3">
        <v>79.99</v>
      </c>
      <c r="O807" s="2" t="s">
        <v>97</v>
      </c>
      <c r="P807" s="2" t="s">
        <v>98</v>
      </c>
      <c r="Q807" s="2" t="s">
        <v>99</v>
      </c>
      <c r="R807" s="2" t="s">
        <v>100</v>
      </c>
      <c r="S807" s="2" t="s">
        <v>2920</v>
      </c>
      <c r="T807" s="2" t="s">
        <v>1565</v>
      </c>
      <c r="U807" s="2" t="s">
        <v>1508</v>
      </c>
      <c r="V807" s="2" t="s">
        <v>645</v>
      </c>
      <c r="W807" s="2" t="s">
        <v>1240</v>
      </c>
      <c r="X807" s="2" t="s">
        <v>2022</v>
      </c>
      <c r="Y807" s="2" t="s">
        <v>1180</v>
      </c>
      <c r="Z807" s="4">
        <v>460</v>
      </c>
      <c r="AA807" s="4">
        <f>=ROUNDDOWN(76.6666666666667,0)</f>
      </c>
      <c r="AB807" s="5">
        <v>6</v>
      </c>
      <c r="AC807" s="2" t="s">
        <v>100</v>
      </c>
      <c r="AD807" s="4"/>
      <c r="AE807" s="4"/>
      <c r="AF807" s="6">
        <v>64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 t="s">
        <v>100</v>
      </c>
      <c r="AW807" s="8" t="s">
        <v>100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/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/>
      <c r="BJ807" s="4">
        <v>5</v>
      </c>
      <c r="BK807" s="8">
        <v>243.48</v>
      </c>
      <c r="BL807" s="2" t="s">
        <v>2921</v>
      </c>
      <c r="BM807" s="7"/>
      <c r="BN807" s="7"/>
      <c r="BO807" s="4"/>
      <c r="BP807" s="8"/>
      <c r="BQ807" s="4"/>
      <c r="BR807" s="8"/>
      <c r="BS807" s="7"/>
      <c r="BT807" s="7"/>
      <c r="BU807" s="2" t="s">
        <v>109</v>
      </c>
      <c r="BV807" s="2" t="s">
        <v>97</v>
      </c>
      <c r="BW807" s="2" t="s">
        <v>312</v>
      </c>
      <c r="BX807" s="2" t="s">
        <v>2358</v>
      </c>
      <c r="BY807" s="2" t="s">
        <v>112</v>
      </c>
      <c r="BZ807" s="2" t="s">
        <v>100</v>
      </c>
    </row>
    <row r="808">
      <c r="A808" s="2" t="s">
        <v>2922</v>
      </c>
      <c r="B808" s="2" t="s">
        <v>87</v>
      </c>
      <c r="C808" s="2" t="s">
        <v>88</v>
      </c>
      <c r="D808" s="2" t="s">
        <v>2230</v>
      </c>
      <c r="E808" s="2" t="s">
        <v>2656</v>
      </c>
      <c r="F808" s="2" t="s">
        <v>2894</v>
      </c>
      <c r="G808" s="2" t="s">
        <v>2895</v>
      </c>
      <c r="H808" s="2" t="s">
        <v>2896</v>
      </c>
      <c r="I808" s="2" t="s">
        <v>2897</v>
      </c>
      <c r="J808" s="2" t="s">
        <v>795</v>
      </c>
      <c r="K808" s="2" t="s">
        <v>2919</v>
      </c>
      <c r="L808" s="3">
        <v>47.52</v>
      </c>
      <c r="M808" s="3">
        <v>49.9</v>
      </c>
      <c r="N808" s="3">
        <v>89.99</v>
      </c>
      <c r="O808" s="2" t="s">
        <v>97</v>
      </c>
      <c r="P808" s="2" t="s">
        <v>98</v>
      </c>
      <c r="Q808" s="2" t="s">
        <v>99</v>
      </c>
      <c r="R808" s="2" t="s">
        <v>100</v>
      </c>
      <c r="S808" s="2" t="s">
        <v>2920</v>
      </c>
      <c r="T808" s="2" t="s">
        <v>1565</v>
      </c>
      <c r="U808" s="2" t="s">
        <v>1508</v>
      </c>
      <c r="V808" s="2" t="s">
        <v>645</v>
      </c>
      <c r="W808" s="2" t="s">
        <v>1240</v>
      </c>
      <c r="X808" s="2" t="s">
        <v>2022</v>
      </c>
      <c r="Y808" s="2" t="s">
        <v>1180</v>
      </c>
      <c r="Z808" s="4">
        <v>762</v>
      </c>
      <c r="AA808" s="4">
        <f>=ROUNDDOWN(76.2,0)</f>
      </c>
      <c r="AB808" s="5">
        <v>10</v>
      </c>
      <c r="AC808" s="2" t="s">
        <v>100</v>
      </c>
      <c r="AD808" s="4"/>
      <c r="AE808" s="4"/>
      <c r="AF808" s="6">
        <v>64</v>
      </c>
      <c r="AG808" s="6"/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/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/>
      <c r="BJ808" s="4">
        <v>5</v>
      </c>
      <c r="BK808" s="8">
        <v>285.13</v>
      </c>
      <c r="BL808" s="2" t="s">
        <v>156</v>
      </c>
      <c r="BM808" s="7"/>
      <c r="BN808" s="7"/>
      <c r="BO808" s="4"/>
      <c r="BP808" s="8"/>
      <c r="BQ808" s="4"/>
      <c r="BR808" s="8"/>
      <c r="BS808" s="7"/>
      <c r="BT808" s="7"/>
      <c r="BU808" s="2" t="s">
        <v>109</v>
      </c>
      <c r="BV808" s="2" t="s">
        <v>97</v>
      </c>
      <c r="BW808" s="2" t="s">
        <v>312</v>
      </c>
      <c r="BX808" s="2" t="s">
        <v>2343</v>
      </c>
      <c r="BY808" s="2" t="s">
        <v>112</v>
      </c>
      <c r="BZ808" s="2" t="s">
        <v>100</v>
      </c>
    </row>
    <row r="809">
      <c r="A809" s="2" t="s">
        <v>2923</v>
      </c>
      <c r="B809" s="2" t="s">
        <v>87</v>
      </c>
      <c r="C809" s="2" t="s">
        <v>88</v>
      </c>
      <c r="D809" s="2" t="s">
        <v>2230</v>
      </c>
      <c r="E809" s="2" t="s">
        <v>2656</v>
      </c>
      <c r="F809" s="2" t="s">
        <v>2894</v>
      </c>
      <c r="G809" s="2" t="s">
        <v>2895</v>
      </c>
      <c r="H809" s="2" t="s">
        <v>2896</v>
      </c>
      <c r="I809" s="2" t="s">
        <v>2897</v>
      </c>
      <c r="J809" s="2" t="s">
        <v>785</v>
      </c>
      <c r="K809" s="2" t="s">
        <v>175</v>
      </c>
      <c r="L809" s="3">
        <v>43.2</v>
      </c>
      <c r="M809" s="3">
        <v>45.36</v>
      </c>
      <c r="N809" s="3">
        <v>79.99</v>
      </c>
      <c r="O809" s="2" t="s">
        <v>97</v>
      </c>
      <c r="P809" s="2" t="s">
        <v>98</v>
      </c>
      <c r="Q809" s="2" t="s">
        <v>99</v>
      </c>
      <c r="R809" s="2" t="s">
        <v>100</v>
      </c>
      <c r="S809" s="2" t="s">
        <v>2924</v>
      </c>
      <c r="T809" s="2" t="s">
        <v>1565</v>
      </c>
      <c r="U809" s="2" t="s">
        <v>1508</v>
      </c>
      <c r="V809" s="2" t="s">
        <v>645</v>
      </c>
      <c r="W809" s="2" t="s">
        <v>1240</v>
      </c>
      <c r="X809" s="2" t="s">
        <v>1302</v>
      </c>
      <c r="Y809" s="2" t="s">
        <v>131</v>
      </c>
      <c r="Z809" s="4">
        <v>359</v>
      </c>
      <c r="AA809" s="4">
        <f>=ROUNDDOWN(59.8333333333333,0)</f>
      </c>
      <c r="AB809" s="5">
        <v>6</v>
      </c>
      <c r="AC809" s="2" t="s">
        <v>100</v>
      </c>
      <c r="AD809" s="4"/>
      <c r="AE809" s="4"/>
      <c r="AF809" s="6">
        <v>64</v>
      </c>
      <c r="AG809" s="6">
        <v>47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/>
      <c r="AQ809" s="8"/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/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/>
      <c r="BJ809" s="4">
        <v>5</v>
      </c>
      <c r="BK809" s="8">
        <v>232.15</v>
      </c>
      <c r="BL809" s="2" t="s">
        <v>501</v>
      </c>
      <c r="BM809" s="7"/>
      <c r="BN809" s="7"/>
      <c r="BO809" s="4"/>
      <c r="BP809" s="8"/>
      <c r="BQ809" s="4"/>
      <c r="BR809" s="8"/>
      <c r="BS809" s="7"/>
      <c r="BT809" s="7"/>
      <c r="BU809" s="2" t="s">
        <v>109</v>
      </c>
      <c r="BV809" s="2" t="s">
        <v>97</v>
      </c>
      <c r="BW809" s="2" t="s">
        <v>1159</v>
      </c>
      <c r="BX809" s="2" t="s">
        <v>2925</v>
      </c>
      <c r="BY809" s="2" t="s">
        <v>112</v>
      </c>
      <c r="BZ809" s="2" t="s">
        <v>100</v>
      </c>
    </row>
    <row r="810">
      <c r="A810" s="2" t="s">
        <v>2926</v>
      </c>
      <c r="B810" s="2" t="s">
        <v>87</v>
      </c>
      <c r="C810" s="2" t="s">
        <v>88</v>
      </c>
      <c r="D810" s="2" t="s">
        <v>2230</v>
      </c>
      <c r="E810" s="2" t="s">
        <v>2656</v>
      </c>
      <c r="F810" s="2" t="s">
        <v>2894</v>
      </c>
      <c r="G810" s="2" t="s">
        <v>2895</v>
      </c>
      <c r="H810" s="2" t="s">
        <v>2896</v>
      </c>
      <c r="I810" s="2" t="s">
        <v>2897</v>
      </c>
      <c r="J810" s="2" t="s">
        <v>795</v>
      </c>
      <c r="K810" s="2" t="s">
        <v>175</v>
      </c>
      <c r="L810" s="3">
        <v>47.52</v>
      </c>
      <c r="M810" s="3">
        <v>49.9</v>
      </c>
      <c r="N810" s="3">
        <v>89.99</v>
      </c>
      <c r="O810" s="2" t="s">
        <v>97</v>
      </c>
      <c r="P810" s="2" t="s">
        <v>98</v>
      </c>
      <c r="Q810" s="2" t="s">
        <v>99</v>
      </c>
      <c r="R810" s="2" t="s">
        <v>100</v>
      </c>
      <c r="S810" s="2" t="s">
        <v>2924</v>
      </c>
      <c r="T810" s="2" t="s">
        <v>1565</v>
      </c>
      <c r="U810" s="2" t="s">
        <v>1508</v>
      </c>
      <c r="V810" s="2" t="s">
        <v>645</v>
      </c>
      <c r="W810" s="2" t="s">
        <v>1240</v>
      </c>
      <c r="X810" s="2" t="s">
        <v>1302</v>
      </c>
      <c r="Y810" s="2" t="s">
        <v>131</v>
      </c>
      <c r="Z810" s="4">
        <v>820</v>
      </c>
      <c r="AA810" s="4">
        <f>=ROUNDDOWN(54.6666666666667,0)</f>
      </c>
      <c r="AB810" s="5">
        <v>15</v>
      </c>
      <c r="AC810" s="2" t="s">
        <v>100</v>
      </c>
      <c r="AD810" s="4"/>
      <c r="AE810" s="4"/>
      <c r="AF810" s="6">
        <v>64</v>
      </c>
      <c r="AG810" s="6">
        <v>47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/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/>
      <c r="BJ810" s="4">
        <v>6</v>
      </c>
      <c r="BK810" s="8">
        <v>301.04</v>
      </c>
      <c r="BL810" s="2" t="s">
        <v>2927</v>
      </c>
      <c r="BM810" s="7"/>
      <c r="BN810" s="7"/>
      <c r="BO810" s="4"/>
      <c r="BP810" s="8"/>
      <c r="BQ810" s="4"/>
      <c r="BR810" s="8"/>
      <c r="BS810" s="7"/>
      <c r="BT810" s="7"/>
      <c r="BU810" s="2" t="s">
        <v>109</v>
      </c>
      <c r="BV810" s="2" t="s">
        <v>97</v>
      </c>
      <c r="BW810" s="2" t="s">
        <v>122</v>
      </c>
      <c r="BX810" s="2" t="s">
        <v>634</v>
      </c>
      <c r="BY810" s="2" t="s">
        <v>112</v>
      </c>
      <c r="BZ810" s="2" t="s">
        <v>100</v>
      </c>
    </row>
    <row r="811">
      <c r="A811" s="2" t="s">
        <v>2928</v>
      </c>
      <c r="B811" s="2" t="s">
        <v>87</v>
      </c>
      <c r="C811" s="2" t="s">
        <v>88</v>
      </c>
      <c r="D811" s="2" t="s">
        <v>2230</v>
      </c>
      <c r="E811" s="2" t="s">
        <v>2656</v>
      </c>
      <c r="F811" s="2" t="s">
        <v>2894</v>
      </c>
      <c r="G811" s="2" t="s">
        <v>2895</v>
      </c>
      <c r="H811" s="2" t="s">
        <v>2896</v>
      </c>
      <c r="I811" s="2" t="s">
        <v>2897</v>
      </c>
      <c r="J811" s="2" t="s">
        <v>785</v>
      </c>
      <c r="K811" s="2" t="s">
        <v>1515</v>
      </c>
      <c r="L811" s="3">
        <v>43.2</v>
      </c>
      <c r="M811" s="3">
        <v>45.36</v>
      </c>
      <c r="N811" s="3">
        <v>79.99</v>
      </c>
      <c r="O811" s="2" t="s">
        <v>97</v>
      </c>
      <c r="P811" s="2" t="s">
        <v>98</v>
      </c>
      <c r="Q811" s="2" t="s">
        <v>99</v>
      </c>
      <c r="R811" s="2" t="s">
        <v>100</v>
      </c>
      <c r="S811" s="2" t="s">
        <v>2929</v>
      </c>
      <c r="T811" s="2" t="s">
        <v>1565</v>
      </c>
      <c r="U811" s="2" t="s">
        <v>1508</v>
      </c>
      <c r="V811" s="2" t="s">
        <v>645</v>
      </c>
      <c r="W811" s="2" t="s">
        <v>1240</v>
      </c>
      <c r="X811" s="2" t="s">
        <v>1302</v>
      </c>
      <c r="Y811" s="2" t="s">
        <v>2930</v>
      </c>
      <c r="Z811" s="4">
        <v>321</v>
      </c>
      <c r="AA811" s="4">
        <f>=ROUNDDOWN(24.6923076923077,0)</f>
      </c>
      <c r="AB811" s="5">
        <v>13</v>
      </c>
      <c r="AC811" s="2" t="s">
        <v>648</v>
      </c>
      <c r="AD811" s="4">
        <v>110</v>
      </c>
      <c r="AE811" s="4">
        <v>470</v>
      </c>
      <c r="AF811" s="6">
        <v>64</v>
      </c>
      <c r="AG811" s="6">
        <v>47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/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/>
      <c r="BJ811" s="4">
        <v>5</v>
      </c>
      <c r="BK811" s="8">
        <v>241.45</v>
      </c>
      <c r="BL811" s="2" t="s">
        <v>2723</v>
      </c>
      <c r="BM811" s="7"/>
      <c r="BN811" s="7"/>
      <c r="BO811" s="4"/>
      <c r="BP811" s="8"/>
      <c r="BQ811" s="4"/>
      <c r="BR811" s="8"/>
      <c r="BS811" s="7"/>
      <c r="BT811" s="7"/>
      <c r="BU811" s="2" t="s">
        <v>109</v>
      </c>
      <c r="BV811" s="2" t="s">
        <v>97</v>
      </c>
      <c r="BW811" s="2" t="s">
        <v>122</v>
      </c>
      <c r="BX811" s="2" t="s">
        <v>1126</v>
      </c>
      <c r="BY811" s="2" t="s">
        <v>112</v>
      </c>
      <c r="BZ811" s="2" t="s">
        <v>100</v>
      </c>
    </row>
    <row r="812">
      <c r="A812" s="2" t="s">
        <v>2931</v>
      </c>
      <c r="B812" s="2" t="s">
        <v>87</v>
      </c>
      <c r="C812" s="2" t="s">
        <v>88</v>
      </c>
      <c r="D812" s="2" t="s">
        <v>2230</v>
      </c>
      <c r="E812" s="2" t="s">
        <v>2656</v>
      </c>
      <c r="F812" s="2" t="s">
        <v>2894</v>
      </c>
      <c r="G812" s="2" t="s">
        <v>2895</v>
      </c>
      <c r="H812" s="2" t="s">
        <v>2896</v>
      </c>
      <c r="I812" s="2" t="s">
        <v>2897</v>
      </c>
      <c r="J812" s="2" t="s">
        <v>795</v>
      </c>
      <c r="K812" s="2" t="s">
        <v>1515</v>
      </c>
      <c r="L812" s="3">
        <v>47.52</v>
      </c>
      <c r="M812" s="3">
        <v>49.9</v>
      </c>
      <c r="N812" s="3">
        <v>89.99</v>
      </c>
      <c r="O812" s="2" t="s">
        <v>97</v>
      </c>
      <c r="P812" s="2" t="s">
        <v>98</v>
      </c>
      <c r="Q812" s="2" t="s">
        <v>99</v>
      </c>
      <c r="R812" s="2" t="s">
        <v>100</v>
      </c>
      <c r="S812" s="2" t="s">
        <v>2929</v>
      </c>
      <c r="T812" s="2" t="s">
        <v>1565</v>
      </c>
      <c r="U812" s="2" t="s">
        <v>1508</v>
      </c>
      <c r="V812" s="2" t="s">
        <v>645</v>
      </c>
      <c r="W812" s="2" t="s">
        <v>1240</v>
      </c>
      <c r="X812" s="2" t="s">
        <v>1302</v>
      </c>
      <c r="Y812" s="2" t="s">
        <v>2930</v>
      </c>
      <c r="Z812" s="4">
        <v>721</v>
      </c>
      <c r="AA812" s="4">
        <f>=ROUNDDOWN(30.0416666666667,0)</f>
      </c>
      <c r="AB812" s="5">
        <v>24</v>
      </c>
      <c r="AC812" s="2" t="s">
        <v>648</v>
      </c>
      <c r="AD812" s="4">
        <v>70</v>
      </c>
      <c r="AE812" s="4">
        <v>730</v>
      </c>
      <c r="AF812" s="6">
        <v>64</v>
      </c>
      <c r="AG812" s="6">
        <v>47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100</v>
      </c>
      <c r="AW812" s="8" t="s">
        <v>100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/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/>
      <c r="BJ812" s="4">
        <v>19</v>
      </c>
      <c r="BK812" s="8">
        <v>1014.71</v>
      </c>
      <c r="BL812" s="2" t="s">
        <v>2932</v>
      </c>
      <c r="BM812" s="7"/>
      <c r="BN812" s="7"/>
      <c r="BO812" s="4"/>
      <c r="BP812" s="8"/>
      <c r="BQ812" s="4"/>
      <c r="BR812" s="8"/>
      <c r="BS812" s="7"/>
      <c r="BT812" s="7"/>
      <c r="BU812" s="2" t="s">
        <v>109</v>
      </c>
      <c r="BV812" s="2" t="s">
        <v>97</v>
      </c>
      <c r="BW812" s="2" t="s">
        <v>122</v>
      </c>
      <c r="BX812" s="2" t="s">
        <v>154</v>
      </c>
      <c r="BY812" s="2" t="s">
        <v>112</v>
      </c>
      <c r="BZ812" s="2" t="s">
        <v>100</v>
      </c>
    </row>
    <row r="813">
      <c r="A813" s="2" t="s">
        <v>2933</v>
      </c>
      <c r="B813" s="2" t="s">
        <v>87</v>
      </c>
      <c r="C813" s="2" t="s">
        <v>88</v>
      </c>
      <c r="D813" s="2" t="s">
        <v>2230</v>
      </c>
      <c r="E813" s="2" t="s">
        <v>2656</v>
      </c>
      <c r="F813" s="2" t="s">
        <v>2221</v>
      </c>
      <c r="G813" s="2" t="s">
        <v>1522</v>
      </c>
      <c r="H813" s="2" t="s">
        <v>2222</v>
      </c>
      <c r="I813" s="2" t="s">
        <v>2934</v>
      </c>
      <c r="J813" s="2" t="s">
        <v>785</v>
      </c>
      <c r="K813" s="2" t="s">
        <v>2224</v>
      </c>
      <c r="L813" s="3">
        <v>43.2</v>
      </c>
      <c r="M813" s="3">
        <v>45.35</v>
      </c>
      <c r="N813" s="3">
        <v>89.99</v>
      </c>
      <c r="O813" s="2" t="s">
        <v>97</v>
      </c>
      <c r="P813" s="2" t="s">
        <v>98</v>
      </c>
      <c r="Q813" s="2" t="s">
        <v>99</v>
      </c>
      <c r="R813" s="2" t="s">
        <v>100</v>
      </c>
      <c r="S813" s="2" t="s">
        <v>2935</v>
      </c>
      <c r="T813" s="2" t="s">
        <v>359</v>
      </c>
      <c r="U813" s="2" t="s">
        <v>1508</v>
      </c>
      <c r="V813" s="2" t="s">
        <v>608</v>
      </c>
      <c r="W813" s="2" t="s">
        <v>1064</v>
      </c>
      <c r="X813" s="2" t="s">
        <v>563</v>
      </c>
      <c r="Y813" s="2" t="s">
        <v>2936</v>
      </c>
      <c r="Z813" s="4">
        <v>164</v>
      </c>
      <c r="AA813" s="4">
        <f>=ROUNDDOWN(18.2222222222222,0)</f>
      </c>
      <c r="AB813" s="5">
        <v>9</v>
      </c>
      <c r="AC813" s="2" t="s">
        <v>559</v>
      </c>
      <c r="AD813" s="4">
        <v>150</v>
      </c>
      <c r="AE813" s="4">
        <v>150</v>
      </c>
      <c r="AF813" s="6">
        <v>69</v>
      </c>
      <c r="AG813" s="6"/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/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/>
      <c r="BJ813" s="4">
        <v>10</v>
      </c>
      <c r="BK813" s="8">
        <v>437.38</v>
      </c>
      <c r="BL813" s="2" t="s">
        <v>1207</v>
      </c>
      <c r="BM813" s="7"/>
      <c r="BN813" s="7"/>
      <c r="BO813" s="4"/>
      <c r="BP813" s="8"/>
      <c r="BQ813" s="4"/>
      <c r="BR813" s="8"/>
      <c r="BS813" s="7"/>
      <c r="BT813" s="7"/>
      <c r="BU813" s="2" t="s">
        <v>109</v>
      </c>
      <c r="BV813" s="2" t="s">
        <v>97</v>
      </c>
      <c r="BW813" s="2" t="s">
        <v>2368</v>
      </c>
      <c r="BX813" s="2" t="s">
        <v>1406</v>
      </c>
      <c r="BY813" s="2" t="s">
        <v>112</v>
      </c>
      <c r="BZ813" s="2" t="s">
        <v>100</v>
      </c>
    </row>
    <row r="814">
      <c r="A814" s="2" t="s">
        <v>2937</v>
      </c>
      <c r="B814" s="2" t="s">
        <v>87</v>
      </c>
      <c r="C814" s="2" t="s">
        <v>88</v>
      </c>
      <c r="D814" s="2" t="s">
        <v>2230</v>
      </c>
      <c r="E814" s="2" t="s">
        <v>2656</v>
      </c>
      <c r="F814" s="2" t="s">
        <v>2221</v>
      </c>
      <c r="G814" s="2" t="s">
        <v>1522</v>
      </c>
      <c r="H814" s="2" t="s">
        <v>2222</v>
      </c>
      <c r="I814" s="2" t="s">
        <v>2934</v>
      </c>
      <c r="J814" s="2" t="s">
        <v>795</v>
      </c>
      <c r="K814" s="2" t="s">
        <v>2224</v>
      </c>
      <c r="L814" s="3">
        <v>52.8</v>
      </c>
      <c r="M814" s="3">
        <v>55.43</v>
      </c>
      <c r="N814" s="3">
        <v>109.99</v>
      </c>
      <c r="O814" s="2" t="s">
        <v>97</v>
      </c>
      <c r="P814" s="2" t="s">
        <v>98</v>
      </c>
      <c r="Q814" s="2" t="s">
        <v>99</v>
      </c>
      <c r="R814" s="2" t="s">
        <v>100</v>
      </c>
      <c r="S814" s="2" t="s">
        <v>2935</v>
      </c>
      <c r="T814" s="2" t="s">
        <v>359</v>
      </c>
      <c r="U814" s="2" t="s">
        <v>1508</v>
      </c>
      <c r="V814" s="2" t="s">
        <v>608</v>
      </c>
      <c r="W814" s="2" t="s">
        <v>1064</v>
      </c>
      <c r="X814" s="2" t="s">
        <v>563</v>
      </c>
      <c r="Y814" s="2" t="s">
        <v>2936</v>
      </c>
      <c r="Z814" s="4">
        <v>102</v>
      </c>
      <c r="AA814" s="4">
        <f>=ROUNDDOWN(10.7368421052632,0)</f>
      </c>
      <c r="AB814" s="5">
        <v>9.5</v>
      </c>
      <c r="AC814" s="2" t="s">
        <v>680</v>
      </c>
      <c r="AD814" s="4">
        <v>40</v>
      </c>
      <c r="AE814" s="4">
        <v>340</v>
      </c>
      <c r="AF814" s="6">
        <v>69</v>
      </c>
      <c r="AG814" s="6"/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/>
      <c r="BJ814" s="4">
        <v>12</v>
      </c>
      <c r="BK814" s="8">
        <v>651.54</v>
      </c>
      <c r="BL814" s="2" t="s">
        <v>374</v>
      </c>
      <c r="BM814" s="7"/>
      <c r="BN814" s="7"/>
      <c r="BO814" s="4"/>
      <c r="BP814" s="8"/>
      <c r="BQ814" s="4"/>
      <c r="BR814" s="8"/>
      <c r="BS814" s="7"/>
      <c r="BT814" s="7"/>
      <c r="BU814" s="2" t="s">
        <v>109</v>
      </c>
      <c r="BV814" s="2" t="s">
        <v>97</v>
      </c>
      <c r="BW814" s="2" t="s">
        <v>2368</v>
      </c>
      <c r="BX814" s="2" t="s">
        <v>884</v>
      </c>
      <c r="BY814" s="2" t="s">
        <v>112</v>
      </c>
      <c r="BZ814" s="2" t="s">
        <v>100</v>
      </c>
    </row>
    <row r="815">
      <c r="A815" s="2" t="s">
        <v>2938</v>
      </c>
      <c r="B815" s="2" t="s">
        <v>87</v>
      </c>
      <c r="C815" s="2" t="s">
        <v>88</v>
      </c>
      <c r="D815" s="2" t="s">
        <v>2230</v>
      </c>
      <c r="E815" s="2" t="s">
        <v>2939</v>
      </c>
      <c r="F815" s="2" t="s">
        <v>2232</v>
      </c>
      <c r="G815" s="2" t="s">
        <v>2233</v>
      </c>
      <c r="H815" s="2" t="s">
        <v>2234</v>
      </c>
      <c r="I815" s="2" t="s">
        <v>2940</v>
      </c>
      <c r="J815" s="2" t="s">
        <v>114</v>
      </c>
      <c r="K815" s="2" t="s">
        <v>2257</v>
      </c>
      <c r="L815" s="3">
        <v>47</v>
      </c>
      <c r="M815" s="3">
        <v>49.35</v>
      </c>
      <c r="N815" s="3">
        <v>99.99</v>
      </c>
      <c r="O815" s="2" t="s">
        <v>97</v>
      </c>
      <c r="P815" s="2" t="s">
        <v>98</v>
      </c>
      <c r="Q815" s="2" t="s">
        <v>99</v>
      </c>
      <c r="R815" s="2" t="s">
        <v>100</v>
      </c>
      <c r="S815" s="2" t="s">
        <v>2316</v>
      </c>
      <c r="T815" s="2" t="s">
        <v>100</v>
      </c>
      <c r="U815" s="2" t="s">
        <v>1508</v>
      </c>
      <c r="V815" s="2" t="s">
        <v>645</v>
      </c>
      <c r="W815" s="2" t="s">
        <v>104</v>
      </c>
      <c r="X815" s="2" t="s">
        <v>976</v>
      </c>
      <c r="Y815" s="2" t="s">
        <v>2941</v>
      </c>
      <c r="Z815" s="4">
        <v>339</v>
      </c>
      <c r="AA815" s="4">
        <f>=ROUNDDOWN(12.5555555555556,0)</f>
      </c>
      <c r="AB815" s="5">
        <v>27</v>
      </c>
      <c r="AC815" s="2" t="s">
        <v>1377</v>
      </c>
      <c r="AD815" s="4">
        <v>310</v>
      </c>
      <c r="AE815" s="4">
        <v>710</v>
      </c>
      <c r="AF815" s="6">
        <v>65</v>
      </c>
      <c r="AG815" s="6">
        <v>48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1</v>
      </c>
      <c r="AQ815" s="8">
        <v>50.27</v>
      </c>
      <c r="AR815" s="4"/>
      <c r="AS815" s="8"/>
      <c r="AT815" s="7"/>
      <c r="AU815" s="7"/>
      <c r="AV815" s="4">
        <v>3</v>
      </c>
      <c r="AW815" s="8">
        <v>173.47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0.2898</v>
      </c>
      <c r="BC815" s="4">
        <v>5</v>
      </c>
      <c r="BD815" s="8">
        <v>288.79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>
        <v>0.6007</v>
      </c>
      <c r="BJ815" s="4">
        <v>22</v>
      </c>
      <c r="BK815" s="8">
        <v>1080.79</v>
      </c>
      <c r="BL815" s="2" t="s">
        <v>2942</v>
      </c>
      <c r="BM815" s="7">
        <v>0.0455</v>
      </c>
      <c r="BN815" s="7">
        <v>0.0465</v>
      </c>
      <c r="BO815" s="4">
        <v>1</v>
      </c>
      <c r="BP815" s="8">
        <v>50.27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266</v>
      </c>
      <c r="BX815" s="2" t="s">
        <v>1086</v>
      </c>
      <c r="BY815" s="2" t="s">
        <v>112</v>
      </c>
      <c r="BZ815" s="2" t="s">
        <v>100</v>
      </c>
    </row>
    <row r="816">
      <c r="A816" s="2" t="s">
        <v>2943</v>
      </c>
      <c r="B816" s="2" t="s">
        <v>87</v>
      </c>
      <c r="C816" s="2" t="s">
        <v>88</v>
      </c>
      <c r="D816" s="2" t="s">
        <v>2230</v>
      </c>
      <c r="E816" s="2" t="s">
        <v>2939</v>
      </c>
      <c r="F816" s="2" t="s">
        <v>2232</v>
      </c>
      <c r="G816" s="2" t="s">
        <v>2233</v>
      </c>
      <c r="H816" s="2" t="s">
        <v>2234</v>
      </c>
      <c r="I816" s="2" t="s">
        <v>2940</v>
      </c>
      <c r="J816" s="2" t="s">
        <v>120</v>
      </c>
      <c r="K816" s="2" t="s">
        <v>2257</v>
      </c>
      <c r="L816" s="3">
        <v>57.6</v>
      </c>
      <c r="M816" s="3">
        <v>60.47</v>
      </c>
      <c r="N816" s="3">
        <v>119.99</v>
      </c>
      <c r="O816" s="2" t="s">
        <v>97</v>
      </c>
      <c r="P816" s="2" t="s">
        <v>98</v>
      </c>
      <c r="Q816" s="2" t="s">
        <v>99</v>
      </c>
      <c r="R816" s="2" t="s">
        <v>100</v>
      </c>
      <c r="S816" s="2" t="s">
        <v>2316</v>
      </c>
      <c r="T816" s="2" t="s">
        <v>100</v>
      </c>
      <c r="U816" s="2" t="s">
        <v>1508</v>
      </c>
      <c r="V816" s="2" t="s">
        <v>645</v>
      </c>
      <c r="W816" s="2" t="s">
        <v>104</v>
      </c>
      <c r="X816" s="2" t="s">
        <v>976</v>
      </c>
      <c r="Y816" s="2" t="s">
        <v>2941</v>
      </c>
      <c r="Z816" s="4">
        <v>414</v>
      </c>
      <c r="AA816" s="4">
        <f>=ROUNDDOWN(19.7142857142857,0)</f>
      </c>
      <c r="AB816" s="5">
        <v>21</v>
      </c>
      <c r="AC816" s="2" t="s">
        <v>107</v>
      </c>
      <c r="AD816" s="4">
        <v>150</v>
      </c>
      <c r="AE816" s="4">
        <v>440</v>
      </c>
      <c r="AF816" s="6">
        <v>65</v>
      </c>
      <c r="AG816" s="6">
        <v>48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>
        <v>2</v>
      </c>
      <c r="AQ816" s="8">
        <v>123.2</v>
      </c>
      <c r="AR816" s="4"/>
      <c r="AS816" s="8"/>
      <c r="AT816" s="7"/>
      <c r="AU816" s="7"/>
      <c r="AV816" s="4" t="s">
        <v>100</v>
      </c>
      <c r="AW816" s="8" t="s">
        <v>100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>
        <v>0.7102</v>
      </c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 t="s">
        <v>100</v>
      </c>
      <c r="BJ816" s="4">
        <v>13</v>
      </c>
      <c r="BK816" s="8">
        <v>783.9</v>
      </c>
      <c r="BL816" s="2" t="s">
        <v>2944</v>
      </c>
      <c r="BM816" s="7">
        <v>0.1538</v>
      </c>
      <c r="BN816" s="7">
        <v>0.1572</v>
      </c>
      <c r="BO816" s="4">
        <v>2</v>
      </c>
      <c r="BP816" s="8">
        <v>123.2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266</v>
      </c>
      <c r="BX816" s="2" t="s">
        <v>1086</v>
      </c>
      <c r="BY816" s="2" t="s">
        <v>112</v>
      </c>
      <c r="BZ816" s="2" t="s">
        <v>100</v>
      </c>
    </row>
    <row r="817">
      <c r="A817" s="2" t="s">
        <v>2945</v>
      </c>
      <c r="B817" s="2" t="s">
        <v>87</v>
      </c>
      <c r="C817" s="2" t="s">
        <v>88</v>
      </c>
      <c r="D817" s="2" t="s">
        <v>2230</v>
      </c>
      <c r="E817" s="2" t="s">
        <v>2939</v>
      </c>
      <c r="F817" s="2" t="s">
        <v>2232</v>
      </c>
      <c r="G817" s="2" t="s">
        <v>2233</v>
      </c>
      <c r="H817" s="2" t="s">
        <v>2234</v>
      </c>
      <c r="I817" s="2" t="s">
        <v>2940</v>
      </c>
      <c r="J817" s="2" t="s">
        <v>114</v>
      </c>
      <c r="K817" s="2" t="s">
        <v>163</v>
      </c>
      <c r="L817" s="3">
        <v>47</v>
      </c>
      <c r="M817" s="3">
        <v>49.35</v>
      </c>
      <c r="N817" s="3">
        <v>99.99</v>
      </c>
      <c r="O817" s="2" t="s">
        <v>97</v>
      </c>
      <c r="P817" s="2" t="s">
        <v>98</v>
      </c>
      <c r="Q817" s="2" t="s">
        <v>99</v>
      </c>
      <c r="R817" s="2" t="s">
        <v>100</v>
      </c>
      <c r="S817" s="2" t="s">
        <v>2316</v>
      </c>
      <c r="T817" s="2" t="s">
        <v>100</v>
      </c>
      <c r="U817" s="2" t="s">
        <v>1508</v>
      </c>
      <c r="V817" s="2" t="s">
        <v>645</v>
      </c>
      <c r="W817" s="2" t="s">
        <v>104</v>
      </c>
      <c r="X817" s="2" t="s">
        <v>976</v>
      </c>
      <c r="Y817" s="2" t="s">
        <v>2941</v>
      </c>
      <c r="Z817" s="4">
        <v>319</v>
      </c>
      <c r="AA817" s="4">
        <f>=ROUNDDOWN(18.7647058823529,0)</f>
      </c>
      <c r="AB817" s="5">
        <v>17</v>
      </c>
      <c r="AC817" s="2" t="s">
        <v>1962</v>
      </c>
      <c r="AD817" s="4">
        <v>40</v>
      </c>
      <c r="AE817" s="4">
        <v>310</v>
      </c>
      <c r="AF817" s="6">
        <v>65</v>
      </c>
      <c r="AG817" s="6">
        <v>48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/>
      <c r="AQ817" s="8"/>
      <c r="AR817" s="4"/>
      <c r="AS817" s="8"/>
      <c r="AT817" s="7"/>
      <c r="AU817" s="7"/>
      <c r="AV817" s="4">
        <v>1</v>
      </c>
      <c r="AW817" s="8">
        <v>63.5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>
        <v>0.2199</v>
      </c>
      <c r="BJ817" s="4">
        <v>7</v>
      </c>
      <c r="BK817" s="8">
        <v>342.8</v>
      </c>
      <c r="BL817" s="2" t="s">
        <v>388</v>
      </c>
      <c r="BM817" s="7"/>
      <c r="BN817" s="7"/>
      <c r="BO817" s="4"/>
      <c r="BP817" s="8"/>
      <c r="BQ817" s="4"/>
      <c r="BR817" s="8"/>
      <c r="BS817" s="7"/>
      <c r="BT817" s="7"/>
      <c r="BU817" s="2" t="s">
        <v>109</v>
      </c>
      <c r="BV817" s="2" t="s">
        <v>97</v>
      </c>
      <c r="BW817" s="2" t="s">
        <v>266</v>
      </c>
      <c r="BX817" s="2" t="s">
        <v>1933</v>
      </c>
      <c r="BY817" s="2" t="s">
        <v>112</v>
      </c>
      <c r="BZ817" s="2" t="s">
        <v>100</v>
      </c>
    </row>
    <row r="818">
      <c r="A818" s="2" t="s">
        <v>2946</v>
      </c>
      <c r="B818" s="2" t="s">
        <v>87</v>
      </c>
      <c r="C818" s="2" t="s">
        <v>88</v>
      </c>
      <c r="D818" s="2" t="s">
        <v>2230</v>
      </c>
      <c r="E818" s="2" t="s">
        <v>2939</v>
      </c>
      <c r="F818" s="2" t="s">
        <v>2232</v>
      </c>
      <c r="G818" s="2" t="s">
        <v>2233</v>
      </c>
      <c r="H818" s="2" t="s">
        <v>2234</v>
      </c>
      <c r="I818" s="2" t="s">
        <v>2940</v>
      </c>
      <c r="J818" s="2" t="s">
        <v>120</v>
      </c>
      <c r="K818" s="2" t="s">
        <v>163</v>
      </c>
      <c r="L818" s="3">
        <v>57.6</v>
      </c>
      <c r="M818" s="3">
        <v>60.47</v>
      </c>
      <c r="N818" s="3">
        <v>119.99</v>
      </c>
      <c r="O818" s="2" t="s">
        <v>97</v>
      </c>
      <c r="P818" s="2" t="s">
        <v>98</v>
      </c>
      <c r="Q818" s="2" t="s">
        <v>99</v>
      </c>
      <c r="R818" s="2" t="s">
        <v>100</v>
      </c>
      <c r="S818" s="2" t="s">
        <v>2316</v>
      </c>
      <c r="T818" s="2" t="s">
        <v>100</v>
      </c>
      <c r="U818" s="2" t="s">
        <v>1508</v>
      </c>
      <c r="V818" s="2" t="s">
        <v>645</v>
      </c>
      <c r="W818" s="2" t="s">
        <v>104</v>
      </c>
      <c r="X818" s="2" t="s">
        <v>976</v>
      </c>
      <c r="Y818" s="2" t="s">
        <v>2941</v>
      </c>
      <c r="Z818" s="4">
        <v>289</v>
      </c>
      <c r="AA818" s="4">
        <f>=ROUNDDOWN(20.6428571428571,0)</f>
      </c>
      <c r="AB818" s="5">
        <v>14</v>
      </c>
      <c r="AC818" s="2" t="s">
        <v>1962</v>
      </c>
      <c r="AD818" s="4">
        <v>30</v>
      </c>
      <c r="AE818" s="4">
        <v>240</v>
      </c>
      <c r="AF818" s="6">
        <v>65</v>
      </c>
      <c r="AG818" s="6">
        <v>48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>
        <v>1</v>
      </c>
      <c r="AQ818" s="8">
        <v>63.5</v>
      </c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>
        <v>1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 t="s">
        <v>100</v>
      </c>
      <c r="BJ818" s="4">
        <v>9</v>
      </c>
      <c r="BK818" s="8">
        <v>539.75</v>
      </c>
      <c r="BL818" s="2" t="s">
        <v>2947</v>
      </c>
      <c r="BM818" s="7">
        <v>0.1111</v>
      </c>
      <c r="BN818" s="7">
        <v>0.1176</v>
      </c>
      <c r="BO818" s="4">
        <v>1</v>
      </c>
      <c r="BP818" s="8">
        <v>63.5</v>
      </c>
      <c r="BQ818" s="4"/>
      <c r="BR818" s="8"/>
      <c r="BS818" s="7"/>
      <c r="BT818" s="7"/>
      <c r="BU818" s="2" t="s">
        <v>109</v>
      </c>
      <c r="BV818" s="2" t="s">
        <v>97</v>
      </c>
      <c r="BW818" s="2" t="s">
        <v>266</v>
      </c>
      <c r="BX818" s="2" t="s">
        <v>2201</v>
      </c>
      <c r="BY818" s="2" t="s">
        <v>112</v>
      </c>
      <c r="BZ818" s="2" t="s">
        <v>100</v>
      </c>
    </row>
    <row r="819">
      <c r="A819" s="2" t="s">
        <v>2948</v>
      </c>
      <c r="B819" s="2" t="s">
        <v>87</v>
      </c>
      <c r="C819" s="2" t="s">
        <v>88</v>
      </c>
      <c r="D819" s="2" t="s">
        <v>2230</v>
      </c>
      <c r="E819" s="2" t="s">
        <v>2939</v>
      </c>
      <c r="F819" s="2" t="s">
        <v>2232</v>
      </c>
      <c r="G819" s="2" t="s">
        <v>2233</v>
      </c>
      <c r="H819" s="2" t="s">
        <v>2234</v>
      </c>
      <c r="I819" s="2" t="s">
        <v>2940</v>
      </c>
      <c r="J819" s="2" t="s">
        <v>114</v>
      </c>
      <c r="K819" s="2" t="s">
        <v>2281</v>
      </c>
      <c r="L819" s="3">
        <v>47</v>
      </c>
      <c r="M819" s="3">
        <v>49.35</v>
      </c>
      <c r="N819" s="3">
        <v>99.99</v>
      </c>
      <c r="O819" s="2" t="s">
        <v>97</v>
      </c>
      <c r="P819" s="2" t="s">
        <v>98</v>
      </c>
      <c r="Q819" s="2" t="s">
        <v>99</v>
      </c>
      <c r="R819" s="2" t="s">
        <v>100</v>
      </c>
      <c r="S819" s="2" t="s">
        <v>2316</v>
      </c>
      <c r="T819" s="2" t="s">
        <v>100</v>
      </c>
      <c r="U819" s="2" t="s">
        <v>1508</v>
      </c>
      <c r="V819" s="2" t="s">
        <v>645</v>
      </c>
      <c r="W819" s="2" t="s">
        <v>104</v>
      </c>
      <c r="X819" s="2" t="s">
        <v>976</v>
      </c>
      <c r="Y819" s="2" t="s">
        <v>2941</v>
      </c>
      <c r="Z819" s="4">
        <v>191</v>
      </c>
      <c r="AA819" s="4">
        <f>=ROUNDDOWN(12.7333333333333,0)</f>
      </c>
      <c r="AB819" s="5">
        <v>15</v>
      </c>
      <c r="AC819" s="2" t="s">
        <v>287</v>
      </c>
      <c r="AD819" s="4">
        <v>12</v>
      </c>
      <c r="AE819" s="4">
        <v>412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>
        <v>1</v>
      </c>
      <c r="AQ819" s="8">
        <v>51.82</v>
      </c>
      <c r="AR819" s="4"/>
      <c r="AS819" s="8"/>
      <c r="AT819" s="7"/>
      <c r="AU819" s="7"/>
      <c r="AV819" s="4">
        <v>1</v>
      </c>
      <c r="AW819" s="8">
        <v>51.82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>
        <v>1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>
        <v>0.1794</v>
      </c>
      <c r="BJ819" s="4">
        <v>11</v>
      </c>
      <c r="BK819" s="8">
        <v>555.36</v>
      </c>
      <c r="BL819" s="2" t="s">
        <v>2949</v>
      </c>
      <c r="BM819" s="7">
        <v>0.0909</v>
      </c>
      <c r="BN819" s="7">
        <v>0.0933</v>
      </c>
      <c r="BO819" s="4">
        <v>1</v>
      </c>
      <c r="BP819" s="8">
        <v>51.82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266</v>
      </c>
      <c r="BX819" s="2" t="s">
        <v>2950</v>
      </c>
      <c r="BY819" s="2" t="s">
        <v>112</v>
      </c>
      <c r="BZ819" s="2" t="s">
        <v>100</v>
      </c>
    </row>
    <row r="820">
      <c r="A820" s="2" t="s">
        <v>2951</v>
      </c>
      <c r="B820" s="2" t="s">
        <v>87</v>
      </c>
      <c r="C820" s="2" t="s">
        <v>88</v>
      </c>
      <c r="D820" s="2" t="s">
        <v>2230</v>
      </c>
      <c r="E820" s="2" t="s">
        <v>2939</v>
      </c>
      <c r="F820" s="2" t="s">
        <v>2232</v>
      </c>
      <c r="G820" s="2" t="s">
        <v>2233</v>
      </c>
      <c r="H820" s="2" t="s">
        <v>2234</v>
      </c>
      <c r="I820" s="2" t="s">
        <v>2940</v>
      </c>
      <c r="J820" s="2" t="s">
        <v>120</v>
      </c>
      <c r="K820" s="2" t="s">
        <v>2281</v>
      </c>
      <c r="L820" s="3">
        <v>57.6</v>
      </c>
      <c r="M820" s="3">
        <v>60.47</v>
      </c>
      <c r="N820" s="3">
        <v>119.99</v>
      </c>
      <c r="O820" s="2" t="s">
        <v>97</v>
      </c>
      <c r="P820" s="2" t="s">
        <v>98</v>
      </c>
      <c r="Q820" s="2" t="s">
        <v>99</v>
      </c>
      <c r="R820" s="2" t="s">
        <v>100</v>
      </c>
      <c r="S820" s="2" t="s">
        <v>2316</v>
      </c>
      <c r="T820" s="2" t="s">
        <v>100</v>
      </c>
      <c r="U820" s="2" t="s">
        <v>1508</v>
      </c>
      <c r="V820" s="2" t="s">
        <v>645</v>
      </c>
      <c r="W820" s="2" t="s">
        <v>104</v>
      </c>
      <c r="X820" s="2" t="s">
        <v>976</v>
      </c>
      <c r="Y820" s="2" t="s">
        <v>2941</v>
      </c>
      <c r="Z820" s="4">
        <v>251</v>
      </c>
      <c r="AA820" s="4">
        <f>=ROUNDDOWN(20.9166666666667,0)</f>
      </c>
      <c r="AB820" s="5">
        <v>12</v>
      </c>
      <c r="AC820" s="2" t="s">
        <v>107</v>
      </c>
      <c r="AD820" s="4">
        <v>100</v>
      </c>
      <c r="AE820" s="4">
        <v>250</v>
      </c>
      <c r="AF820" s="6">
        <v>65</v>
      </c>
      <c r="AG820" s="6">
        <v>48</v>
      </c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/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 t="s">
        <v>100</v>
      </c>
      <c r="BJ820" s="4">
        <v>11</v>
      </c>
      <c r="BK820" s="8">
        <v>678.79</v>
      </c>
      <c r="BL820" s="2" t="s">
        <v>2952</v>
      </c>
      <c r="BM820" s="7"/>
      <c r="BN820" s="7"/>
      <c r="BO820" s="4"/>
      <c r="BP820" s="8"/>
      <c r="BQ820" s="4"/>
      <c r="BR820" s="8"/>
      <c r="BS820" s="7"/>
      <c r="BT820" s="7"/>
      <c r="BU820" s="2" t="s">
        <v>109</v>
      </c>
      <c r="BV820" s="2" t="s">
        <v>97</v>
      </c>
      <c r="BW820" s="2" t="s">
        <v>266</v>
      </c>
      <c r="BX820" s="2" t="s">
        <v>1792</v>
      </c>
      <c r="BY820" s="2" t="s">
        <v>112</v>
      </c>
      <c r="BZ820" s="2" t="s">
        <v>100</v>
      </c>
    </row>
    <row r="821">
      <c r="A821" s="2" t="s">
        <v>2953</v>
      </c>
      <c r="B821" s="2" t="s">
        <v>87</v>
      </c>
      <c r="C821" s="2" t="s">
        <v>88</v>
      </c>
      <c r="D821" s="2" t="s">
        <v>2230</v>
      </c>
      <c r="E821" s="2" t="s">
        <v>2939</v>
      </c>
      <c r="F821" s="2" t="s">
        <v>2232</v>
      </c>
      <c r="G821" s="2" t="s">
        <v>2233</v>
      </c>
      <c r="H821" s="2" t="s">
        <v>2234</v>
      </c>
      <c r="I821" s="2" t="s">
        <v>2940</v>
      </c>
      <c r="J821" s="2" t="s">
        <v>114</v>
      </c>
      <c r="K821" s="2" t="s">
        <v>1746</v>
      </c>
      <c r="L821" s="3">
        <v>47</v>
      </c>
      <c r="M821" s="3">
        <v>49.35</v>
      </c>
      <c r="N821" s="3">
        <v>99.99</v>
      </c>
      <c r="O821" s="2" t="s">
        <v>97</v>
      </c>
      <c r="P821" s="2" t="s">
        <v>98</v>
      </c>
      <c r="Q821" s="2" t="s">
        <v>99</v>
      </c>
      <c r="R821" s="2" t="s">
        <v>100</v>
      </c>
      <c r="S821" s="2" t="s">
        <v>2316</v>
      </c>
      <c r="T821" s="2" t="s">
        <v>100</v>
      </c>
      <c r="U821" s="2" t="s">
        <v>1508</v>
      </c>
      <c r="V821" s="2" t="s">
        <v>645</v>
      </c>
      <c r="W821" s="2" t="s">
        <v>104</v>
      </c>
      <c r="X821" s="2" t="s">
        <v>976</v>
      </c>
      <c r="Y821" s="2" t="s">
        <v>2941</v>
      </c>
      <c r="Z821" s="4">
        <v>163</v>
      </c>
      <c r="AA821" s="4">
        <f>=ROUNDDOWN(6.26923076923077,0)</f>
      </c>
      <c r="AB821" s="5">
        <v>26</v>
      </c>
      <c r="AC821" s="2" t="s">
        <v>165</v>
      </c>
      <c r="AD821" s="4">
        <v>30</v>
      </c>
      <c r="AE821" s="4">
        <v>620</v>
      </c>
      <c r="AF821" s="6">
        <v>65</v>
      </c>
      <c r="AG821" s="6">
        <v>48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/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13</v>
      </c>
      <c r="BK821" s="8">
        <v>669.5</v>
      </c>
      <c r="BL821" s="2" t="s">
        <v>2954</v>
      </c>
      <c r="BM821" s="7"/>
      <c r="BN821" s="7"/>
      <c r="BO821" s="4"/>
      <c r="BP821" s="8"/>
      <c r="BQ821" s="4"/>
      <c r="BR821" s="8"/>
      <c r="BS821" s="7"/>
      <c r="BT821" s="7"/>
      <c r="BU821" s="2" t="s">
        <v>109</v>
      </c>
      <c r="BV821" s="2" t="s">
        <v>97</v>
      </c>
      <c r="BW821" s="2" t="s">
        <v>266</v>
      </c>
      <c r="BX821" s="2" t="s">
        <v>2955</v>
      </c>
      <c r="BY821" s="2" t="s">
        <v>112</v>
      </c>
      <c r="BZ821" s="2" t="s">
        <v>100</v>
      </c>
    </row>
    <row r="822">
      <c r="A822" s="2" t="s">
        <v>2956</v>
      </c>
      <c r="B822" s="2" t="s">
        <v>87</v>
      </c>
      <c r="C822" s="2" t="s">
        <v>88</v>
      </c>
      <c r="D822" s="2" t="s">
        <v>2230</v>
      </c>
      <c r="E822" s="2" t="s">
        <v>2939</v>
      </c>
      <c r="F822" s="2" t="s">
        <v>2232</v>
      </c>
      <c r="G822" s="2" t="s">
        <v>2233</v>
      </c>
      <c r="H822" s="2" t="s">
        <v>2234</v>
      </c>
      <c r="I822" s="2" t="s">
        <v>2940</v>
      </c>
      <c r="J822" s="2" t="s">
        <v>120</v>
      </c>
      <c r="K822" s="2" t="s">
        <v>1746</v>
      </c>
      <c r="L822" s="3">
        <v>57.6</v>
      </c>
      <c r="M822" s="3">
        <v>60.47</v>
      </c>
      <c r="N822" s="3">
        <v>119.99</v>
      </c>
      <c r="O822" s="2" t="s">
        <v>97</v>
      </c>
      <c r="P822" s="2" t="s">
        <v>98</v>
      </c>
      <c r="Q822" s="2" t="s">
        <v>99</v>
      </c>
      <c r="R822" s="2" t="s">
        <v>100</v>
      </c>
      <c r="S822" s="2" t="s">
        <v>2316</v>
      </c>
      <c r="T822" s="2" t="s">
        <v>100</v>
      </c>
      <c r="U822" s="2" t="s">
        <v>1508</v>
      </c>
      <c r="V822" s="2" t="s">
        <v>645</v>
      </c>
      <c r="W822" s="2" t="s">
        <v>104</v>
      </c>
      <c r="X822" s="2" t="s">
        <v>976</v>
      </c>
      <c r="Y822" s="2" t="s">
        <v>2941</v>
      </c>
      <c r="Z822" s="4">
        <v>259</v>
      </c>
      <c r="AA822" s="4">
        <f>=ROUNDDOWN(18.5,0)</f>
      </c>
      <c r="AB822" s="5">
        <v>14</v>
      </c>
      <c r="AC822" s="2" t="s">
        <v>107</v>
      </c>
      <c r="AD822" s="4">
        <v>160</v>
      </c>
      <c r="AE822" s="4">
        <v>260</v>
      </c>
      <c r="AF822" s="6">
        <v>65</v>
      </c>
      <c r="AG822" s="6">
        <v>48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 t="s">
        <v>100</v>
      </c>
      <c r="AW822" s="8" t="s">
        <v>100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 t="s">
        <v>100</v>
      </c>
      <c r="BJ822" s="4">
        <v>8</v>
      </c>
      <c r="BK822" s="8">
        <v>486.56</v>
      </c>
      <c r="BL822" s="2" t="s">
        <v>1461</v>
      </c>
      <c r="BM822" s="7"/>
      <c r="BN822" s="7"/>
      <c r="BO822" s="4"/>
      <c r="BP822" s="8"/>
      <c r="BQ822" s="4"/>
      <c r="BR822" s="8"/>
      <c r="BS822" s="7"/>
      <c r="BT822" s="7"/>
      <c r="BU822" s="2" t="s">
        <v>109</v>
      </c>
      <c r="BV822" s="2" t="s">
        <v>97</v>
      </c>
      <c r="BW822" s="2" t="s">
        <v>2751</v>
      </c>
      <c r="BX822" s="2" t="s">
        <v>1936</v>
      </c>
      <c r="BY822" s="2" t="s">
        <v>112</v>
      </c>
      <c r="BZ822" s="2" t="s">
        <v>100</v>
      </c>
    </row>
    <row r="823">
      <c r="A823" s="2" t="s">
        <v>2957</v>
      </c>
      <c r="B823" s="2" t="s">
        <v>87</v>
      </c>
      <c r="C823" s="2" t="s">
        <v>88</v>
      </c>
      <c r="D823" s="2" t="s">
        <v>2230</v>
      </c>
      <c r="E823" s="2" t="s">
        <v>2939</v>
      </c>
      <c r="F823" s="2" t="s">
        <v>2958</v>
      </c>
      <c r="G823" s="2" t="s">
        <v>2959</v>
      </c>
      <c r="H823" s="2" t="s">
        <v>2960</v>
      </c>
      <c r="I823" s="2" t="s">
        <v>2961</v>
      </c>
      <c r="J823" s="2" t="s">
        <v>114</v>
      </c>
      <c r="K823" s="2" t="s">
        <v>198</v>
      </c>
      <c r="L823" s="3">
        <v>54</v>
      </c>
      <c r="M823" s="3">
        <v>56.7</v>
      </c>
      <c r="N823" s="3">
        <v>119.99</v>
      </c>
      <c r="O823" s="2" t="s">
        <v>97</v>
      </c>
      <c r="P823" s="2" t="s">
        <v>447</v>
      </c>
      <c r="Q823" s="2" t="s">
        <v>99</v>
      </c>
      <c r="R823" s="2" t="s">
        <v>100</v>
      </c>
      <c r="S823" s="2" t="s">
        <v>2962</v>
      </c>
      <c r="T823" s="2" t="s">
        <v>100</v>
      </c>
      <c r="U823" s="2" t="s">
        <v>1459</v>
      </c>
      <c r="V823" s="2" t="s">
        <v>645</v>
      </c>
      <c r="W823" s="2" t="s">
        <v>104</v>
      </c>
      <c r="X823" s="2" t="s">
        <v>2511</v>
      </c>
      <c r="Y823" s="2" t="s">
        <v>2963</v>
      </c>
      <c r="Z823" s="4">
        <v>167</v>
      </c>
      <c r="AA823" s="4">
        <f>=ROUNDDOWN(13.9166666666667,0)</f>
      </c>
      <c r="AB823" s="5">
        <v>12</v>
      </c>
      <c r="AC823" s="2" t="s">
        <v>107</v>
      </c>
      <c r="AD823" s="4">
        <v>170</v>
      </c>
      <c r="AE823" s="4">
        <v>170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/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/>
      <c r="BJ823" s="4">
        <v>14</v>
      </c>
      <c r="BK823" s="8">
        <v>743.3</v>
      </c>
      <c r="BL823" s="2" t="s">
        <v>2081</v>
      </c>
      <c r="BM823" s="7"/>
      <c r="BN823" s="7"/>
      <c r="BO823" s="4"/>
      <c r="BP823" s="8"/>
      <c r="BQ823" s="4"/>
      <c r="BR823" s="8"/>
      <c r="BS823" s="7"/>
      <c r="BT823" s="7"/>
      <c r="BU823" s="2" t="s">
        <v>109</v>
      </c>
      <c r="BV823" s="2" t="s">
        <v>97</v>
      </c>
      <c r="BW823" s="2" t="s">
        <v>739</v>
      </c>
      <c r="BX823" s="2" t="s">
        <v>170</v>
      </c>
      <c r="BY823" s="2" t="s">
        <v>112</v>
      </c>
      <c r="BZ823" s="2" t="s">
        <v>100</v>
      </c>
    </row>
    <row r="824">
      <c r="A824" s="2" t="s">
        <v>2964</v>
      </c>
      <c r="B824" s="2" t="s">
        <v>87</v>
      </c>
      <c r="C824" s="2" t="s">
        <v>88</v>
      </c>
      <c r="D824" s="2" t="s">
        <v>2230</v>
      </c>
      <c r="E824" s="2" t="s">
        <v>2939</v>
      </c>
      <c r="F824" s="2" t="s">
        <v>2958</v>
      </c>
      <c r="G824" s="2" t="s">
        <v>2959</v>
      </c>
      <c r="H824" s="2" t="s">
        <v>2960</v>
      </c>
      <c r="I824" s="2" t="s">
        <v>2961</v>
      </c>
      <c r="J824" s="2" t="s">
        <v>120</v>
      </c>
      <c r="K824" s="2" t="s">
        <v>198</v>
      </c>
      <c r="L824" s="3">
        <v>64.4</v>
      </c>
      <c r="M824" s="3">
        <v>67.62</v>
      </c>
      <c r="N824" s="3">
        <v>139.99</v>
      </c>
      <c r="O824" s="2" t="s">
        <v>97</v>
      </c>
      <c r="P824" s="2" t="s">
        <v>447</v>
      </c>
      <c r="Q824" s="2" t="s">
        <v>99</v>
      </c>
      <c r="R824" s="2" t="s">
        <v>100</v>
      </c>
      <c r="S824" s="2" t="s">
        <v>2962</v>
      </c>
      <c r="T824" s="2" t="s">
        <v>100</v>
      </c>
      <c r="U824" s="2" t="s">
        <v>1459</v>
      </c>
      <c r="V824" s="2" t="s">
        <v>645</v>
      </c>
      <c r="W824" s="2" t="s">
        <v>104</v>
      </c>
      <c r="X824" s="2" t="s">
        <v>2511</v>
      </c>
      <c r="Y824" s="2" t="s">
        <v>2963</v>
      </c>
      <c r="Z824" s="4">
        <v>130</v>
      </c>
      <c r="AA824" s="4">
        <f>=ROUNDDOWN(12.8712871287129,0)</f>
      </c>
      <c r="AB824" s="5">
        <v>10.1</v>
      </c>
      <c r="AC824" s="2" t="s">
        <v>107</v>
      </c>
      <c r="AD824" s="4">
        <v>120</v>
      </c>
      <c r="AE824" s="4">
        <v>120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 t="s">
        <v>100</v>
      </c>
      <c r="AW824" s="8" t="s">
        <v>100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/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/>
      <c r="BJ824" s="4">
        <v>13</v>
      </c>
      <c r="BK824" s="8">
        <v>711.47</v>
      </c>
      <c r="BL824" s="2" t="s">
        <v>2533</v>
      </c>
      <c r="BM824" s="7"/>
      <c r="BN824" s="7"/>
      <c r="BO824" s="4"/>
      <c r="BP824" s="8"/>
      <c r="BQ824" s="4"/>
      <c r="BR824" s="8"/>
      <c r="BS824" s="7"/>
      <c r="BT824" s="7"/>
      <c r="BU824" s="2" t="s">
        <v>109</v>
      </c>
      <c r="BV824" s="2" t="s">
        <v>97</v>
      </c>
      <c r="BW824" s="2" t="s">
        <v>122</v>
      </c>
      <c r="BX824" s="2" t="s">
        <v>127</v>
      </c>
      <c r="BY824" s="2" t="s">
        <v>112</v>
      </c>
      <c r="BZ824" s="2" t="s">
        <v>100</v>
      </c>
    </row>
    <row r="825">
      <c r="A825" s="2" t="s">
        <v>2965</v>
      </c>
      <c r="B825" s="2" t="s">
        <v>87</v>
      </c>
      <c r="C825" s="2" t="s">
        <v>88</v>
      </c>
      <c r="D825" s="2" t="s">
        <v>2230</v>
      </c>
      <c r="E825" s="2" t="s">
        <v>2939</v>
      </c>
      <c r="F825" s="2" t="s">
        <v>2958</v>
      </c>
      <c r="G825" s="2" t="s">
        <v>2959</v>
      </c>
      <c r="H825" s="2" t="s">
        <v>2960</v>
      </c>
      <c r="I825" s="2" t="s">
        <v>2961</v>
      </c>
      <c r="J825" s="2" t="s">
        <v>114</v>
      </c>
      <c r="K825" s="2" t="s">
        <v>1746</v>
      </c>
      <c r="L825" s="3">
        <v>54</v>
      </c>
      <c r="M825" s="3">
        <v>56.7</v>
      </c>
      <c r="N825" s="3">
        <v>119.99</v>
      </c>
      <c r="O825" s="2" t="s">
        <v>97</v>
      </c>
      <c r="P825" s="2" t="s">
        <v>98</v>
      </c>
      <c r="Q825" s="2" t="s">
        <v>99</v>
      </c>
      <c r="R825" s="2" t="s">
        <v>100</v>
      </c>
      <c r="S825" s="2" t="s">
        <v>2966</v>
      </c>
      <c r="T825" s="2" t="s">
        <v>100</v>
      </c>
      <c r="U825" s="2" t="s">
        <v>1459</v>
      </c>
      <c r="V825" s="2" t="s">
        <v>645</v>
      </c>
      <c r="W825" s="2" t="s">
        <v>104</v>
      </c>
      <c r="X825" s="2" t="s">
        <v>2511</v>
      </c>
      <c r="Y825" s="2" t="s">
        <v>2963</v>
      </c>
      <c r="Z825" s="4">
        <v>351</v>
      </c>
      <c r="AA825" s="4">
        <f>=ROUNDDOWN(25.0714285714286,0)</f>
      </c>
      <c r="AB825" s="5">
        <v>14</v>
      </c>
      <c r="AC825" s="2" t="s">
        <v>1629</v>
      </c>
      <c r="AD825" s="4">
        <v>120</v>
      </c>
      <c r="AE825" s="4">
        <v>120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/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/>
      <c r="BJ825" s="4">
        <v>23</v>
      </c>
      <c r="BK825" s="8">
        <v>1371.8</v>
      </c>
      <c r="BL825" s="2" t="s">
        <v>745</v>
      </c>
      <c r="BM825" s="7"/>
      <c r="BN825" s="7"/>
      <c r="BO825" s="4"/>
      <c r="BP825" s="8"/>
      <c r="BQ825" s="4"/>
      <c r="BR825" s="8"/>
      <c r="BS825" s="7"/>
      <c r="BT825" s="7"/>
      <c r="BU825" s="2" t="s">
        <v>109</v>
      </c>
      <c r="BV825" s="2" t="s">
        <v>97</v>
      </c>
      <c r="BW825" s="2" t="s">
        <v>739</v>
      </c>
      <c r="BX825" s="2" t="s">
        <v>1126</v>
      </c>
      <c r="BY825" s="2" t="s">
        <v>112</v>
      </c>
      <c r="BZ825" s="2" t="s">
        <v>100</v>
      </c>
    </row>
    <row r="826">
      <c r="A826" s="2" t="s">
        <v>2967</v>
      </c>
      <c r="B826" s="2" t="s">
        <v>87</v>
      </c>
      <c r="C826" s="2" t="s">
        <v>88</v>
      </c>
      <c r="D826" s="2" t="s">
        <v>2230</v>
      </c>
      <c r="E826" s="2" t="s">
        <v>2939</v>
      </c>
      <c r="F826" s="2" t="s">
        <v>2958</v>
      </c>
      <c r="G826" s="2" t="s">
        <v>2959</v>
      </c>
      <c r="H826" s="2" t="s">
        <v>2960</v>
      </c>
      <c r="I826" s="2" t="s">
        <v>2968</v>
      </c>
      <c r="J826" s="2" t="s">
        <v>120</v>
      </c>
      <c r="K826" s="2" t="s">
        <v>1746</v>
      </c>
      <c r="L826" s="3">
        <v>64.4</v>
      </c>
      <c r="M826" s="3">
        <v>67.62</v>
      </c>
      <c r="N826" s="3">
        <v>139.99</v>
      </c>
      <c r="O826" s="2" t="s">
        <v>97</v>
      </c>
      <c r="P826" s="2" t="s">
        <v>98</v>
      </c>
      <c r="Q826" s="2" t="s">
        <v>99</v>
      </c>
      <c r="R826" s="2" t="s">
        <v>100</v>
      </c>
      <c r="S826" s="2" t="s">
        <v>2966</v>
      </c>
      <c r="T826" s="2" t="s">
        <v>100</v>
      </c>
      <c r="U826" s="2" t="s">
        <v>1459</v>
      </c>
      <c r="V826" s="2" t="s">
        <v>645</v>
      </c>
      <c r="W826" s="2" t="s">
        <v>104</v>
      </c>
      <c r="X826" s="2" t="s">
        <v>2511</v>
      </c>
      <c r="Y826" s="2" t="s">
        <v>2963</v>
      </c>
      <c r="Z826" s="4">
        <v>309</v>
      </c>
      <c r="AA826" s="4">
        <f>=ROUNDDOWN(25.75,0)</f>
      </c>
      <c r="AB826" s="5">
        <v>12</v>
      </c>
      <c r="AC826" s="2" t="s">
        <v>1629</v>
      </c>
      <c r="AD826" s="4">
        <v>110</v>
      </c>
      <c r="AE826" s="4">
        <v>110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100</v>
      </c>
      <c r="AW826" s="8" t="s">
        <v>100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/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/>
      <c r="BJ826" s="4">
        <v>1</v>
      </c>
      <c r="BK826" s="8">
        <v>73.34</v>
      </c>
      <c r="BL826" s="2" t="s">
        <v>625</v>
      </c>
      <c r="BM826" s="7"/>
      <c r="BN826" s="7"/>
      <c r="BO826" s="4"/>
      <c r="BP826" s="8"/>
      <c r="BQ826" s="4"/>
      <c r="BR826" s="8"/>
      <c r="BS826" s="7"/>
      <c r="BT826" s="7"/>
      <c r="BU826" s="2" t="s">
        <v>109</v>
      </c>
      <c r="BV826" s="2" t="s">
        <v>97</v>
      </c>
      <c r="BW826" s="2" t="s">
        <v>739</v>
      </c>
      <c r="BX826" s="2" t="s">
        <v>544</v>
      </c>
      <c r="BY826" s="2" t="s">
        <v>112</v>
      </c>
      <c r="BZ826" s="2" t="s">
        <v>100</v>
      </c>
    </row>
    <row r="827">
      <c r="A827" s="2" t="s">
        <v>2969</v>
      </c>
      <c r="B827" s="2" t="s">
        <v>87</v>
      </c>
      <c r="C827" s="2" t="s">
        <v>88</v>
      </c>
      <c r="D827" s="2" t="s">
        <v>2230</v>
      </c>
      <c r="E827" s="2" t="s">
        <v>2970</v>
      </c>
      <c r="F827" s="2" t="s">
        <v>2647</v>
      </c>
      <c r="G827" s="2" t="s">
        <v>2648</v>
      </c>
      <c r="H827" s="2" t="s">
        <v>2649</v>
      </c>
      <c r="I827" s="2" t="s">
        <v>2971</v>
      </c>
      <c r="J827" s="2" t="s">
        <v>2972</v>
      </c>
      <c r="K827" s="2" t="s">
        <v>1659</v>
      </c>
      <c r="L827" s="3">
        <v>43.2</v>
      </c>
      <c r="M827" s="3">
        <v>45.35</v>
      </c>
      <c r="N827" s="3">
        <v>89.99</v>
      </c>
      <c r="O827" s="2" t="s">
        <v>97</v>
      </c>
      <c r="P827" s="2" t="s">
        <v>242</v>
      </c>
      <c r="Q827" s="2" t="s">
        <v>99</v>
      </c>
      <c r="R827" s="2" t="s">
        <v>100</v>
      </c>
      <c r="S827" s="2" t="s">
        <v>2973</v>
      </c>
      <c r="T827" s="2" t="s">
        <v>100</v>
      </c>
      <c r="U827" s="2" t="s">
        <v>676</v>
      </c>
      <c r="V827" s="2" t="s">
        <v>1641</v>
      </c>
      <c r="W827" s="2" t="s">
        <v>1064</v>
      </c>
      <c r="X827" s="2" t="s">
        <v>1642</v>
      </c>
      <c r="Y827" s="2" t="s">
        <v>2974</v>
      </c>
      <c r="Z827" s="4">
        <v>1164</v>
      </c>
      <c r="AA827" s="4">
        <f>=ROUNDDOWN(15.52,0)</f>
      </c>
      <c r="AB827" s="5">
        <v>75</v>
      </c>
      <c r="AC827" s="2" t="s">
        <v>907</v>
      </c>
      <c r="AD827" s="4">
        <v>50</v>
      </c>
      <c r="AE827" s="4">
        <v>1550</v>
      </c>
      <c r="AF827" s="6">
        <v>65</v>
      </c>
      <c r="AG827" s="6">
        <v>73</v>
      </c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1</v>
      </c>
      <c r="AQ827" s="8">
        <v>45.09</v>
      </c>
      <c r="AR827" s="4"/>
      <c r="AS827" s="8"/>
      <c r="AT827" s="7"/>
      <c r="AU827" s="7"/>
      <c r="AV827" s="4">
        <v>1</v>
      </c>
      <c r="AW827" s="8">
        <v>45.09</v>
      </c>
      <c r="AX827" s="4"/>
      <c r="AY827" s="8"/>
      <c r="AZ827" s="7"/>
      <c r="BA827" s="7"/>
      <c r="BB827" s="7">
        <v>1</v>
      </c>
      <c r="BC827" s="4">
        <v>1</v>
      </c>
      <c r="BD827" s="8">
        <v>45.09</v>
      </c>
      <c r="BE827" s="4"/>
      <c r="BF827" s="8"/>
      <c r="BG827" s="7"/>
      <c r="BH827" s="7"/>
      <c r="BI827" s="7">
        <v>1</v>
      </c>
      <c r="BJ827" s="4">
        <v>50</v>
      </c>
      <c r="BK827" s="8">
        <v>1929.87</v>
      </c>
      <c r="BL827" s="2" t="s">
        <v>2975</v>
      </c>
      <c r="BM827" s="7">
        <v>0.02</v>
      </c>
      <c r="BN827" s="7">
        <v>0.0234</v>
      </c>
      <c r="BO827" s="4">
        <v>1</v>
      </c>
      <c r="BP827" s="8">
        <v>45.09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122</v>
      </c>
      <c r="BX827" s="2" t="s">
        <v>134</v>
      </c>
      <c r="BY827" s="2" t="s">
        <v>112</v>
      </c>
      <c r="BZ827" s="2" t="s">
        <v>100</v>
      </c>
    </row>
    <row r="828">
      <c r="A828" s="2" t="s">
        <v>2976</v>
      </c>
      <c r="B828" s="2" t="s">
        <v>87</v>
      </c>
      <c r="C828" s="2" t="s">
        <v>88</v>
      </c>
      <c r="D828" s="2" t="s">
        <v>2230</v>
      </c>
      <c r="E828" s="2" t="s">
        <v>2970</v>
      </c>
      <c r="F828" s="2" t="s">
        <v>1250</v>
      </c>
      <c r="G828" s="2" t="s">
        <v>1251</v>
      </c>
      <c r="H828" s="2" t="s">
        <v>1252</v>
      </c>
      <c r="I828" s="2" t="s">
        <v>2977</v>
      </c>
      <c r="J828" s="2" t="s">
        <v>2972</v>
      </c>
      <c r="K828" s="2" t="s">
        <v>253</v>
      </c>
      <c r="L828" s="3">
        <v>42.3</v>
      </c>
      <c r="M828" s="3">
        <v>44.41</v>
      </c>
      <c r="N828" s="3">
        <v>89.99</v>
      </c>
      <c r="O828" s="2" t="s">
        <v>97</v>
      </c>
      <c r="P828" s="2" t="s">
        <v>98</v>
      </c>
      <c r="Q828" s="2" t="s">
        <v>99</v>
      </c>
      <c r="R828" s="2" t="s">
        <v>100</v>
      </c>
      <c r="S828" s="2" t="s">
        <v>2978</v>
      </c>
      <c r="T828" s="2" t="s">
        <v>100</v>
      </c>
      <c r="U828" s="2" t="s">
        <v>676</v>
      </c>
      <c r="V828" s="2" t="s">
        <v>551</v>
      </c>
      <c r="W828" s="2" t="s">
        <v>551</v>
      </c>
      <c r="X828" s="2" t="s">
        <v>563</v>
      </c>
      <c r="Y828" s="2" t="s">
        <v>2979</v>
      </c>
      <c r="Z828" s="4">
        <v>415</v>
      </c>
      <c r="AA828" s="4">
        <f>=ROUNDDOWN(29.6428571428571,0)</f>
      </c>
      <c r="AB828" s="5">
        <v>14</v>
      </c>
      <c r="AC828" s="2" t="s">
        <v>1962</v>
      </c>
      <c r="AD828" s="4">
        <v>120</v>
      </c>
      <c r="AE828" s="4">
        <v>340</v>
      </c>
      <c r="AF828" s="6">
        <v>65</v>
      </c>
      <c r="AG828" s="6">
        <v>73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>
        <v>20</v>
      </c>
      <c r="BK828" s="8">
        <v>827.44</v>
      </c>
      <c r="BL828" s="2" t="s">
        <v>2980</v>
      </c>
      <c r="BM828" s="7"/>
      <c r="BN828" s="7"/>
      <c r="BO828" s="4"/>
      <c r="BP828" s="8"/>
      <c r="BQ828" s="4"/>
      <c r="BR828" s="8"/>
      <c r="BS828" s="7"/>
      <c r="BT828" s="7"/>
      <c r="BU828" s="2" t="s">
        <v>109</v>
      </c>
      <c r="BV828" s="2" t="s">
        <v>97</v>
      </c>
      <c r="BW828" s="2" t="s">
        <v>122</v>
      </c>
      <c r="BX828" s="2" t="s">
        <v>758</v>
      </c>
      <c r="BY828" s="2" t="s">
        <v>112</v>
      </c>
      <c r="BZ828" s="2" t="s">
        <v>100</v>
      </c>
    </row>
    <row r="829">
      <c r="A829" s="2" t="s">
        <v>2981</v>
      </c>
      <c r="B829" s="2" t="s">
        <v>87</v>
      </c>
      <c r="C829" s="2" t="s">
        <v>88</v>
      </c>
      <c r="D829" s="2" t="s">
        <v>2230</v>
      </c>
      <c r="E829" s="2" t="s">
        <v>2970</v>
      </c>
      <c r="F829" s="2" t="s">
        <v>751</v>
      </c>
      <c r="G829" s="2" t="s">
        <v>752</v>
      </c>
      <c r="H829" s="2" t="s">
        <v>753</v>
      </c>
      <c r="I829" s="2" t="s">
        <v>2971</v>
      </c>
      <c r="J829" s="2" t="s">
        <v>2972</v>
      </c>
      <c r="K829" s="2" t="s">
        <v>763</v>
      </c>
      <c r="L829" s="3">
        <v>55.2</v>
      </c>
      <c r="M829" s="3">
        <v>57.95</v>
      </c>
      <c r="N829" s="3">
        <v>114.99</v>
      </c>
      <c r="O829" s="2" t="s">
        <v>97</v>
      </c>
      <c r="P829" s="2" t="s">
        <v>98</v>
      </c>
      <c r="Q829" s="2" t="s">
        <v>99</v>
      </c>
      <c r="R829" s="2" t="s">
        <v>100</v>
      </c>
      <c r="S829" s="2" t="s">
        <v>764</v>
      </c>
      <c r="T829" s="2" t="s">
        <v>100</v>
      </c>
      <c r="U829" s="2" t="s">
        <v>676</v>
      </c>
      <c r="V829" s="2" t="s">
        <v>344</v>
      </c>
      <c r="W829" s="2" t="s">
        <v>756</v>
      </c>
      <c r="X829" s="2" t="s">
        <v>2982</v>
      </c>
      <c r="Y829" s="2" t="s">
        <v>2983</v>
      </c>
      <c r="Z829" s="4">
        <v>466</v>
      </c>
      <c r="AA829" s="4">
        <f>=ROUNDDOWN(25.8888888888889,0)</f>
      </c>
      <c r="AB829" s="5">
        <v>18</v>
      </c>
      <c r="AC829" s="2" t="s">
        <v>1595</v>
      </c>
      <c r="AD829" s="4">
        <v>300</v>
      </c>
      <c r="AE829" s="4">
        <v>620</v>
      </c>
      <c r="AF829" s="6">
        <v>64</v>
      </c>
      <c r="AG829" s="6">
        <v>47</v>
      </c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21</v>
      </c>
      <c r="BK829" s="8">
        <v>1134.7</v>
      </c>
      <c r="BL829" s="2" t="s">
        <v>374</v>
      </c>
      <c r="BM829" s="7"/>
      <c r="BN829" s="7"/>
      <c r="BO829" s="4"/>
      <c r="BP829" s="8"/>
      <c r="BQ829" s="4"/>
      <c r="BR829" s="8"/>
      <c r="BS829" s="7"/>
      <c r="BT829" s="7"/>
      <c r="BU829" s="2" t="s">
        <v>109</v>
      </c>
      <c r="BV829" s="2" t="s">
        <v>97</v>
      </c>
      <c r="BW829" s="2" t="s">
        <v>266</v>
      </c>
      <c r="BX829" s="2" t="s">
        <v>2201</v>
      </c>
      <c r="BY829" s="2" t="s">
        <v>112</v>
      </c>
      <c r="BZ829" s="2" t="s">
        <v>100</v>
      </c>
    </row>
    <row r="830">
      <c r="A830" s="2" t="s">
        <v>2984</v>
      </c>
      <c r="B830" s="2" t="s">
        <v>87</v>
      </c>
      <c r="C830" s="2" t="s">
        <v>88</v>
      </c>
      <c r="D830" s="2" t="s">
        <v>2230</v>
      </c>
      <c r="E830" s="2" t="s">
        <v>2970</v>
      </c>
      <c r="F830" s="2" t="s">
        <v>2958</v>
      </c>
      <c r="G830" s="2" t="s">
        <v>2959</v>
      </c>
      <c r="H830" s="2" t="s">
        <v>2960</v>
      </c>
      <c r="I830" s="2" t="s">
        <v>2985</v>
      </c>
      <c r="J830" s="2" t="s">
        <v>2972</v>
      </c>
      <c r="K830" s="2" t="s">
        <v>1746</v>
      </c>
      <c r="L830" s="3">
        <v>52.8</v>
      </c>
      <c r="M830" s="3">
        <v>55.43</v>
      </c>
      <c r="N830" s="3">
        <v>109.99</v>
      </c>
      <c r="O830" s="2" t="s">
        <v>97</v>
      </c>
      <c r="P830" s="2" t="s">
        <v>98</v>
      </c>
      <c r="Q830" s="2" t="s">
        <v>99</v>
      </c>
      <c r="R830" s="2" t="s">
        <v>100</v>
      </c>
      <c r="S830" s="2" t="s">
        <v>2986</v>
      </c>
      <c r="T830" s="2" t="s">
        <v>100</v>
      </c>
      <c r="U830" s="2" t="s">
        <v>676</v>
      </c>
      <c r="V830" s="2" t="s">
        <v>645</v>
      </c>
      <c r="W830" s="2" t="s">
        <v>104</v>
      </c>
      <c r="X830" s="2" t="s">
        <v>2987</v>
      </c>
      <c r="Y830" s="2" t="s">
        <v>2988</v>
      </c>
      <c r="Z830" s="4">
        <v>401</v>
      </c>
      <c r="AA830" s="4">
        <f>=ROUNDDOWN(16.7083333333333,0)</f>
      </c>
      <c r="AB830" s="5">
        <v>24</v>
      </c>
      <c r="AC830" s="2" t="s">
        <v>329</v>
      </c>
      <c r="AD830" s="4">
        <v>550</v>
      </c>
      <c r="AE830" s="4">
        <v>550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>
        <v>8</v>
      </c>
      <c r="BK830" s="8">
        <v>437.64</v>
      </c>
      <c r="BL830" s="2" t="s">
        <v>2581</v>
      </c>
      <c r="BM830" s="7"/>
      <c r="BN830" s="7"/>
      <c r="BO830" s="4"/>
      <c r="BP830" s="8"/>
      <c r="BQ830" s="4"/>
      <c r="BR830" s="8"/>
      <c r="BS830" s="7"/>
      <c r="BT830" s="7"/>
      <c r="BU830" s="2" t="s">
        <v>109</v>
      </c>
      <c r="BV830" s="2" t="s">
        <v>97</v>
      </c>
      <c r="BW830" s="2" t="s">
        <v>266</v>
      </c>
      <c r="BX830" s="2" t="s">
        <v>2201</v>
      </c>
      <c r="BY830" s="2" t="s">
        <v>112</v>
      </c>
      <c r="BZ830" s="2" t="s">
        <v>100</v>
      </c>
    </row>
    <row r="831">
      <c r="A831" s="2" t="s">
        <v>2989</v>
      </c>
      <c r="B831" s="2" t="s">
        <v>87</v>
      </c>
      <c r="C831" s="2" t="s">
        <v>88</v>
      </c>
      <c r="D831" s="2" t="s">
        <v>2230</v>
      </c>
      <c r="E831" s="2" t="s">
        <v>2970</v>
      </c>
      <c r="F831" s="2" t="s">
        <v>2536</v>
      </c>
      <c r="G831" s="2" t="s">
        <v>2537</v>
      </c>
      <c r="H831" s="2" t="s">
        <v>2538</v>
      </c>
      <c r="I831" s="2" t="s">
        <v>2971</v>
      </c>
      <c r="J831" s="2" t="s">
        <v>2972</v>
      </c>
      <c r="K831" s="2" t="s">
        <v>340</v>
      </c>
      <c r="L831" s="3">
        <v>42.3</v>
      </c>
      <c r="M831" s="3">
        <v>44.41</v>
      </c>
      <c r="N831" s="3">
        <v>89.99</v>
      </c>
      <c r="O831" s="2" t="s">
        <v>97</v>
      </c>
      <c r="P831" s="2" t="s">
        <v>242</v>
      </c>
      <c r="Q831" s="2" t="s">
        <v>99</v>
      </c>
      <c r="R831" s="2" t="s">
        <v>100</v>
      </c>
      <c r="S831" s="2" t="s">
        <v>2990</v>
      </c>
      <c r="T831" s="2" t="s">
        <v>100</v>
      </c>
      <c r="U831" s="2" t="s">
        <v>676</v>
      </c>
      <c r="V831" s="2" t="s">
        <v>608</v>
      </c>
      <c r="W831" s="2" t="s">
        <v>104</v>
      </c>
      <c r="X831" s="2" t="s">
        <v>399</v>
      </c>
      <c r="Y831" s="2" t="s">
        <v>2991</v>
      </c>
      <c r="Z831" s="4">
        <v>1968</v>
      </c>
      <c r="AA831" s="4">
        <f>=ROUNDDOWN(29.8181818181818,0)</f>
      </c>
      <c r="AB831" s="5">
        <v>66</v>
      </c>
      <c r="AC831" s="2" t="s">
        <v>2992</v>
      </c>
      <c r="AD831" s="4">
        <v>600</v>
      </c>
      <c r="AE831" s="4">
        <v>600</v>
      </c>
      <c r="AF831" s="6">
        <v>65</v>
      </c>
      <c r="AG831" s="6">
        <v>73</v>
      </c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120</v>
      </c>
      <c r="BK831" s="8">
        <v>4729.92</v>
      </c>
      <c r="BL831" s="2" t="s">
        <v>2993</v>
      </c>
      <c r="BM831" s="7"/>
      <c r="BN831" s="7"/>
      <c r="BO831" s="4"/>
      <c r="BP831" s="8"/>
      <c r="BQ831" s="4"/>
      <c r="BR831" s="8"/>
      <c r="BS831" s="7"/>
      <c r="BT831" s="7"/>
      <c r="BU831" s="2" t="s">
        <v>109</v>
      </c>
      <c r="BV831" s="2" t="s">
        <v>97</v>
      </c>
      <c r="BW831" s="2" t="s">
        <v>1159</v>
      </c>
      <c r="BX831" s="2" t="s">
        <v>2422</v>
      </c>
      <c r="BY831" s="2" t="s">
        <v>112</v>
      </c>
      <c r="BZ831" s="2" t="s">
        <v>100</v>
      </c>
    </row>
    <row r="832">
      <c r="A832" s="2" t="s">
        <v>2994</v>
      </c>
      <c r="B832" s="2" t="s">
        <v>87</v>
      </c>
      <c r="C832" s="2" t="s">
        <v>88</v>
      </c>
      <c r="D832" s="2" t="s">
        <v>2230</v>
      </c>
      <c r="E832" s="2" t="s">
        <v>2970</v>
      </c>
      <c r="F832" s="2" t="s">
        <v>2995</v>
      </c>
      <c r="G832" s="2" t="s">
        <v>2996</v>
      </c>
      <c r="H832" s="2" t="s">
        <v>2997</v>
      </c>
      <c r="I832" s="2" t="s">
        <v>2971</v>
      </c>
      <c r="J832" s="2" t="s">
        <v>2972</v>
      </c>
      <c r="K832" s="2" t="s">
        <v>2998</v>
      </c>
      <c r="L832" s="3">
        <v>48</v>
      </c>
      <c r="M832" s="3">
        <v>50.39</v>
      </c>
      <c r="N832" s="3">
        <v>99.99</v>
      </c>
      <c r="O832" s="2" t="s">
        <v>97</v>
      </c>
      <c r="P832" s="2" t="s">
        <v>587</v>
      </c>
      <c r="Q832" s="2" t="s">
        <v>99</v>
      </c>
      <c r="R832" s="2" t="s">
        <v>100</v>
      </c>
      <c r="S832" s="2" t="s">
        <v>2999</v>
      </c>
      <c r="T832" s="2" t="s">
        <v>100</v>
      </c>
      <c r="U832" s="2" t="s">
        <v>676</v>
      </c>
      <c r="V832" s="2" t="s">
        <v>645</v>
      </c>
      <c r="W832" s="2" t="s">
        <v>646</v>
      </c>
      <c r="X832" s="2" t="s">
        <v>450</v>
      </c>
      <c r="Y832" s="2" t="s">
        <v>3000</v>
      </c>
      <c r="Z832" s="4">
        <v>553</v>
      </c>
      <c r="AA832" s="4">
        <f>=ROUNDDOWN(17.8387096774194,0)</f>
      </c>
      <c r="AB832" s="5">
        <v>31</v>
      </c>
      <c r="AC832" s="2" t="s">
        <v>840</v>
      </c>
      <c r="AD832" s="4">
        <v>70</v>
      </c>
      <c r="AE832" s="4">
        <v>700</v>
      </c>
      <c r="AF832" s="6">
        <v>65</v>
      </c>
      <c r="AG832" s="6">
        <v>48</v>
      </c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>
        <v>19</v>
      </c>
      <c r="BK832" s="8">
        <v>973.74</v>
      </c>
      <c r="BL832" s="2" t="s">
        <v>2376</v>
      </c>
      <c r="BM832" s="7"/>
      <c r="BN832" s="7"/>
      <c r="BO832" s="4"/>
      <c r="BP832" s="8"/>
      <c r="BQ832" s="4"/>
      <c r="BR832" s="8"/>
      <c r="BS832" s="7"/>
      <c r="BT832" s="7"/>
      <c r="BU832" s="2" t="s">
        <v>109</v>
      </c>
      <c r="BV832" s="2" t="s">
        <v>97</v>
      </c>
      <c r="BW832" s="2" t="s">
        <v>326</v>
      </c>
      <c r="BX832" s="2" t="s">
        <v>2683</v>
      </c>
      <c r="BY832" s="2" t="s">
        <v>112</v>
      </c>
      <c r="BZ832" s="2" t="s">
        <v>100</v>
      </c>
    </row>
    <row r="833">
      <c r="A833" s="2" t="s">
        <v>3001</v>
      </c>
      <c r="B833" s="2" t="s">
        <v>87</v>
      </c>
      <c r="C833" s="2" t="s">
        <v>88</v>
      </c>
      <c r="D833" s="2" t="s">
        <v>2230</v>
      </c>
      <c r="E833" s="2" t="s">
        <v>2970</v>
      </c>
      <c r="F833" s="2" t="s">
        <v>3002</v>
      </c>
      <c r="G833" s="2" t="s">
        <v>3003</v>
      </c>
      <c r="H833" s="2" t="s">
        <v>3004</v>
      </c>
      <c r="I833" s="2" t="s">
        <v>2971</v>
      </c>
      <c r="J833" s="2" t="s">
        <v>2972</v>
      </c>
      <c r="K833" s="2" t="s">
        <v>253</v>
      </c>
      <c r="L833" s="3">
        <v>42.3</v>
      </c>
      <c r="M833" s="3">
        <v>44.41</v>
      </c>
      <c r="N833" s="3">
        <v>89.99</v>
      </c>
      <c r="O833" s="2" t="s">
        <v>97</v>
      </c>
      <c r="P833" s="2" t="s">
        <v>98</v>
      </c>
      <c r="Q833" s="2" t="s">
        <v>99</v>
      </c>
      <c r="R833" s="2" t="s">
        <v>100</v>
      </c>
      <c r="S833" s="2" t="s">
        <v>3005</v>
      </c>
      <c r="T833" s="2" t="s">
        <v>100</v>
      </c>
      <c r="U833" s="2" t="s">
        <v>676</v>
      </c>
      <c r="V833" s="2" t="s">
        <v>608</v>
      </c>
      <c r="W833" s="2" t="s">
        <v>104</v>
      </c>
      <c r="X833" s="2" t="s">
        <v>2987</v>
      </c>
      <c r="Y833" s="2" t="s">
        <v>3006</v>
      </c>
      <c r="Z833" s="4">
        <v>764</v>
      </c>
      <c r="AA833" s="4">
        <f>=ROUNDDOWN(31.8333333333333,0)</f>
      </c>
      <c r="AB833" s="5">
        <v>24</v>
      </c>
      <c r="AC833" s="2" t="s">
        <v>1304</v>
      </c>
      <c r="AD833" s="4">
        <v>340</v>
      </c>
      <c r="AE833" s="4">
        <v>600</v>
      </c>
      <c r="AF833" s="6">
        <v>64</v>
      </c>
      <c r="AG833" s="6">
        <v>47</v>
      </c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/>
      <c r="BD833" s="8"/>
      <c r="BE833" s="4"/>
      <c r="BF833" s="8"/>
      <c r="BG833" s="7"/>
      <c r="BH833" s="7"/>
      <c r="BI833" s="7"/>
      <c r="BJ833" s="4">
        <v>19</v>
      </c>
      <c r="BK833" s="8">
        <v>723.38</v>
      </c>
      <c r="BL833" s="2" t="s">
        <v>3007</v>
      </c>
      <c r="BM833" s="7"/>
      <c r="BN833" s="7"/>
      <c r="BO833" s="4"/>
      <c r="BP833" s="8"/>
      <c r="BQ833" s="4"/>
      <c r="BR833" s="8"/>
      <c r="BS833" s="7"/>
      <c r="BT833" s="7"/>
      <c r="BU833" s="2" t="s">
        <v>109</v>
      </c>
      <c r="BV833" s="2" t="s">
        <v>97</v>
      </c>
      <c r="BW833" s="2" t="s">
        <v>122</v>
      </c>
      <c r="BX833" s="2" t="s">
        <v>3008</v>
      </c>
      <c r="BY833" s="2" t="s">
        <v>112</v>
      </c>
      <c r="BZ833" s="2" t="s">
        <v>100</v>
      </c>
    </row>
    <row r="834">
      <c r="A834" s="2" t="s">
        <v>3009</v>
      </c>
      <c r="B834" s="2" t="s">
        <v>87</v>
      </c>
      <c r="C834" s="2" t="s">
        <v>88</v>
      </c>
      <c r="D834" s="2" t="s">
        <v>2230</v>
      </c>
      <c r="E834" s="2" t="s">
        <v>2970</v>
      </c>
      <c r="F834" s="2" t="s">
        <v>2232</v>
      </c>
      <c r="G834" s="2" t="s">
        <v>2233</v>
      </c>
      <c r="H834" s="2" t="s">
        <v>2234</v>
      </c>
      <c r="I834" s="2" t="s">
        <v>2971</v>
      </c>
      <c r="J834" s="2" t="s">
        <v>2972</v>
      </c>
      <c r="K834" s="2" t="s">
        <v>2281</v>
      </c>
      <c r="L834" s="3">
        <v>42.3</v>
      </c>
      <c r="M834" s="3">
        <v>44.41</v>
      </c>
      <c r="N834" s="3">
        <v>89.99</v>
      </c>
      <c r="O834" s="2" t="s">
        <v>97</v>
      </c>
      <c r="P834" s="2" t="s">
        <v>98</v>
      </c>
      <c r="Q834" s="2" t="s">
        <v>99</v>
      </c>
      <c r="R834" s="2" t="s">
        <v>100</v>
      </c>
      <c r="S834" s="2" t="s">
        <v>2273</v>
      </c>
      <c r="T834" s="2" t="s">
        <v>100</v>
      </c>
      <c r="U834" s="2" t="s">
        <v>676</v>
      </c>
      <c r="V834" s="2" t="s">
        <v>645</v>
      </c>
      <c r="W834" s="2" t="s">
        <v>104</v>
      </c>
      <c r="X834" s="2" t="s">
        <v>976</v>
      </c>
      <c r="Y834" s="2" t="s">
        <v>2282</v>
      </c>
      <c r="Z834" s="4">
        <v>621</v>
      </c>
      <c r="AA834" s="4">
        <f>=ROUNDDOWN(16.7837837837838,0)</f>
      </c>
      <c r="AB834" s="5">
        <v>37</v>
      </c>
      <c r="AC834" s="2" t="s">
        <v>165</v>
      </c>
      <c r="AD834" s="4">
        <v>50</v>
      </c>
      <c r="AE834" s="4">
        <v>890</v>
      </c>
      <c r="AF834" s="6">
        <v>65</v>
      </c>
      <c r="AG834" s="6">
        <v>48</v>
      </c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/>
      <c r="BJ834" s="4">
        <v>34</v>
      </c>
      <c r="BK834" s="8">
        <v>1370.31</v>
      </c>
      <c r="BL834" s="2" t="s">
        <v>2439</v>
      </c>
      <c r="BM834" s="7"/>
      <c r="BN834" s="7"/>
      <c r="BO834" s="4"/>
      <c r="BP834" s="8"/>
      <c r="BQ834" s="4"/>
      <c r="BR834" s="8"/>
      <c r="BS834" s="7"/>
      <c r="BT834" s="7"/>
      <c r="BU834" s="2" t="s">
        <v>109</v>
      </c>
      <c r="BV834" s="2" t="s">
        <v>97</v>
      </c>
      <c r="BW834" s="2" t="s">
        <v>266</v>
      </c>
      <c r="BX834" s="2" t="s">
        <v>3010</v>
      </c>
      <c r="BY834" s="2" t="s">
        <v>112</v>
      </c>
      <c r="BZ834" s="2" t="s">
        <v>100</v>
      </c>
    </row>
    <row r="835">
      <c r="A835" s="2" t="s">
        <v>3011</v>
      </c>
      <c r="B835" s="2" t="s">
        <v>87</v>
      </c>
      <c r="C835" s="2" t="s">
        <v>88</v>
      </c>
      <c r="D835" s="2" t="s">
        <v>2230</v>
      </c>
      <c r="E835" s="2" t="s">
        <v>2970</v>
      </c>
      <c r="F835" s="2" t="s">
        <v>2232</v>
      </c>
      <c r="G835" s="2" t="s">
        <v>2233</v>
      </c>
      <c r="H835" s="2" t="s">
        <v>2234</v>
      </c>
      <c r="I835" s="2" t="s">
        <v>2971</v>
      </c>
      <c r="J835" s="2" t="s">
        <v>2972</v>
      </c>
      <c r="K835" s="2" t="s">
        <v>146</v>
      </c>
      <c r="L835" s="3">
        <v>42.3</v>
      </c>
      <c r="M835" s="3">
        <v>44.41</v>
      </c>
      <c r="N835" s="3">
        <v>89.99</v>
      </c>
      <c r="O835" s="2" t="s">
        <v>97</v>
      </c>
      <c r="P835" s="2" t="s">
        <v>98</v>
      </c>
      <c r="Q835" s="2" t="s">
        <v>99</v>
      </c>
      <c r="R835" s="2" t="s">
        <v>100</v>
      </c>
      <c r="S835" s="2" t="s">
        <v>3012</v>
      </c>
      <c r="T835" s="2" t="s">
        <v>100</v>
      </c>
      <c r="U835" s="2" t="s">
        <v>676</v>
      </c>
      <c r="V835" s="2" t="s">
        <v>645</v>
      </c>
      <c r="W835" s="2" t="s">
        <v>104</v>
      </c>
      <c r="X835" s="2" t="s">
        <v>976</v>
      </c>
      <c r="Y835" s="2" t="s">
        <v>3013</v>
      </c>
      <c r="Z835" s="4">
        <v>309</v>
      </c>
      <c r="AA835" s="4">
        <f>=ROUNDDOWN(10.3,0)</f>
      </c>
      <c r="AB835" s="5">
        <v>30</v>
      </c>
      <c r="AC835" s="2" t="s">
        <v>165</v>
      </c>
      <c r="AD835" s="4">
        <v>50</v>
      </c>
      <c r="AE835" s="4">
        <v>670</v>
      </c>
      <c r="AF835" s="6">
        <v>65</v>
      </c>
      <c r="AG835" s="6">
        <v>48</v>
      </c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/>
      <c r="BJ835" s="4">
        <v>18</v>
      </c>
      <c r="BK835" s="8">
        <v>698.09</v>
      </c>
      <c r="BL835" s="2" t="s">
        <v>720</v>
      </c>
      <c r="BM835" s="7"/>
      <c r="BN835" s="7"/>
      <c r="BO835" s="4"/>
      <c r="BP835" s="8"/>
      <c r="BQ835" s="4"/>
      <c r="BR835" s="8"/>
      <c r="BS835" s="7"/>
      <c r="BT835" s="7"/>
      <c r="BU835" s="2" t="s">
        <v>109</v>
      </c>
      <c r="BV835" s="2" t="s">
        <v>97</v>
      </c>
      <c r="BW835" s="2" t="s">
        <v>122</v>
      </c>
      <c r="BX835" s="2" t="s">
        <v>1322</v>
      </c>
      <c r="BY835" s="2" t="s">
        <v>112</v>
      </c>
      <c r="BZ835" s="2" t="s">
        <v>100</v>
      </c>
    </row>
    <row r="836">
      <c r="A836" s="2" t="s">
        <v>3014</v>
      </c>
      <c r="B836" s="2" t="s">
        <v>87</v>
      </c>
      <c r="C836" s="2" t="s">
        <v>88</v>
      </c>
      <c r="D836" s="2" t="s">
        <v>2230</v>
      </c>
      <c r="E836" s="2" t="s">
        <v>2970</v>
      </c>
      <c r="F836" s="2" t="s">
        <v>2232</v>
      </c>
      <c r="G836" s="2" t="s">
        <v>2233</v>
      </c>
      <c r="H836" s="2" t="s">
        <v>2234</v>
      </c>
      <c r="I836" s="2" t="s">
        <v>2971</v>
      </c>
      <c r="J836" s="2" t="s">
        <v>2972</v>
      </c>
      <c r="K836" s="2" t="s">
        <v>1746</v>
      </c>
      <c r="L836" s="3">
        <v>42.3</v>
      </c>
      <c r="M836" s="3">
        <v>44.41</v>
      </c>
      <c r="N836" s="3">
        <v>89.99</v>
      </c>
      <c r="O836" s="2" t="s">
        <v>97</v>
      </c>
      <c r="P836" s="2" t="s">
        <v>98</v>
      </c>
      <c r="Q836" s="2" t="s">
        <v>99</v>
      </c>
      <c r="R836" s="2" t="s">
        <v>100</v>
      </c>
      <c r="S836" s="2" t="s">
        <v>3015</v>
      </c>
      <c r="T836" s="2" t="s">
        <v>100</v>
      </c>
      <c r="U836" s="2" t="s">
        <v>676</v>
      </c>
      <c r="V836" s="2" t="s">
        <v>645</v>
      </c>
      <c r="W836" s="2" t="s">
        <v>104</v>
      </c>
      <c r="X836" s="2" t="s">
        <v>976</v>
      </c>
      <c r="Y836" s="2" t="s">
        <v>3006</v>
      </c>
      <c r="Z836" s="4">
        <v>322</v>
      </c>
      <c r="AA836" s="4">
        <f>=ROUNDDOWN(11.9259259259259,0)</f>
      </c>
      <c r="AB836" s="5">
        <v>27</v>
      </c>
      <c r="AC836" s="2" t="s">
        <v>165</v>
      </c>
      <c r="AD836" s="4">
        <v>50</v>
      </c>
      <c r="AE836" s="4">
        <v>640</v>
      </c>
      <c r="AF836" s="6">
        <v>65</v>
      </c>
      <c r="AG836" s="6">
        <v>48</v>
      </c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/>
      <c r="BJ836" s="4">
        <v>22</v>
      </c>
      <c r="BK836" s="8">
        <v>900.53</v>
      </c>
      <c r="BL836" s="2" t="s">
        <v>430</v>
      </c>
      <c r="BM836" s="7"/>
      <c r="BN836" s="7"/>
      <c r="BO836" s="4"/>
      <c r="BP836" s="8"/>
      <c r="BQ836" s="4"/>
      <c r="BR836" s="8"/>
      <c r="BS836" s="7"/>
      <c r="BT836" s="7"/>
      <c r="BU836" s="2" t="s">
        <v>109</v>
      </c>
      <c r="BV836" s="2" t="s">
        <v>97</v>
      </c>
      <c r="BW836" s="2" t="s">
        <v>122</v>
      </c>
      <c r="BX836" s="2" t="s">
        <v>181</v>
      </c>
      <c r="BY836" s="2" t="s">
        <v>112</v>
      </c>
      <c r="BZ836" s="2" t="s">
        <v>100</v>
      </c>
    </row>
    <row r="837">
      <c r="A837" s="2" t="s">
        <v>3016</v>
      </c>
      <c r="B837" s="2" t="s">
        <v>87</v>
      </c>
      <c r="C837" s="2" t="s">
        <v>88</v>
      </c>
      <c r="D837" s="2" t="s">
        <v>2230</v>
      </c>
      <c r="E837" s="2" t="s">
        <v>2970</v>
      </c>
      <c r="F837" s="2" t="s">
        <v>2232</v>
      </c>
      <c r="G837" s="2" t="s">
        <v>2233</v>
      </c>
      <c r="H837" s="2" t="s">
        <v>2234</v>
      </c>
      <c r="I837" s="2" t="s">
        <v>2971</v>
      </c>
      <c r="J837" s="2" t="s">
        <v>2972</v>
      </c>
      <c r="K837" s="2" t="s">
        <v>163</v>
      </c>
      <c r="L837" s="3">
        <v>42.3</v>
      </c>
      <c r="M837" s="3">
        <v>44.41</v>
      </c>
      <c r="N837" s="3">
        <v>89.99</v>
      </c>
      <c r="O837" s="2" t="s">
        <v>97</v>
      </c>
      <c r="P837" s="2" t="s">
        <v>98</v>
      </c>
      <c r="Q837" s="2" t="s">
        <v>99</v>
      </c>
      <c r="R837" s="2" t="s">
        <v>100</v>
      </c>
      <c r="S837" s="2" t="s">
        <v>3017</v>
      </c>
      <c r="T837" s="2" t="s">
        <v>100</v>
      </c>
      <c r="U837" s="2" t="s">
        <v>676</v>
      </c>
      <c r="V837" s="2" t="s">
        <v>645</v>
      </c>
      <c r="W837" s="2" t="s">
        <v>104</v>
      </c>
      <c r="X837" s="2" t="s">
        <v>976</v>
      </c>
      <c r="Y837" s="2" t="s">
        <v>3013</v>
      </c>
      <c r="Z837" s="4">
        <v>365</v>
      </c>
      <c r="AA837" s="4">
        <f>=ROUNDDOWN(7.76595744680851,0)</f>
      </c>
      <c r="AB837" s="5">
        <v>47</v>
      </c>
      <c r="AC837" s="2" t="s">
        <v>165</v>
      </c>
      <c r="AD837" s="4">
        <v>40</v>
      </c>
      <c r="AE837" s="4">
        <v>1220</v>
      </c>
      <c r="AF837" s="6">
        <v>65</v>
      </c>
      <c r="AG837" s="6">
        <v>48</v>
      </c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/>
      <c r="BJ837" s="4">
        <v>42</v>
      </c>
      <c r="BK837" s="8">
        <v>1740.09</v>
      </c>
      <c r="BL837" s="2" t="s">
        <v>3018</v>
      </c>
      <c r="BM837" s="7"/>
      <c r="BN837" s="7"/>
      <c r="BO837" s="4"/>
      <c r="BP837" s="8"/>
      <c r="BQ837" s="4"/>
      <c r="BR837" s="8"/>
      <c r="BS837" s="7"/>
      <c r="BT837" s="7"/>
      <c r="BU837" s="2" t="s">
        <v>109</v>
      </c>
      <c r="BV837" s="2" t="s">
        <v>97</v>
      </c>
      <c r="BW837" s="2" t="s">
        <v>122</v>
      </c>
      <c r="BX837" s="2" t="s">
        <v>512</v>
      </c>
      <c r="BY837" s="2" t="s">
        <v>112</v>
      </c>
      <c r="BZ837" s="2" t="s">
        <v>100</v>
      </c>
    </row>
    <row r="838">
      <c r="A838" s="2" t="s">
        <v>3019</v>
      </c>
      <c r="B838" s="2" t="s">
        <v>87</v>
      </c>
      <c r="C838" s="2" t="s">
        <v>88</v>
      </c>
      <c r="D838" s="2" t="s">
        <v>2230</v>
      </c>
      <c r="E838" s="2" t="s">
        <v>2970</v>
      </c>
      <c r="F838" s="2" t="s">
        <v>2232</v>
      </c>
      <c r="G838" s="2" t="s">
        <v>2233</v>
      </c>
      <c r="H838" s="2" t="s">
        <v>2234</v>
      </c>
      <c r="I838" s="2" t="s">
        <v>2971</v>
      </c>
      <c r="J838" s="2" t="s">
        <v>2972</v>
      </c>
      <c r="K838" s="2" t="s">
        <v>227</v>
      </c>
      <c r="L838" s="3">
        <v>42.3</v>
      </c>
      <c r="M838" s="3">
        <v>44.41</v>
      </c>
      <c r="N838" s="3">
        <v>89.99</v>
      </c>
      <c r="O838" s="2" t="s">
        <v>97</v>
      </c>
      <c r="P838" s="2" t="s">
        <v>98</v>
      </c>
      <c r="Q838" s="2" t="s">
        <v>99</v>
      </c>
      <c r="R838" s="2" t="s">
        <v>100</v>
      </c>
      <c r="S838" s="2" t="s">
        <v>3020</v>
      </c>
      <c r="T838" s="2" t="s">
        <v>100</v>
      </c>
      <c r="U838" s="2" t="s">
        <v>676</v>
      </c>
      <c r="V838" s="2" t="s">
        <v>645</v>
      </c>
      <c r="W838" s="2" t="s">
        <v>104</v>
      </c>
      <c r="X838" s="2" t="s">
        <v>976</v>
      </c>
      <c r="Y838" s="2" t="s">
        <v>3006</v>
      </c>
      <c r="Z838" s="4">
        <v>291</v>
      </c>
      <c r="AA838" s="4">
        <f>=ROUNDDOWN(12.6521739130435,0)</f>
      </c>
      <c r="AB838" s="5">
        <v>23</v>
      </c>
      <c r="AC838" s="2" t="s">
        <v>107</v>
      </c>
      <c r="AD838" s="4">
        <v>200</v>
      </c>
      <c r="AE838" s="4">
        <v>530</v>
      </c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/>
      <c r="BJ838" s="4">
        <v>18</v>
      </c>
      <c r="BK838" s="8">
        <v>751.66</v>
      </c>
      <c r="BL838" s="2" t="s">
        <v>2908</v>
      </c>
      <c r="BM838" s="7"/>
      <c r="BN838" s="7"/>
      <c r="BO838" s="4"/>
      <c r="BP838" s="8"/>
      <c r="BQ838" s="4"/>
      <c r="BR838" s="8"/>
      <c r="BS838" s="7"/>
      <c r="BT838" s="7"/>
      <c r="BU838" s="2" t="s">
        <v>109</v>
      </c>
      <c r="BV838" s="2" t="s">
        <v>97</v>
      </c>
      <c r="BW838" s="2" t="s">
        <v>122</v>
      </c>
      <c r="BX838" s="2" t="s">
        <v>216</v>
      </c>
      <c r="BY838" s="2" t="s">
        <v>112</v>
      </c>
      <c r="BZ838" s="2" t="s">
        <v>100</v>
      </c>
    </row>
    <row r="839">
      <c r="A839" s="2" t="s">
        <v>3021</v>
      </c>
      <c r="B839" s="2" t="s">
        <v>87</v>
      </c>
      <c r="C839" s="2" t="s">
        <v>88</v>
      </c>
      <c r="D839" s="2" t="s">
        <v>2230</v>
      </c>
      <c r="E839" s="2" t="s">
        <v>2970</v>
      </c>
      <c r="F839" s="2" t="s">
        <v>2232</v>
      </c>
      <c r="G839" s="2" t="s">
        <v>2233</v>
      </c>
      <c r="H839" s="2" t="s">
        <v>2234</v>
      </c>
      <c r="I839" s="2" t="s">
        <v>2971</v>
      </c>
      <c r="J839" s="2" t="s">
        <v>2972</v>
      </c>
      <c r="K839" s="2" t="s">
        <v>213</v>
      </c>
      <c r="L839" s="3">
        <v>42.3</v>
      </c>
      <c r="M839" s="3">
        <v>44.41</v>
      </c>
      <c r="N839" s="3">
        <v>89.99</v>
      </c>
      <c r="O839" s="2" t="s">
        <v>97</v>
      </c>
      <c r="P839" s="2" t="s">
        <v>98</v>
      </c>
      <c r="Q839" s="2" t="s">
        <v>99</v>
      </c>
      <c r="R839" s="2" t="s">
        <v>100</v>
      </c>
      <c r="S839" s="2" t="s">
        <v>3022</v>
      </c>
      <c r="T839" s="2" t="s">
        <v>100</v>
      </c>
      <c r="U839" s="2" t="s">
        <v>676</v>
      </c>
      <c r="V839" s="2" t="s">
        <v>645</v>
      </c>
      <c r="W839" s="2" t="s">
        <v>104</v>
      </c>
      <c r="X839" s="2" t="s">
        <v>976</v>
      </c>
      <c r="Y839" s="2" t="s">
        <v>3006</v>
      </c>
      <c r="Z839" s="4">
        <v>172</v>
      </c>
      <c r="AA839" s="4">
        <f>=ROUNDDOWN(8.6,0)</f>
      </c>
      <c r="AB839" s="5">
        <v>20</v>
      </c>
      <c r="AC839" s="2" t="s">
        <v>165</v>
      </c>
      <c r="AD839" s="4">
        <v>50</v>
      </c>
      <c r="AE839" s="4">
        <v>440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/>
      <c r="BJ839" s="4">
        <v>5</v>
      </c>
      <c r="BK839" s="8">
        <v>206.15</v>
      </c>
      <c r="BL839" s="2" t="s">
        <v>2533</v>
      </c>
      <c r="BM839" s="7"/>
      <c r="BN839" s="7"/>
      <c r="BO839" s="4"/>
      <c r="BP839" s="8"/>
      <c r="BQ839" s="4"/>
      <c r="BR839" s="8"/>
      <c r="BS839" s="7"/>
      <c r="BT839" s="7"/>
      <c r="BU839" s="2" t="s">
        <v>109</v>
      </c>
      <c r="BV839" s="2" t="s">
        <v>97</v>
      </c>
      <c r="BW839" s="2" t="s">
        <v>122</v>
      </c>
      <c r="BX839" s="2" t="s">
        <v>1126</v>
      </c>
      <c r="BY839" s="2" t="s">
        <v>112</v>
      </c>
      <c r="BZ839" s="2" t="s">
        <v>100</v>
      </c>
    </row>
    <row r="840">
      <c r="A840" s="2" t="s">
        <v>3023</v>
      </c>
      <c r="B840" s="2" t="s">
        <v>87</v>
      </c>
      <c r="C840" s="2" t="s">
        <v>88</v>
      </c>
      <c r="D840" s="2" t="s">
        <v>2230</v>
      </c>
      <c r="E840" s="2" t="s">
        <v>2970</v>
      </c>
      <c r="F840" s="2" t="s">
        <v>1807</v>
      </c>
      <c r="G840" s="2" t="s">
        <v>1808</v>
      </c>
      <c r="H840" s="2" t="s">
        <v>984</v>
      </c>
      <c r="I840" s="2" t="s">
        <v>3024</v>
      </c>
      <c r="J840" s="2" t="s">
        <v>2972</v>
      </c>
      <c r="K840" s="2" t="s">
        <v>146</v>
      </c>
      <c r="L840" s="3">
        <v>49.35</v>
      </c>
      <c r="M840" s="3">
        <v>51.81</v>
      </c>
      <c r="N840" s="3">
        <v>104.99</v>
      </c>
      <c r="O840" s="2" t="s">
        <v>97</v>
      </c>
      <c r="P840" s="2" t="s">
        <v>1216</v>
      </c>
      <c r="Q840" s="2" t="s">
        <v>99</v>
      </c>
      <c r="R840" s="2" t="s">
        <v>100</v>
      </c>
      <c r="S840" s="2" t="s">
        <v>3025</v>
      </c>
      <c r="T840" s="2" t="s">
        <v>1218</v>
      </c>
      <c r="U840" s="2" t="s">
        <v>676</v>
      </c>
      <c r="V840" s="2" t="s">
        <v>1112</v>
      </c>
      <c r="W840" s="2" t="s">
        <v>756</v>
      </c>
      <c r="X840" s="2" t="s">
        <v>563</v>
      </c>
      <c r="Y840" s="2" t="s">
        <v>3026</v>
      </c>
      <c r="Z840" s="4">
        <v>138</v>
      </c>
      <c r="AA840" s="4">
        <f>=ROUNDDOWN(27.6,0)</f>
      </c>
      <c r="AB840" s="5">
        <v>5</v>
      </c>
      <c r="AC840" s="2" t="s">
        <v>429</v>
      </c>
      <c r="AD840" s="4">
        <v>120</v>
      </c>
      <c r="AE840" s="4">
        <v>190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/>
      <c r="BJ840" s="4">
        <v>2</v>
      </c>
      <c r="BK840" s="8">
        <v>101.82</v>
      </c>
      <c r="BL840" s="2" t="s">
        <v>391</v>
      </c>
      <c r="BM840" s="7"/>
      <c r="BN840" s="7"/>
      <c r="BO840" s="4"/>
      <c r="BP840" s="8"/>
      <c r="BQ840" s="4"/>
      <c r="BR840" s="8"/>
      <c r="BS840" s="7"/>
      <c r="BT840" s="7"/>
      <c r="BU840" s="2" t="s">
        <v>109</v>
      </c>
      <c r="BV840" s="2" t="s">
        <v>97</v>
      </c>
      <c r="BW840" s="2" t="s">
        <v>1221</v>
      </c>
      <c r="BX840" s="2" t="s">
        <v>100</v>
      </c>
      <c r="BY840" s="2" t="s">
        <v>112</v>
      </c>
      <c r="BZ840" s="2" t="s">
        <v>100</v>
      </c>
    </row>
    <row r="841">
      <c r="A841" s="2" t="s">
        <v>3027</v>
      </c>
      <c r="B841" s="2" t="s">
        <v>87</v>
      </c>
      <c r="C841" s="2" t="s">
        <v>88</v>
      </c>
      <c r="D841" s="2" t="s">
        <v>2230</v>
      </c>
      <c r="E841" s="2" t="s">
        <v>2970</v>
      </c>
      <c r="F841" s="2" t="s">
        <v>1807</v>
      </c>
      <c r="G841" s="2" t="s">
        <v>1808</v>
      </c>
      <c r="H841" s="2" t="s">
        <v>984</v>
      </c>
      <c r="I841" s="2" t="s">
        <v>3024</v>
      </c>
      <c r="J841" s="2" t="s">
        <v>2972</v>
      </c>
      <c r="K841" s="2" t="s">
        <v>1555</v>
      </c>
      <c r="L841" s="3">
        <v>49.35</v>
      </c>
      <c r="M841" s="3">
        <v>51.81</v>
      </c>
      <c r="N841" s="3">
        <v>104.99</v>
      </c>
      <c r="O841" s="2" t="s">
        <v>97</v>
      </c>
      <c r="P841" s="2" t="s">
        <v>1216</v>
      </c>
      <c r="Q841" s="2" t="s">
        <v>99</v>
      </c>
      <c r="R841" s="2" t="s">
        <v>100</v>
      </c>
      <c r="S841" s="2" t="s">
        <v>1815</v>
      </c>
      <c r="T841" s="2" t="s">
        <v>1218</v>
      </c>
      <c r="U841" s="2" t="s">
        <v>676</v>
      </c>
      <c r="V841" s="2" t="s">
        <v>1112</v>
      </c>
      <c r="W841" s="2" t="s">
        <v>756</v>
      </c>
      <c r="X841" s="2" t="s">
        <v>563</v>
      </c>
      <c r="Y841" s="2" t="s">
        <v>3026</v>
      </c>
      <c r="Z841" s="4">
        <v>184</v>
      </c>
      <c r="AA841" s="4">
        <f>=ROUNDDOWN(12.2666666666667,0)</f>
      </c>
      <c r="AB841" s="5">
        <v>15</v>
      </c>
      <c r="AC841" s="2" t="s">
        <v>287</v>
      </c>
      <c r="AD841" s="4">
        <v>100</v>
      </c>
      <c r="AE841" s="4">
        <v>340</v>
      </c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/>
      <c r="BJ841" s="4">
        <v>7</v>
      </c>
      <c r="BK841" s="8">
        <v>396.83</v>
      </c>
      <c r="BL841" s="2" t="s">
        <v>1942</v>
      </c>
      <c r="BM841" s="7"/>
      <c r="BN841" s="7"/>
      <c r="BO841" s="4"/>
      <c r="BP841" s="8"/>
      <c r="BQ841" s="4"/>
      <c r="BR841" s="8"/>
      <c r="BS841" s="7"/>
      <c r="BT841" s="7"/>
      <c r="BU841" s="2" t="s">
        <v>109</v>
      </c>
      <c r="BV841" s="2" t="s">
        <v>97</v>
      </c>
      <c r="BW841" s="2" t="s">
        <v>1221</v>
      </c>
      <c r="BX841" s="2" t="s">
        <v>100</v>
      </c>
      <c r="BY841" s="2" t="s">
        <v>112</v>
      </c>
      <c r="BZ841" s="2" t="s">
        <v>100</v>
      </c>
    </row>
    <row r="842">
      <c r="A842" s="2" t="s">
        <v>3028</v>
      </c>
      <c r="B842" s="2" t="s">
        <v>87</v>
      </c>
      <c r="C842" s="2" t="s">
        <v>88</v>
      </c>
      <c r="D842" s="2" t="s">
        <v>2230</v>
      </c>
      <c r="E842" s="2" t="s">
        <v>2970</v>
      </c>
      <c r="F842" s="2" t="s">
        <v>1807</v>
      </c>
      <c r="G842" s="2" t="s">
        <v>1808</v>
      </c>
      <c r="H842" s="2" t="s">
        <v>984</v>
      </c>
      <c r="I842" s="2" t="s">
        <v>3024</v>
      </c>
      <c r="J842" s="2" t="s">
        <v>2972</v>
      </c>
      <c r="K842" s="2" t="s">
        <v>434</v>
      </c>
      <c r="L842" s="3">
        <v>49.35</v>
      </c>
      <c r="M842" s="3">
        <v>51.81</v>
      </c>
      <c r="N842" s="3">
        <v>104.99</v>
      </c>
      <c r="O842" s="2" t="s">
        <v>97</v>
      </c>
      <c r="P842" s="2" t="s">
        <v>98</v>
      </c>
      <c r="Q842" s="2" t="s">
        <v>99</v>
      </c>
      <c r="R842" s="2" t="s">
        <v>100</v>
      </c>
      <c r="S842" s="2" t="s">
        <v>3029</v>
      </c>
      <c r="T842" s="2" t="s">
        <v>1218</v>
      </c>
      <c r="U842" s="2" t="s">
        <v>676</v>
      </c>
      <c r="V842" s="2" t="s">
        <v>1112</v>
      </c>
      <c r="W842" s="2" t="s">
        <v>756</v>
      </c>
      <c r="X842" s="2" t="s">
        <v>563</v>
      </c>
      <c r="Y842" s="2" t="s">
        <v>3030</v>
      </c>
      <c r="Z842" s="4">
        <v>141</v>
      </c>
      <c r="AA842" s="4">
        <f>=ROUNDDOWN(12.8181818181818,0)</f>
      </c>
      <c r="AB842" s="5">
        <v>11</v>
      </c>
      <c r="AC842" s="2" t="s">
        <v>429</v>
      </c>
      <c r="AD842" s="4">
        <v>300</v>
      </c>
      <c r="AE842" s="4">
        <v>450</v>
      </c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/>
      <c r="BJ842" s="4">
        <v>8</v>
      </c>
      <c r="BK842" s="8">
        <v>446.9</v>
      </c>
      <c r="BL842" s="2" t="s">
        <v>1827</v>
      </c>
      <c r="BM842" s="7"/>
      <c r="BN842" s="7"/>
      <c r="BO842" s="4"/>
      <c r="BP842" s="8"/>
      <c r="BQ842" s="4"/>
      <c r="BR842" s="8"/>
      <c r="BS842" s="7"/>
      <c r="BT842" s="7"/>
      <c r="BU842" s="2" t="s">
        <v>109</v>
      </c>
      <c r="BV842" s="2" t="s">
        <v>97</v>
      </c>
      <c r="BW842" s="2" t="s">
        <v>266</v>
      </c>
      <c r="BX842" s="2" t="s">
        <v>3031</v>
      </c>
      <c r="BY842" s="2" t="s">
        <v>112</v>
      </c>
      <c r="BZ842" s="2" t="s">
        <v>100</v>
      </c>
    </row>
    <row r="843">
      <c r="A843" s="2" t="s">
        <v>3032</v>
      </c>
      <c r="B843" s="2" t="s">
        <v>87</v>
      </c>
      <c r="C843" s="2" t="s">
        <v>88</v>
      </c>
      <c r="D843" s="2" t="s">
        <v>2230</v>
      </c>
      <c r="E843" s="2" t="s">
        <v>2970</v>
      </c>
      <c r="F843" s="2" t="s">
        <v>3033</v>
      </c>
      <c r="G843" s="2" t="s">
        <v>3034</v>
      </c>
      <c r="H843" s="2" t="s">
        <v>3035</v>
      </c>
      <c r="I843" s="2" t="s">
        <v>3036</v>
      </c>
      <c r="J843" s="2" t="s">
        <v>2972</v>
      </c>
      <c r="K843" s="2" t="s">
        <v>213</v>
      </c>
      <c r="L843" s="3">
        <v>42.3</v>
      </c>
      <c r="M843" s="3">
        <v>44.41</v>
      </c>
      <c r="N843" s="3">
        <v>89.99</v>
      </c>
      <c r="O843" s="2" t="s">
        <v>97</v>
      </c>
      <c r="P843" s="2" t="s">
        <v>587</v>
      </c>
      <c r="Q843" s="2" t="s">
        <v>99</v>
      </c>
      <c r="R843" s="2" t="s">
        <v>100</v>
      </c>
      <c r="S843" s="2" t="s">
        <v>3037</v>
      </c>
      <c r="T843" s="2" t="s">
        <v>100</v>
      </c>
      <c r="U843" s="2" t="s">
        <v>676</v>
      </c>
      <c r="V843" s="2" t="s">
        <v>645</v>
      </c>
      <c r="W843" s="2" t="s">
        <v>345</v>
      </c>
      <c r="X843" s="2" t="s">
        <v>3038</v>
      </c>
      <c r="Y843" s="2" t="s">
        <v>3039</v>
      </c>
      <c r="Z843" s="4">
        <v>407</v>
      </c>
      <c r="AA843" s="4">
        <f>=ROUNDDOWN(22.6111111111111,0)</f>
      </c>
      <c r="AB843" s="5">
        <v>18</v>
      </c>
      <c r="AC843" s="2" t="s">
        <v>107</v>
      </c>
      <c r="AD843" s="4">
        <v>200</v>
      </c>
      <c r="AE843" s="4">
        <v>200</v>
      </c>
      <c r="AF843" s="6">
        <v>64</v>
      </c>
      <c r="AG843" s="6">
        <v>47</v>
      </c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26</v>
      </c>
      <c r="BK843" s="8">
        <v>1081.27</v>
      </c>
      <c r="BL843" s="2" t="s">
        <v>3040</v>
      </c>
      <c r="BM843" s="7"/>
      <c r="BN843" s="7"/>
      <c r="BO843" s="4"/>
      <c r="BP843" s="8"/>
      <c r="BQ843" s="4"/>
      <c r="BR843" s="8"/>
      <c r="BS843" s="7"/>
      <c r="BT843" s="7"/>
      <c r="BU843" s="2" t="s">
        <v>109</v>
      </c>
      <c r="BV843" s="2" t="s">
        <v>97</v>
      </c>
      <c r="BW843" s="2" t="s">
        <v>122</v>
      </c>
      <c r="BX843" s="2" t="s">
        <v>723</v>
      </c>
      <c r="BY843" s="2" t="s">
        <v>112</v>
      </c>
      <c r="BZ843" s="2" t="s">
        <v>100</v>
      </c>
    </row>
    <row r="844">
      <c r="A844" s="2" t="s">
        <v>3041</v>
      </c>
      <c r="B844" s="2" t="s">
        <v>87</v>
      </c>
      <c r="C844" s="2" t="s">
        <v>88</v>
      </c>
      <c r="D844" s="2" t="s">
        <v>2230</v>
      </c>
      <c r="E844" s="2" t="s">
        <v>2970</v>
      </c>
      <c r="F844" s="2" t="s">
        <v>1830</v>
      </c>
      <c r="G844" s="2" t="s">
        <v>1831</v>
      </c>
      <c r="H844" s="2" t="s">
        <v>1832</v>
      </c>
      <c r="I844" s="2" t="s">
        <v>3042</v>
      </c>
      <c r="J844" s="2" t="s">
        <v>2972</v>
      </c>
      <c r="K844" s="2" t="s">
        <v>1834</v>
      </c>
      <c r="L844" s="3">
        <v>52.8</v>
      </c>
      <c r="M844" s="3">
        <v>55.43</v>
      </c>
      <c r="N844" s="3">
        <v>109.99</v>
      </c>
      <c r="O844" s="2" t="s">
        <v>97</v>
      </c>
      <c r="P844" s="2" t="s">
        <v>98</v>
      </c>
      <c r="Q844" s="2" t="s">
        <v>99</v>
      </c>
      <c r="R844" s="2" t="s">
        <v>100</v>
      </c>
      <c r="S844" s="2" t="s">
        <v>2323</v>
      </c>
      <c r="T844" s="2" t="s">
        <v>100</v>
      </c>
      <c r="U844" s="2" t="s">
        <v>644</v>
      </c>
      <c r="V844" s="2" t="s">
        <v>608</v>
      </c>
      <c r="W844" s="2" t="s">
        <v>646</v>
      </c>
      <c r="X844" s="2" t="s">
        <v>1085</v>
      </c>
      <c r="Y844" s="2" t="s">
        <v>2324</v>
      </c>
      <c r="Z844" s="4">
        <v>263</v>
      </c>
      <c r="AA844" s="4">
        <f>=ROUNDDOWN(16.4375,0)</f>
      </c>
      <c r="AB844" s="5">
        <v>16</v>
      </c>
      <c r="AC844" s="2" t="s">
        <v>1377</v>
      </c>
      <c r="AD844" s="4">
        <v>170</v>
      </c>
      <c r="AE844" s="4">
        <v>310</v>
      </c>
      <c r="AF844" s="6">
        <v>69</v>
      </c>
      <c r="AG844" s="6">
        <v>77</v>
      </c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/>
      <c r="BD844" s="8"/>
      <c r="BE844" s="4"/>
      <c r="BF844" s="8"/>
      <c r="BG844" s="7"/>
      <c r="BH844" s="7"/>
      <c r="BI844" s="7"/>
      <c r="BJ844" s="4">
        <v>10</v>
      </c>
      <c r="BK844" s="8">
        <v>488.56</v>
      </c>
      <c r="BL844" s="2" t="s">
        <v>534</v>
      </c>
      <c r="BM844" s="7"/>
      <c r="BN844" s="7"/>
      <c r="BO844" s="4"/>
      <c r="BP844" s="8"/>
      <c r="BQ844" s="4"/>
      <c r="BR844" s="8"/>
      <c r="BS844" s="7"/>
      <c r="BT844" s="7"/>
      <c r="BU844" s="2" t="s">
        <v>109</v>
      </c>
      <c r="BV844" s="2" t="s">
        <v>97</v>
      </c>
      <c r="BW844" s="2" t="s">
        <v>122</v>
      </c>
      <c r="BX844" s="2" t="s">
        <v>127</v>
      </c>
      <c r="BY844" s="2" t="s">
        <v>112</v>
      </c>
      <c r="BZ844" s="2" t="s">
        <v>100</v>
      </c>
    </row>
    <row r="845">
      <c r="A845" s="2" t="s">
        <v>3043</v>
      </c>
      <c r="B845" s="2" t="s">
        <v>87</v>
      </c>
      <c r="C845" s="2" t="s">
        <v>88</v>
      </c>
      <c r="D845" s="2" t="s">
        <v>2230</v>
      </c>
      <c r="E845" s="2" t="s">
        <v>2970</v>
      </c>
      <c r="F845" s="2" t="s">
        <v>2394</v>
      </c>
      <c r="G845" s="2" t="s">
        <v>2395</v>
      </c>
      <c r="H845" s="2" t="s">
        <v>2396</v>
      </c>
      <c r="I845" s="2" t="s">
        <v>2971</v>
      </c>
      <c r="J845" s="2" t="s">
        <v>2972</v>
      </c>
      <c r="K845" s="2" t="s">
        <v>253</v>
      </c>
      <c r="L845" s="3">
        <v>42.3</v>
      </c>
      <c r="M845" s="3">
        <v>44.41</v>
      </c>
      <c r="N845" s="3">
        <v>89.99</v>
      </c>
      <c r="O845" s="2" t="s">
        <v>97</v>
      </c>
      <c r="P845" s="2" t="s">
        <v>242</v>
      </c>
      <c r="Q845" s="2" t="s">
        <v>99</v>
      </c>
      <c r="R845" s="2" t="s">
        <v>100</v>
      </c>
      <c r="S845" s="2" t="s">
        <v>3044</v>
      </c>
      <c r="T845" s="2" t="s">
        <v>100</v>
      </c>
      <c r="U845" s="2" t="s">
        <v>676</v>
      </c>
      <c r="V845" s="2" t="s">
        <v>608</v>
      </c>
      <c r="W845" s="2" t="s">
        <v>1064</v>
      </c>
      <c r="X845" s="2" t="s">
        <v>552</v>
      </c>
      <c r="Y845" s="2" t="s">
        <v>3045</v>
      </c>
      <c r="Z845" s="4">
        <v>381</v>
      </c>
      <c r="AA845" s="4">
        <f>=ROUNDDOWN(15.875,0)</f>
      </c>
      <c r="AB845" s="5">
        <v>24</v>
      </c>
      <c r="AC845" s="2" t="s">
        <v>2404</v>
      </c>
      <c r="AD845" s="4">
        <v>120</v>
      </c>
      <c r="AE845" s="4">
        <v>770</v>
      </c>
      <c r="AF845" s="6">
        <v>65</v>
      </c>
      <c r="AG845" s="6">
        <v>73</v>
      </c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/>
      <c r="BD845" s="8"/>
      <c r="BE845" s="4"/>
      <c r="BF845" s="8"/>
      <c r="BG845" s="7"/>
      <c r="BH845" s="7"/>
      <c r="BI845" s="7"/>
      <c r="BJ845" s="4">
        <v>10</v>
      </c>
      <c r="BK845" s="8">
        <v>437.14</v>
      </c>
      <c r="BL845" s="2" t="s">
        <v>391</v>
      </c>
      <c r="BM845" s="7"/>
      <c r="BN845" s="7"/>
      <c r="BO845" s="4"/>
      <c r="BP845" s="8"/>
      <c r="BQ845" s="4"/>
      <c r="BR845" s="8"/>
      <c r="BS845" s="7"/>
      <c r="BT845" s="7"/>
      <c r="BU845" s="2" t="s">
        <v>109</v>
      </c>
      <c r="BV845" s="2" t="s">
        <v>97</v>
      </c>
      <c r="BW845" s="2" t="s">
        <v>122</v>
      </c>
      <c r="BX845" s="2" t="s">
        <v>600</v>
      </c>
      <c r="BY845" s="2" t="s">
        <v>112</v>
      </c>
      <c r="BZ845" s="2" t="s">
        <v>100</v>
      </c>
    </row>
    <row r="846">
      <c r="A846" s="2" t="s">
        <v>3046</v>
      </c>
      <c r="B846" s="2" t="s">
        <v>87</v>
      </c>
      <c r="C846" s="2" t="s">
        <v>88</v>
      </c>
      <c r="D846" s="2" t="s">
        <v>2230</v>
      </c>
      <c r="E846" s="2" t="s">
        <v>2970</v>
      </c>
      <c r="F846" s="2" t="s">
        <v>2623</v>
      </c>
      <c r="G846" s="2" t="s">
        <v>2624</v>
      </c>
      <c r="H846" s="2" t="s">
        <v>2625</v>
      </c>
      <c r="I846" s="2" t="s">
        <v>2971</v>
      </c>
      <c r="J846" s="2" t="s">
        <v>2972</v>
      </c>
      <c r="K846" s="2" t="s">
        <v>198</v>
      </c>
      <c r="L846" s="3">
        <v>42.3</v>
      </c>
      <c r="M846" s="3">
        <v>44.41</v>
      </c>
      <c r="N846" s="3">
        <v>89.99</v>
      </c>
      <c r="O846" s="2" t="s">
        <v>97</v>
      </c>
      <c r="P846" s="2" t="s">
        <v>587</v>
      </c>
      <c r="Q846" s="2" t="s">
        <v>99</v>
      </c>
      <c r="R846" s="2" t="s">
        <v>100</v>
      </c>
      <c r="S846" s="2" t="s">
        <v>2626</v>
      </c>
      <c r="T846" s="2" t="s">
        <v>100</v>
      </c>
      <c r="U846" s="2" t="s">
        <v>676</v>
      </c>
      <c r="V846" s="2" t="s">
        <v>608</v>
      </c>
      <c r="W846" s="2" t="s">
        <v>1064</v>
      </c>
      <c r="X846" s="2" t="s">
        <v>552</v>
      </c>
      <c r="Y846" s="2" t="s">
        <v>3047</v>
      </c>
      <c r="Z846" s="4">
        <v>225</v>
      </c>
      <c r="AA846" s="4">
        <f>=ROUNDDOWN(8.33333333333333,0)</f>
      </c>
      <c r="AB846" s="5">
        <v>27</v>
      </c>
      <c r="AC846" s="2" t="s">
        <v>100</v>
      </c>
      <c r="AD846" s="4"/>
      <c r="AE846" s="4"/>
      <c r="AF846" s="6">
        <v>65</v>
      </c>
      <c r="AG846" s="6">
        <v>73</v>
      </c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/>
      <c r="BD846" s="8"/>
      <c r="BE846" s="4"/>
      <c r="BF846" s="8"/>
      <c r="BG846" s="7"/>
      <c r="BH846" s="7"/>
      <c r="BI846" s="7"/>
      <c r="BJ846" s="4">
        <v>8</v>
      </c>
      <c r="BK846" s="8">
        <v>346.05</v>
      </c>
      <c r="BL846" s="2" t="s">
        <v>3048</v>
      </c>
      <c r="BM846" s="7"/>
      <c r="BN846" s="7"/>
      <c r="BO846" s="4"/>
      <c r="BP846" s="8"/>
      <c r="BQ846" s="4"/>
      <c r="BR846" s="8"/>
      <c r="BS846" s="7"/>
      <c r="BT846" s="7"/>
      <c r="BU846" s="2" t="s">
        <v>109</v>
      </c>
      <c r="BV846" s="2" t="s">
        <v>97</v>
      </c>
      <c r="BW846" s="2" t="s">
        <v>122</v>
      </c>
      <c r="BX846" s="2" t="s">
        <v>222</v>
      </c>
      <c r="BY846" s="2" t="s">
        <v>112</v>
      </c>
      <c r="BZ846" s="2" t="s">
        <v>100</v>
      </c>
    </row>
    <row r="847">
      <c r="A847" s="2" t="s">
        <v>3049</v>
      </c>
      <c r="B847" s="2" t="s">
        <v>87</v>
      </c>
      <c r="C847" s="2" t="s">
        <v>88</v>
      </c>
      <c r="D847" s="2" t="s">
        <v>2230</v>
      </c>
      <c r="E847" s="2" t="s">
        <v>2970</v>
      </c>
      <c r="F847" s="2" t="s">
        <v>2657</v>
      </c>
      <c r="G847" s="2" t="s">
        <v>2658</v>
      </c>
      <c r="H847" s="2" t="s">
        <v>2659</v>
      </c>
      <c r="I847" s="2" t="s">
        <v>3050</v>
      </c>
      <c r="J847" s="2" t="s">
        <v>2972</v>
      </c>
      <c r="K847" s="2" t="s">
        <v>253</v>
      </c>
      <c r="L847" s="3">
        <v>47</v>
      </c>
      <c r="M847" s="3">
        <v>49.35</v>
      </c>
      <c r="N847" s="3">
        <v>99.99</v>
      </c>
      <c r="O847" s="2" t="s">
        <v>97</v>
      </c>
      <c r="P847" s="2" t="s">
        <v>1216</v>
      </c>
      <c r="Q847" s="2" t="s">
        <v>99</v>
      </c>
      <c r="R847" s="2" t="s">
        <v>100</v>
      </c>
      <c r="S847" s="2" t="s">
        <v>2672</v>
      </c>
      <c r="T847" s="2" t="s">
        <v>787</v>
      </c>
      <c r="U847" s="2" t="s">
        <v>676</v>
      </c>
      <c r="V847" s="2" t="s">
        <v>645</v>
      </c>
      <c r="W847" s="2" t="s">
        <v>345</v>
      </c>
      <c r="X847" s="2" t="s">
        <v>3051</v>
      </c>
      <c r="Y847" s="2" t="s">
        <v>2174</v>
      </c>
      <c r="Z847" s="4">
        <v>345</v>
      </c>
      <c r="AA847" s="4">
        <f>=ROUNDDOWN(20.2941176470588,0)</f>
      </c>
      <c r="AB847" s="5">
        <v>17</v>
      </c>
      <c r="AC847" s="2" t="s">
        <v>1372</v>
      </c>
      <c r="AD847" s="4">
        <v>300</v>
      </c>
      <c r="AE847" s="4">
        <v>300</v>
      </c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/>
      <c r="BJ847" s="4">
        <v>10</v>
      </c>
      <c r="BK847" s="8">
        <v>487.27</v>
      </c>
      <c r="BL847" s="2" t="s">
        <v>1963</v>
      </c>
      <c r="BM847" s="7"/>
      <c r="BN847" s="7"/>
      <c r="BO847" s="4"/>
      <c r="BP847" s="8"/>
      <c r="BQ847" s="4"/>
      <c r="BR847" s="8"/>
      <c r="BS847" s="7"/>
      <c r="BT847" s="7"/>
      <c r="BU847" s="2" t="s">
        <v>109</v>
      </c>
      <c r="BV847" s="2" t="s">
        <v>97</v>
      </c>
      <c r="BW847" s="2" t="s">
        <v>1221</v>
      </c>
      <c r="BX847" s="2" t="s">
        <v>100</v>
      </c>
      <c r="BY847" s="2" t="s">
        <v>112</v>
      </c>
      <c r="BZ847" s="2" t="s">
        <v>100</v>
      </c>
    </row>
    <row r="848">
      <c r="A848" s="2" t="s">
        <v>3052</v>
      </c>
      <c r="B848" s="2" t="s">
        <v>87</v>
      </c>
      <c r="C848" s="2" t="s">
        <v>88</v>
      </c>
      <c r="D848" s="2" t="s">
        <v>2230</v>
      </c>
      <c r="E848" s="2" t="s">
        <v>2970</v>
      </c>
      <c r="F848" s="2" t="s">
        <v>2657</v>
      </c>
      <c r="G848" s="2" t="s">
        <v>2658</v>
      </c>
      <c r="H848" s="2" t="s">
        <v>2659</v>
      </c>
      <c r="I848" s="2" t="s">
        <v>3050</v>
      </c>
      <c r="J848" s="2" t="s">
        <v>2972</v>
      </c>
      <c r="K848" s="2" t="s">
        <v>96</v>
      </c>
      <c r="L848" s="3">
        <v>47</v>
      </c>
      <c r="M848" s="3">
        <v>49.35</v>
      </c>
      <c r="N848" s="3">
        <v>99.99</v>
      </c>
      <c r="O848" s="2" t="s">
        <v>97</v>
      </c>
      <c r="P848" s="2" t="s">
        <v>242</v>
      </c>
      <c r="Q848" s="2" t="s">
        <v>99</v>
      </c>
      <c r="R848" s="2" t="s">
        <v>100</v>
      </c>
      <c r="S848" s="2" t="s">
        <v>2678</v>
      </c>
      <c r="T848" s="2" t="s">
        <v>787</v>
      </c>
      <c r="U848" s="2" t="s">
        <v>676</v>
      </c>
      <c r="V848" s="2" t="s">
        <v>645</v>
      </c>
      <c r="W848" s="2" t="s">
        <v>345</v>
      </c>
      <c r="X848" s="2" t="s">
        <v>346</v>
      </c>
      <c r="Y848" s="2" t="s">
        <v>3053</v>
      </c>
      <c r="Z848" s="4">
        <v>548</v>
      </c>
      <c r="AA848" s="4">
        <f>=ROUNDDOWN(10.7450980392157,0)</f>
      </c>
      <c r="AB848" s="5">
        <v>51</v>
      </c>
      <c r="AC848" s="2" t="s">
        <v>168</v>
      </c>
      <c r="AD848" s="4">
        <v>130</v>
      </c>
      <c r="AE848" s="4">
        <v>1030</v>
      </c>
      <c r="AF848" s="6">
        <v>64</v>
      </c>
      <c r="AG848" s="6">
        <v>47</v>
      </c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/>
      <c r="BJ848" s="4">
        <v>55</v>
      </c>
      <c r="BK848" s="8">
        <v>2736.82</v>
      </c>
      <c r="BL848" s="2" t="s">
        <v>745</v>
      </c>
      <c r="BM848" s="7"/>
      <c r="BN848" s="7"/>
      <c r="BO848" s="4"/>
      <c r="BP848" s="8"/>
      <c r="BQ848" s="4"/>
      <c r="BR848" s="8"/>
      <c r="BS848" s="7"/>
      <c r="BT848" s="7"/>
      <c r="BU848" s="2" t="s">
        <v>109</v>
      </c>
      <c r="BV848" s="2" t="s">
        <v>97</v>
      </c>
      <c r="BW848" s="2" t="s">
        <v>266</v>
      </c>
      <c r="BX848" s="2" t="s">
        <v>3054</v>
      </c>
      <c r="BY848" s="2" t="s">
        <v>112</v>
      </c>
      <c r="BZ848" s="2" t="s">
        <v>100</v>
      </c>
    </row>
    <row r="849">
      <c r="A849" s="2" t="s">
        <v>3055</v>
      </c>
      <c r="B849" s="2" t="s">
        <v>87</v>
      </c>
      <c r="C849" s="2" t="s">
        <v>88</v>
      </c>
      <c r="D849" s="2" t="s">
        <v>2230</v>
      </c>
      <c r="E849" s="2" t="s">
        <v>2970</v>
      </c>
      <c r="F849" s="2" t="s">
        <v>2657</v>
      </c>
      <c r="G849" s="2" t="s">
        <v>2658</v>
      </c>
      <c r="H849" s="2" t="s">
        <v>2659</v>
      </c>
      <c r="I849" s="2" t="s">
        <v>3050</v>
      </c>
      <c r="J849" s="2" t="s">
        <v>2972</v>
      </c>
      <c r="K849" s="2" t="s">
        <v>2257</v>
      </c>
      <c r="L849" s="3">
        <v>47</v>
      </c>
      <c r="M849" s="3">
        <v>49.35</v>
      </c>
      <c r="N849" s="3">
        <v>99.99</v>
      </c>
      <c r="O849" s="2" t="s">
        <v>97</v>
      </c>
      <c r="P849" s="2" t="s">
        <v>242</v>
      </c>
      <c r="Q849" s="2" t="s">
        <v>99</v>
      </c>
      <c r="R849" s="2" t="s">
        <v>100</v>
      </c>
      <c r="S849" s="2" t="s">
        <v>3056</v>
      </c>
      <c r="T849" s="2" t="s">
        <v>787</v>
      </c>
      <c r="U849" s="2" t="s">
        <v>676</v>
      </c>
      <c r="V849" s="2" t="s">
        <v>645</v>
      </c>
      <c r="W849" s="2" t="s">
        <v>345</v>
      </c>
      <c r="X849" s="2" t="s">
        <v>346</v>
      </c>
      <c r="Y849" s="2" t="s">
        <v>3057</v>
      </c>
      <c r="Z849" s="4">
        <v>525</v>
      </c>
      <c r="AA849" s="4">
        <f>=ROUNDDOWN(5.64516129032258,0)</f>
      </c>
      <c r="AB849" s="5">
        <v>93</v>
      </c>
      <c r="AC849" s="2" t="s">
        <v>132</v>
      </c>
      <c r="AD849" s="4">
        <v>300</v>
      </c>
      <c r="AE849" s="4">
        <v>2070</v>
      </c>
      <c r="AF849" s="6">
        <v>64</v>
      </c>
      <c r="AG849" s="6">
        <v>47</v>
      </c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/>
      <c r="BJ849" s="4">
        <v>96</v>
      </c>
      <c r="BK849" s="8">
        <v>4611.51</v>
      </c>
      <c r="BL849" s="2" t="s">
        <v>1182</v>
      </c>
      <c r="BM849" s="7"/>
      <c r="BN849" s="7"/>
      <c r="BO849" s="4"/>
      <c r="BP849" s="8"/>
      <c r="BQ849" s="4"/>
      <c r="BR849" s="8"/>
      <c r="BS849" s="7"/>
      <c r="BT849" s="7"/>
      <c r="BU849" s="2" t="s">
        <v>109</v>
      </c>
      <c r="BV849" s="2" t="s">
        <v>97</v>
      </c>
      <c r="BW849" s="2" t="s">
        <v>160</v>
      </c>
      <c r="BX849" s="2" t="s">
        <v>723</v>
      </c>
      <c r="BY849" s="2" t="s">
        <v>112</v>
      </c>
      <c r="BZ849" s="2" t="s">
        <v>100</v>
      </c>
    </row>
    <row r="850">
      <c r="A850" s="2" t="s">
        <v>3058</v>
      </c>
      <c r="B850" s="2" t="s">
        <v>87</v>
      </c>
      <c r="C850" s="2" t="s">
        <v>88</v>
      </c>
      <c r="D850" s="2" t="s">
        <v>2230</v>
      </c>
      <c r="E850" s="2" t="s">
        <v>2970</v>
      </c>
      <c r="F850" s="2" t="s">
        <v>2657</v>
      </c>
      <c r="G850" s="2" t="s">
        <v>2658</v>
      </c>
      <c r="H850" s="2" t="s">
        <v>2659</v>
      </c>
      <c r="I850" s="2" t="s">
        <v>3050</v>
      </c>
      <c r="J850" s="2" t="s">
        <v>2972</v>
      </c>
      <c r="K850" s="2" t="s">
        <v>1746</v>
      </c>
      <c r="L850" s="3">
        <v>47</v>
      </c>
      <c r="M850" s="3">
        <v>49.35</v>
      </c>
      <c r="N850" s="3">
        <v>99.99</v>
      </c>
      <c r="O850" s="2" t="s">
        <v>97</v>
      </c>
      <c r="P850" s="2" t="s">
        <v>1335</v>
      </c>
      <c r="Q850" s="2" t="s">
        <v>99</v>
      </c>
      <c r="R850" s="2" t="s">
        <v>100</v>
      </c>
      <c r="S850" s="2" t="s">
        <v>2685</v>
      </c>
      <c r="T850" s="2" t="s">
        <v>787</v>
      </c>
      <c r="U850" s="2" t="s">
        <v>676</v>
      </c>
      <c r="V850" s="2" t="s">
        <v>645</v>
      </c>
      <c r="W850" s="2" t="s">
        <v>345</v>
      </c>
      <c r="X850" s="2" t="s">
        <v>346</v>
      </c>
      <c r="Y850" s="2" t="s">
        <v>100</v>
      </c>
      <c r="Z850" s="4"/>
      <c r="AA850" s="4">
        <f>=ROUNDDOWN({0},0)</f>
      </c>
      <c r="AB850" s="5"/>
      <c r="AC850" s="2" t="s">
        <v>194</v>
      </c>
      <c r="AD850" s="4">
        <v>600</v>
      </c>
      <c r="AE850" s="4">
        <v>1200</v>
      </c>
      <c r="AF850" s="6">
        <v>65</v>
      </c>
      <c r="AG850" s="6"/>
      <c r="AH850" s="7">
        <v>0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/>
      <c r="BJ850" s="4"/>
      <c r="BK850" s="8"/>
      <c r="BL850" s="2" t="s">
        <v>100</v>
      </c>
      <c r="BM850" s="7"/>
      <c r="BN850" s="7"/>
      <c r="BO850" s="4"/>
      <c r="BP850" s="8"/>
      <c r="BQ850" s="4"/>
      <c r="BR850" s="8"/>
      <c r="BS850" s="7"/>
      <c r="BT850" s="7"/>
      <c r="BU850" s="2" t="s">
        <v>1338</v>
      </c>
      <c r="BV850" s="2" t="s">
        <v>97</v>
      </c>
      <c r="BW850" s="2" t="s">
        <v>100</v>
      </c>
      <c r="BX850" s="2" t="s">
        <v>100</v>
      </c>
      <c r="BY850" s="2" t="s">
        <v>112</v>
      </c>
      <c r="BZ850" s="2" t="s">
        <v>100</v>
      </c>
    </row>
    <row r="851">
      <c r="A851" s="2" t="s">
        <v>3059</v>
      </c>
      <c r="B851" s="2" t="s">
        <v>87</v>
      </c>
      <c r="C851" s="2" t="s">
        <v>88</v>
      </c>
      <c r="D851" s="2" t="s">
        <v>2230</v>
      </c>
      <c r="E851" s="2" t="s">
        <v>2970</v>
      </c>
      <c r="F851" s="2" t="s">
        <v>2657</v>
      </c>
      <c r="G851" s="2" t="s">
        <v>2658</v>
      </c>
      <c r="H851" s="2" t="s">
        <v>2659</v>
      </c>
      <c r="I851" s="2" t="s">
        <v>3050</v>
      </c>
      <c r="J851" s="2" t="s">
        <v>2972</v>
      </c>
      <c r="K851" s="2" t="s">
        <v>227</v>
      </c>
      <c r="L851" s="3">
        <v>47</v>
      </c>
      <c r="M851" s="3">
        <v>49.35</v>
      </c>
      <c r="N851" s="3">
        <v>99.99</v>
      </c>
      <c r="O851" s="2" t="s">
        <v>97</v>
      </c>
      <c r="P851" s="2" t="s">
        <v>242</v>
      </c>
      <c r="Q851" s="2" t="s">
        <v>99</v>
      </c>
      <c r="R851" s="2" t="s">
        <v>100</v>
      </c>
      <c r="S851" s="2" t="s">
        <v>2688</v>
      </c>
      <c r="T851" s="2" t="s">
        <v>787</v>
      </c>
      <c r="U851" s="2" t="s">
        <v>676</v>
      </c>
      <c r="V851" s="2" t="s">
        <v>645</v>
      </c>
      <c r="W851" s="2" t="s">
        <v>345</v>
      </c>
      <c r="X851" s="2" t="s">
        <v>346</v>
      </c>
      <c r="Y851" s="2" t="s">
        <v>3053</v>
      </c>
      <c r="Z851" s="4">
        <v>464</v>
      </c>
      <c r="AA851" s="4">
        <f>=ROUNDDOWN(8.59259259259259,0)</f>
      </c>
      <c r="AB851" s="5">
        <v>54</v>
      </c>
      <c r="AC851" s="2" t="s">
        <v>615</v>
      </c>
      <c r="AD851" s="4">
        <v>460</v>
      </c>
      <c r="AE851" s="4">
        <v>1190</v>
      </c>
      <c r="AF851" s="6">
        <v>64</v>
      </c>
      <c r="AG851" s="6">
        <v>47</v>
      </c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/>
      <c r="BJ851" s="4">
        <v>47</v>
      </c>
      <c r="BK851" s="8">
        <v>2345.15</v>
      </c>
      <c r="BL851" s="2" t="s">
        <v>874</v>
      </c>
      <c r="BM851" s="7"/>
      <c r="BN851" s="7"/>
      <c r="BO851" s="4"/>
      <c r="BP851" s="8"/>
      <c r="BQ851" s="4"/>
      <c r="BR851" s="8"/>
      <c r="BS851" s="7"/>
      <c r="BT851" s="7"/>
      <c r="BU851" s="2" t="s">
        <v>109</v>
      </c>
      <c r="BV851" s="2" t="s">
        <v>97</v>
      </c>
      <c r="BW851" s="2" t="s">
        <v>3060</v>
      </c>
      <c r="BX851" s="2" t="s">
        <v>3061</v>
      </c>
      <c r="BY851" s="2" t="s">
        <v>112</v>
      </c>
      <c r="BZ851" s="2" t="s">
        <v>100</v>
      </c>
    </row>
    <row r="852">
      <c r="A852" s="2" t="s">
        <v>3062</v>
      </c>
      <c r="B852" s="2" t="s">
        <v>87</v>
      </c>
      <c r="C852" s="2" t="s">
        <v>88</v>
      </c>
      <c r="D852" s="2" t="s">
        <v>2230</v>
      </c>
      <c r="E852" s="2" t="s">
        <v>2970</v>
      </c>
      <c r="F852" s="2" t="s">
        <v>2657</v>
      </c>
      <c r="G852" s="2" t="s">
        <v>2658</v>
      </c>
      <c r="H852" s="2" t="s">
        <v>2659</v>
      </c>
      <c r="I852" s="2" t="s">
        <v>3050</v>
      </c>
      <c r="J852" s="2" t="s">
        <v>2972</v>
      </c>
      <c r="K852" s="2" t="s">
        <v>213</v>
      </c>
      <c r="L852" s="3">
        <v>47</v>
      </c>
      <c r="M852" s="3">
        <v>49.35</v>
      </c>
      <c r="N852" s="3">
        <v>99.99</v>
      </c>
      <c r="O852" s="2" t="s">
        <v>97</v>
      </c>
      <c r="P852" s="2" t="s">
        <v>242</v>
      </c>
      <c r="Q852" s="2" t="s">
        <v>99</v>
      </c>
      <c r="R852" s="2" t="s">
        <v>100</v>
      </c>
      <c r="S852" s="2" t="s">
        <v>100</v>
      </c>
      <c r="T852" s="2" t="s">
        <v>787</v>
      </c>
      <c r="U852" s="2" t="s">
        <v>676</v>
      </c>
      <c r="V852" s="2" t="s">
        <v>645</v>
      </c>
      <c r="W852" s="2" t="s">
        <v>345</v>
      </c>
      <c r="X852" s="2" t="s">
        <v>346</v>
      </c>
      <c r="Y852" s="2" t="s">
        <v>3057</v>
      </c>
      <c r="Z852" s="4">
        <v>630</v>
      </c>
      <c r="AA852" s="4">
        <f>=ROUNDDOWN(15,0)</f>
      </c>
      <c r="AB852" s="5">
        <v>42</v>
      </c>
      <c r="AC852" s="2" t="s">
        <v>165</v>
      </c>
      <c r="AD852" s="4">
        <v>50</v>
      </c>
      <c r="AE852" s="4">
        <v>820</v>
      </c>
      <c r="AF852" s="6">
        <v>64</v>
      </c>
      <c r="AG852" s="6">
        <v>47</v>
      </c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/>
      <c r="BJ852" s="4">
        <v>45</v>
      </c>
      <c r="BK852" s="8">
        <v>2206.96</v>
      </c>
      <c r="BL852" s="2" t="s">
        <v>412</v>
      </c>
      <c r="BM852" s="7"/>
      <c r="BN852" s="7"/>
      <c r="BO852" s="4"/>
      <c r="BP852" s="8"/>
      <c r="BQ852" s="4"/>
      <c r="BR852" s="8"/>
      <c r="BS852" s="7"/>
      <c r="BT852" s="7"/>
      <c r="BU852" s="2" t="s">
        <v>109</v>
      </c>
      <c r="BV852" s="2" t="s">
        <v>97</v>
      </c>
      <c r="BW852" s="2" t="s">
        <v>160</v>
      </c>
      <c r="BX852" s="2" t="s">
        <v>181</v>
      </c>
      <c r="BY852" s="2" t="s">
        <v>112</v>
      </c>
      <c r="BZ852" s="2" t="s">
        <v>100</v>
      </c>
    </row>
    <row r="853">
      <c r="A853" s="2" t="s">
        <v>3063</v>
      </c>
      <c r="B853" s="2" t="s">
        <v>87</v>
      </c>
      <c r="C853" s="2" t="s">
        <v>88</v>
      </c>
      <c r="D853" s="2" t="s">
        <v>2230</v>
      </c>
      <c r="E853" s="2" t="s">
        <v>3064</v>
      </c>
      <c r="F853" s="2" t="s">
        <v>1184</v>
      </c>
      <c r="G853" s="2" t="s">
        <v>1185</v>
      </c>
      <c r="H853" s="2" t="s">
        <v>1186</v>
      </c>
      <c r="I853" s="2" t="s">
        <v>3065</v>
      </c>
      <c r="J853" s="2" t="s">
        <v>785</v>
      </c>
      <c r="K853" s="2" t="s">
        <v>340</v>
      </c>
      <c r="L853" s="3">
        <v>28.57</v>
      </c>
      <c r="M853" s="3">
        <v>30</v>
      </c>
      <c r="N853" s="3">
        <v>59.99</v>
      </c>
      <c r="O853" s="2" t="s">
        <v>97</v>
      </c>
      <c r="P853" s="2" t="s">
        <v>242</v>
      </c>
      <c r="Q853" s="2" t="s">
        <v>99</v>
      </c>
      <c r="R853" s="2" t="s">
        <v>100</v>
      </c>
      <c r="S853" s="2" t="s">
        <v>1187</v>
      </c>
      <c r="T853" s="2" t="s">
        <v>787</v>
      </c>
      <c r="U853" s="2" t="s">
        <v>1459</v>
      </c>
      <c r="V853" s="2" t="s">
        <v>677</v>
      </c>
      <c r="W853" s="2" t="s">
        <v>646</v>
      </c>
      <c r="X853" s="2" t="s">
        <v>788</v>
      </c>
      <c r="Y853" s="2" t="s">
        <v>3066</v>
      </c>
      <c r="Z853" s="4">
        <v>533</v>
      </c>
      <c r="AA853" s="4">
        <f>=ROUNDDOWN(3.55333333333333,0)</f>
      </c>
      <c r="AB853" s="5">
        <v>150</v>
      </c>
      <c r="AC853" s="2" t="s">
        <v>1825</v>
      </c>
      <c r="AD853" s="4">
        <v>27</v>
      </c>
      <c r="AE853" s="4">
        <v>4700</v>
      </c>
      <c r="AF853" s="6">
        <v>64</v>
      </c>
      <c r="AG853" s="6"/>
      <c r="AH853" s="7">
        <v>0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/>
      <c r="BJ853" s="4">
        <v>5</v>
      </c>
      <c r="BK853" s="8">
        <v>164.3</v>
      </c>
      <c r="BL853" s="2" t="s">
        <v>625</v>
      </c>
      <c r="BM853" s="7"/>
      <c r="BN853" s="7"/>
      <c r="BO853" s="4"/>
      <c r="BP853" s="8"/>
      <c r="BQ853" s="4"/>
      <c r="BR853" s="8"/>
      <c r="BS853" s="7"/>
      <c r="BT853" s="7"/>
      <c r="BU853" s="2" t="s">
        <v>109</v>
      </c>
      <c r="BV853" s="2" t="s">
        <v>97</v>
      </c>
      <c r="BW853" s="2" t="s">
        <v>1518</v>
      </c>
      <c r="BX853" s="2" t="s">
        <v>793</v>
      </c>
      <c r="BY853" s="2" t="s">
        <v>112</v>
      </c>
      <c r="BZ853" s="2" t="s">
        <v>100</v>
      </c>
    </row>
    <row r="854">
      <c r="A854" s="2" t="s">
        <v>3067</v>
      </c>
      <c r="B854" s="2" t="s">
        <v>87</v>
      </c>
      <c r="C854" s="2" t="s">
        <v>88</v>
      </c>
      <c r="D854" s="2" t="s">
        <v>2230</v>
      </c>
      <c r="E854" s="2" t="s">
        <v>3064</v>
      </c>
      <c r="F854" s="2" t="s">
        <v>1184</v>
      </c>
      <c r="G854" s="2" t="s">
        <v>1185</v>
      </c>
      <c r="H854" s="2" t="s">
        <v>1186</v>
      </c>
      <c r="I854" s="2" t="s">
        <v>3065</v>
      </c>
      <c r="J854" s="2" t="s">
        <v>795</v>
      </c>
      <c r="K854" s="2" t="s">
        <v>340</v>
      </c>
      <c r="L854" s="3">
        <v>33.33</v>
      </c>
      <c r="M854" s="3">
        <v>35</v>
      </c>
      <c r="N854" s="3">
        <v>69.99</v>
      </c>
      <c r="O854" s="2" t="s">
        <v>97</v>
      </c>
      <c r="P854" s="2" t="s">
        <v>242</v>
      </c>
      <c r="Q854" s="2" t="s">
        <v>99</v>
      </c>
      <c r="R854" s="2" t="s">
        <v>100</v>
      </c>
      <c r="S854" s="2" t="s">
        <v>1187</v>
      </c>
      <c r="T854" s="2" t="s">
        <v>787</v>
      </c>
      <c r="U854" s="2" t="s">
        <v>1459</v>
      </c>
      <c r="V854" s="2" t="s">
        <v>677</v>
      </c>
      <c r="W854" s="2" t="s">
        <v>646</v>
      </c>
      <c r="X854" s="2" t="s">
        <v>788</v>
      </c>
      <c r="Y854" s="2" t="s">
        <v>3066</v>
      </c>
      <c r="Z854" s="4">
        <v>558</v>
      </c>
      <c r="AA854" s="4">
        <f>=ROUNDDOWN(4.98214285714286,0)</f>
      </c>
      <c r="AB854" s="5">
        <v>112</v>
      </c>
      <c r="AC854" s="2" t="s">
        <v>1825</v>
      </c>
      <c r="AD854" s="4">
        <v>30</v>
      </c>
      <c r="AE854" s="4">
        <v>3550</v>
      </c>
      <c r="AF854" s="6">
        <v>64</v>
      </c>
      <c r="AG854" s="6"/>
      <c r="AH854" s="7">
        <v>0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/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/>
      <c r="BJ854" s="4"/>
      <c r="BK854" s="8"/>
      <c r="BL854" s="2" t="s">
        <v>100</v>
      </c>
      <c r="BM854" s="7"/>
      <c r="BN854" s="7"/>
      <c r="BO854" s="4"/>
      <c r="BP854" s="8"/>
      <c r="BQ854" s="4"/>
      <c r="BR854" s="8"/>
      <c r="BS854" s="7"/>
      <c r="BT854" s="7"/>
      <c r="BU854" s="2" t="s">
        <v>109</v>
      </c>
      <c r="BV854" s="2" t="s">
        <v>97</v>
      </c>
      <c r="BW854" s="2" t="s">
        <v>1518</v>
      </c>
      <c r="BX854" s="2" t="s">
        <v>1451</v>
      </c>
      <c r="BY854" s="2" t="s">
        <v>112</v>
      </c>
      <c r="BZ854" s="2" t="s">
        <v>100</v>
      </c>
    </row>
    <row r="855">
      <c r="A855" s="2" t="s">
        <v>3068</v>
      </c>
      <c r="B855" s="2" t="s">
        <v>87</v>
      </c>
      <c r="C855" s="2" t="s">
        <v>88</v>
      </c>
      <c r="D855" s="2" t="s">
        <v>2230</v>
      </c>
      <c r="E855" s="2" t="s">
        <v>3064</v>
      </c>
      <c r="F855" s="2" t="s">
        <v>1184</v>
      </c>
      <c r="G855" s="2" t="s">
        <v>1185</v>
      </c>
      <c r="H855" s="2" t="s">
        <v>1186</v>
      </c>
      <c r="I855" s="2" t="s">
        <v>3065</v>
      </c>
      <c r="J855" s="2" t="s">
        <v>785</v>
      </c>
      <c r="K855" s="2" t="s">
        <v>409</v>
      </c>
      <c r="L855" s="3">
        <v>28.57</v>
      </c>
      <c r="M855" s="3">
        <v>30</v>
      </c>
      <c r="N855" s="3">
        <v>59.99</v>
      </c>
      <c r="O855" s="2" t="s">
        <v>97</v>
      </c>
      <c r="P855" s="2" t="s">
        <v>242</v>
      </c>
      <c r="Q855" s="2" t="s">
        <v>99</v>
      </c>
      <c r="R855" s="2" t="s">
        <v>100</v>
      </c>
      <c r="S855" s="2" t="s">
        <v>3069</v>
      </c>
      <c r="T855" s="2" t="s">
        <v>787</v>
      </c>
      <c r="U855" s="2" t="s">
        <v>1459</v>
      </c>
      <c r="V855" s="2" t="s">
        <v>677</v>
      </c>
      <c r="W855" s="2" t="s">
        <v>646</v>
      </c>
      <c r="X855" s="2" t="s">
        <v>788</v>
      </c>
      <c r="Y855" s="2" t="s">
        <v>1194</v>
      </c>
      <c r="Z855" s="4">
        <v>513</v>
      </c>
      <c r="AA855" s="4">
        <f>=ROUNDDOWN(3.30967741935484,0)</f>
      </c>
      <c r="AB855" s="5">
        <v>155</v>
      </c>
      <c r="AC855" s="2" t="s">
        <v>287</v>
      </c>
      <c r="AD855" s="4">
        <v>500</v>
      </c>
      <c r="AE855" s="4">
        <v>4635</v>
      </c>
      <c r="AF855" s="6">
        <v>64</v>
      </c>
      <c r="AG855" s="6"/>
      <c r="AH855" s="7">
        <v>0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/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/>
      <c r="BJ855" s="4">
        <v>34</v>
      </c>
      <c r="BK855" s="8">
        <v>1099.1</v>
      </c>
      <c r="BL855" s="2" t="s">
        <v>3070</v>
      </c>
      <c r="BM855" s="7"/>
      <c r="BN855" s="7"/>
      <c r="BO855" s="4"/>
      <c r="BP855" s="8"/>
      <c r="BQ855" s="4"/>
      <c r="BR855" s="8"/>
      <c r="BS855" s="7"/>
      <c r="BT855" s="7"/>
      <c r="BU855" s="2" t="s">
        <v>109</v>
      </c>
      <c r="BV855" s="2" t="s">
        <v>97</v>
      </c>
      <c r="BW855" s="2" t="s">
        <v>1518</v>
      </c>
      <c r="BX855" s="2" t="s">
        <v>814</v>
      </c>
      <c r="BY855" s="2" t="s">
        <v>112</v>
      </c>
      <c r="BZ855" s="2" t="s">
        <v>100</v>
      </c>
    </row>
    <row r="856">
      <c r="A856" s="2" t="s">
        <v>3071</v>
      </c>
      <c r="B856" s="2" t="s">
        <v>87</v>
      </c>
      <c r="C856" s="2" t="s">
        <v>88</v>
      </c>
      <c r="D856" s="2" t="s">
        <v>2230</v>
      </c>
      <c r="E856" s="2" t="s">
        <v>3064</v>
      </c>
      <c r="F856" s="2" t="s">
        <v>1184</v>
      </c>
      <c r="G856" s="2" t="s">
        <v>1185</v>
      </c>
      <c r="H856" s="2" t="s">
        <v>1186</v>
      </c>
      <c r="I856" s="2" t="s">
        <v>3065</v>
      </c>
      <c r="J856" s="2" t="s">
        <v>795</v>
      </c>
      <c r="K856" s="2" t="s">
        <v>409</v>
      </c>
      <c r="L856" s="3">
        <v>33.33</v>
      </c>
      <c r="M856" s="3">
        <v>35</v>
      </c>
      <c r="N856" s="3">
        <v>69.99</v>
      </c>
      <c r="O856" s="2" t="s">
        <v>97</v>
      </c>
      <c r="P856" s="2" t="s">
        <v>242</v>
      </c>
      <c r="Q856" s="2" t="s">
        <v>99</v>
      </c>
      <c r="R856" s="2" t="s">
        <v>100</v>
      </c>
      <c r="S856" s="2" t="s">
        <v>3069</v>
      </c>
      <c r="T856" s="2" t="s">
        <v>787</v>
      </c>
      <c r="U856" s="2" t="s">
        <v>1459</v>
      </c>
      <c r="V856" s="2" t="s">
        <v>677</v>
      </c>
      <c r="W856" s="2" t="s">
        <v>646</v>
      </c>
      <c r="X856" s="2" t="s">
        <v>788</v>
      </c>
      <c r="Y856" s="2" t="s">
        <v>1194</v>
      </c>
      <c r="Z856" s="4">
        <v>329</v>
      </c>
      <c r="AA856" s="4">
        <f>=ROUNDDOWN(3.13333333333333,0)</f>
      </c>
      <c r="AB856" s="5">
        <v>105</v>
      </c>
      <c r="AC856" s="2" t="s">
        <v>287</v>
      </c>
      <c r="AD856" s="4">
        <v>300</v>
      </c>
      <c r="AE856" s="4">
        <v>3065</v>
      </c>
      <c r="AF856" s="6">
        <v>64</v>
      </c>
      <c r="AG856" s="6"/>
      <c r="AH856" s="7">
        <v>0.5714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/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/>
      <c r="BJ856" s="4">
        <v>100</v>
      </c>
      <c r="BK856" s="8">
        <v>3754.12</v>
      </c>
      <c r="BL856" s="2" t="s">
        <v>3072</v>
      </c>
      <c r="BM856" s="7"/>
      <c r="BN856" s="7"/>
      <c r="BO856" s="4"/>
      <c r="BP856" s="8"/>
      <c r="BQ856" s="4"/>
      <c r="BR856" s="8"/>
      <c r="BS856" s="7"/>
      <c r="BT856" s="7"/>
      <c r="BU856" s="2" t="s">
        <v>109</v>
      </c>
      <c r="BV856" s="2" t="s">
        <v>97</v>
      </c>
      <c r="BW856" s="2" t="s">
        <v>1518</v>
      </c>
      <c r="BX856" s="2" t="s">
        <v>807</v>
      </c>
      <c r="BY856" s="2" t="s">
        <v>112</v>
      </c>
      <c r="BZ856" s="2" t="s">
        <v>100</v>
      </c>
    </row>
    <row r="857">
      <c r="A857" s="2" t="s">
        <v>3073</v>
      </c>
      <c r="B857" s="2" t="s">
        <v>87</v>
      </c>
      <c r="C857" s="2" t="s">
        <v>88</v>
      </c>
      <c r="D857" s="2" t="s">
        <v>2230</v>
      </c>
      <c r="E857" s="2" t="s">
        <v>3064</v>
      </c>
      <c r="F857" s="2" t="s">
        <v>2769</v>
      </c>
      <c r="G857" s="2" t="s">
        <v>2770</v>
      </c>
      <c r="H857" s="2" t="s">
        <v>2771</v>
      </c>
      <c r="I857" s="2" t="s">
        <v>2772</v>
      </c>
      <c r="J857" s="2" t="s">
        <v>785</v>
      </c>
      <c r="K857" s="2" t="s">
        <v>3074</v>
      </c>
      <c r="L857" s="3">
        <v>36.8</v>
      </c>
      <c r="M857" s="3">
        <v>38.64</v>
      </c>
      <c r="N857" s="3">
        <v>79.99</v>
      </c>
      <c r="O857" s="2" t="s">
        <v>97</v>
      </c>
      <c r="P857" s="2" t="s">
        <v>1335</v>
      </c>
      <c r="Q857" s="2" t="s">
        <v>99</v>
      </c>
      <c r="R857" s="2" t="s">
        <v>100</v>
      </c>
      <c r="S857" s="2" t="s">
        <v>3075</v>
      </c>
      <c r="T857" s="2" t="s">
        <v>100</v>
      </c>
      <c r="U857" s="2" t="s">
        <v>1508</v>
      </c>
      <c r="V857" s="2" t="s">
        <v>1112</v>
      </c>
      <c r="W857" s="2" t="s">
        <v>756</v>
      </c>
      <c r="X857" s="2" t="s">
        <v>898</v>
      </c>
      <c r="Y857" s="2" t="s">
        <v>3076</v>
      </c>
      <c r="Z857" s="4">
        <v>3</v>
      </c>
      <c r="AA857" s="4">
        <f>=ROUNDDOWN(0.166666666666667,0)</f>
      </c>
      <c r="AB857" s="5">
        <v>18</v>
      </c>
      <c r="AC857" s="2" t="s">
        <v>583</v>
      </c>
      <c r="AD857" s="4">
        <v>290</v>
      </c>
      <c r="AE857" s="4">
        <v>580</v>
      </c>
      <c r="AF857" s="6">
        <v>65</v>
      </c>
      <c r="AG857" s="6"/>
      <c r="AH857" s="7">
        <v>0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/>
      <c r="BJ857" s="4"/>
      <c r="BK857" s="8"/>
      <c r="BL857" s="2" t="s">
        <v>100</v>
      </c>
      <c r="BM857" s="7"/>
      <c r="BN857" s="7"/>
      <c r="BO857" s="4"/>
      <c r="BP857" s="8"/>
      <c r="BQ857" s="4"/>
      <c r="BR857" s="8"/>
      <c r="BS857" s="7"/>
      <c r="BT857" s="7"/>
      <c r="BU857" s="2" t="s">
        <v>1338</v>
      </c>
      <c r="BV857" s="2" t="s">
        <v>97</v>
      </c>
      <c r="BW857" s="2" t="s">
        <v>100</v>
      </c>
      <c r="BX857" s="2" t="s">
        <v>100</v>
      </c>
      <c r="BY857" s="2" t="s">
        <v>112</v>
      </c>
      <c r="BZ857" s="2" t="s">
        <v>100</v>
      </c>
    </row>
    <row r="858">
      <c r="A858" s="2" t="s">
        <v>3077</v>
      </c>
      <c r="B858" s="2" t="s">
        <v>87</v>
      </c>
      <c r="C858" s="2" t="s">
        <v>88</v>
      </c>
      <c r="D858" s="2" t="s">
        <v>2230</v>
      </c>
      <c r="E858" s="2" t="s">
        <v>3064</v>
      </c>
      <c r="F858" s="2" t="s">
        <v>2769</v>
      </c>
      <c r="G858" s="2" t="s">
        <v>2770</v>
      </c>
      <c r="H858" s="2" t="s">
        <v>2771</v>
      </c>
      <c r="I858" s="2" t="s">
        <v>2772</v>
      </c>
      <c r="J858" s="2" t="s">
        <v>795</v>
      </c>
      <c r="K858" s="2" t="s">
        <v>3074</v>
      </c>
      <c r="L858" s="3">
        <v>42.3</v>
      </c>
      <c r="M858" s="3">
        <v>44.41</v>
      </c>
      <c r="N858" s="3">
        <v>89.99</v>
      </c>
      <c r="O858" s="2" t="s">
        <v>97</v>
      </c>
      <c r="P858" s="2" t="s">
        <v>1335</v>
      </c>
      <c r="Q858" s="2" t="s">
        <v>99</v>
      </c>
      <c r="R858" s="2" t="s">
        <v>100</v>
      </c>
      <c r="S858" s="2" t="s">
        <v>3075</v>
      </c>
      <c r="T858" s="2" t="s">
        <v>100</v>
      </c>
      <c r="U858" s="2" t="s">
        <v>1508</v>
      </c>
      <c r="V858" s="2" t="s">
        <v>1112</v>
      </c>
      <c r="W858" s="2" t="s">
        <v>756</v>
      </c>
      <c r="X858" s="2" t="s">
        <v>898</v>
      </c>
      <c r="Y858" s="2" t="s">
        <v>3076</v>
      </c>
      <c r="Z858" s="4">
        <v>3</v>
      </c>
      <c r="AA858" s="4">
        <f>=ROUNDDOWN(0.176470588235294,0)</f>
      </c>
      <c r="AB858" s="5">
        <v>17</v>
      </c>
      <c r="AC858" s="2" t="s">
        <v>583</v>
      </c>
      <c r="AD858" s="4">
        <v>260</v>
      </c>
      <c r="AE858" s="4">
        <v>520</v>
      </c>
      <c r="AF858" s="6">
        <v>65</v>
      </c>
      <c r="AG858" s="6"/>
      <c r="AH858" s="7">
        <v>0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/>
      <c r="BJ858" s="4"/>
      <c r="BK858" s="8"/>
      <c r="BL858" s="2" t="s">
        <v>100</v>
      </c>
      <c r="BM858" s="7"/>
      <c r="BN858" s="7"/>
      <c r="BO858" s="4"/>
      <c r="BP858" s="8"/>
      <c r="BQ858" s="4"/>
      <c r="BR858" s="8"/>
      <c r="BS858" s="7"/>
      <c r="BT858" s="7"/>
      <c r="BU858" s="2" t="s">
        <v>1338</v>
      </c>
      <c r="BV858" s="2" t="s">
        <v>97</v>
      </c>
      <c r="BW858" s="2" t="s">
        <v>100</v>
      </c>
      <c r="BX858" s="2" t="s">
        <v>100</v>
      </c>
      <c r="BY858" s="2" t="s">
        <v>112</v>
      </c>
      <c r="BZ858" s="2" t="s">
        <v>100</v>
      </c>
    </row>
    <row r="859">
      <c r="A859" s="2" t="s">
        <v>3078</v>
      </c>
      <c r="B859" s="2" t="s">
        <v>87</v>
      </c>
      <c r="C859" s="2" t="s">
        <v>88</v>
      </c>
      <c r="D859" s="2" t="s">
        <v>3079</v>
      </c>
      <c r="E859" s="2" t="s">
        <v>3080</v>
      </c>
      <c r="F859" s="2" t="s">
        <v>864</v>
      </c>
      <c r="G859" s="2" t="s">
        <v>865</v>
      </c>
      <c r="H859" s="2" t="s">
        <v>866</v>
      </c>
      <c r="I859" s="2" t="s">
        <v>3081</v>
      </c>
      <c r="J859" s="2" t="s">
        <v>785</v>
      </c>
      <c r="K859" s="2" t="s">
        <v>868</v>
      </c>
      <c r="L859" s="3">
        <v>48.5</v>
      </c>
      <c r="M859" s="3">
        <v>50.92</v>
      </c>
      <c r="N859" s="3">
        <v>99.99</v>
      </c>
      <c r="O859" s="2" t="s">
        <v>97</v>
      </c>
      <c r="P859" s="2" t="s">
        <v>98</v>
      </c>
      <c r="Q859" s="2" t="s">
        <v>99</v>
      </c>
      <c r="R859" s="2" t="s">
        <v>100</v>
      </c>
      <c r="S859" s="2" t="s">
        <v>869</v>
      </c>
      <c r="T859" s="2" t="s">
        <v>100</v>
      </c>
      <c r="U859" s="2" t="s">
        <v>676</v>
      </c>
      <c r="V859" s="2" t="s">
        <v>284</v>
      </c>
      <c r="W859" s="2" t="s">
        <v>104</v>
      </c>
      <c r="X859" s="2" t="s">
        <v>399</v>
      </c>
      <c r="Y859" s="2" t="s">
        <v>131</v>
      </c>
      <c r="Z859" s="4">
        <v>281</v>
      </c>
      <c r="AA859" s="4">
        <f>=ROUNDDOWN(46.8333333333333,0)</f>
      </c>
      <c r="AB859" s="5">
        <v>6</v>
      </c>
      <c r="AC859" s="2" t="s">
        <v>871</v>
      </c>
      <c r="AD859" s="4">
        <v>30</v>
      </c>
      <c r="AE859" s="4">
        <v>138</v>
      </c>
      <c r="AF859" s="6">
        <v>65</v>
      </c>
      <c r="AG859" s="6">
        <v>73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>
        <v>2</v>
      </c>
      <c r="AW859" s="8">
        <v>129.66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>
        <v>2</v>
      </c>
      <c r="BD859" s="8">
        <v>129.66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>
        <v>1</v>
      </c>
      <c r="BJ859" s="4">
        <v>3</v>
      </c>
      <c r="BK859" s="8">
        <v>167.43</v>
      </c>
      <c r="BL859" s="2" t="s">
        <v>625</v>
      </c>
      <c r="BM859" s="7"/>
      <c r="BN859" s="7"/>
      <c r="BO859" s="4"/>
      <c r="BP859" s="8"/>
      <c r="BQ859" s="4"/>
      <c r="BR859" s="8"/>
      <c r="BS859" s="7"/>
      <c r="BT859" s="7"/>
      <c r="BU859" s="2" t="s">
        <v>109</v>
      </c>
      <c r="BV859" s="2" t="s">
        <v>97</v>
      </c>
      <c r="BW859" s="2" t="s">
        <v>1159</v>
      </c>
      <c r="BX859" s="2" t="s">
        <v>2422</v>
      </c>
      <c r="BY859" s="2" t="s">
        <v>112</v>
      </c>
      <c r="BZ859" s="2" t="s">
        <v>100</v>
      </c>
    </row>
    <row r="860">
      <c r="A860" s="2" t="s">
        <v>3082</v>
      </c>
      <c r="B860" s="2" t="s">
        <v>87</v>
      </c>
      <c r="C860" s="2" t="s">
        <v>88</v>
      </c>
      <c r="D860" s="2" t="s">
        <v>3079</v>
      </c>
      <c r="E860" s="2" t="s">
        <v>3080</v>
      </c>
      <c r="F860" s="2" t="s">
        <v>864</v>
      </c>
      <c r="G860" s="2" t="s">
        <v>865</v>
      </c>
      <c r="H860" s="2" t="s">
        <v>866</v>
      </c>
      <c r="I860" s="2" t="s">
        <v>3081</v>
      </c>
      <c r="J860" s="2" t="s">
        <v>795</v>
      </c>
      <c r="K860" s="2" t="s">
        <v>868</v>
      </c>
      <c r="L860" s="3">
        <v>52.91</v>
      </c>
      <c r="M860" s="3">
        <v>55.56</v>
      </c>
      <c r="N860" s="3">
        <v>109.99</v>
      </c>
      <c r="O860" s="2" t="s">
        <v>97</v>
      </c>
      <c r="P860" s="2" t="s">
        <v>98</v>
      </c>
      <c r="Q860" s="2" t="s">
        <v>99</v>
      </c>
      <c r="R860" s="2" t="s">
        <v>100</v>
      </c>
      <c r="S860" s="2" t="s">
        <v>869</v>
      </c>
      <c r="T860" s="2" t="s">
        <v>100</v>
      </c>
      <c r="U860" s="2" t="s">
        <v>676</v>
      </c>
      <c r="V860" s="2" t="s">
        <v>284</v>
      </c>
      <c r="W860" s="2" t="s">
        <v>104</v>
      </c>
      <c r="X860" s="2" t="s">
        <v>399</v>
      </c>
      <c r="Y860" s="2" t="s">
        <v>3083</v>
      </c>
      <c r="Z860" s="4">
        <v>354</v>
      </c>
      <c r="AA860" s="4">
        <f>=ROUNDDOWN(35.4,0)</f>
      </c>
      <c r="AB860" s="5">
        <v>10</v>
      </c>
      <c r="AC860" s="2" t="s">
        <v>695</v>
      </c>
      <c r="AD860" s="4">
        <v>30</v>
      </c>
      <c r="AE860" s="4">
        <v>50</v>
      </c>
      <c r="AF860" s="6">
        <v>65</v>
      </c>
      <c r="AG860" s="6">
        <v>73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>
        <v>2</v>
      </c>
      <c r="AQ860" s="8">
        <v>129.66</v>
      </c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>
        <v>1</v>
      </c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 t="s">
        <v>100</v>
      </c>
      <c r="BJ860" s="4">
        <v>14</v>
      </c>
      <c r="BK860" s="8">
        <v>827.19</v>
      </c>
      <c r="BL860" s="2" t="s">
        <v>3084</v>
      </c>
      <c r="BM860" s="7">
        <v>0.1429</v>
      </c>
      <c r="BN860" s="7">
        <v>0.1567</v>
      </c>
      <c r="BO860" s="4">
        <v>2</v>
      </c>
      <c r="BP860" s="8">
        <v>129.66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1159</v>
      </c>
      <c r="BX860" s="2" t="s">
        <v>3085</v>
      </c>
      <c r="BY860" s="2" t="s">
        <v>112</v>
      </c>
      <c r="BZ860" s="2" t="s">
        <v>100</v>
      </c>
    </row>
    <row r="861">
      <c r="A861" s="2" t="s">
        <v>3086</v>
      </c>
      <c r="B861" s="2" t="s">
        <v>87</v>
      </c>
      <c r="C861" s="2" t="s">
        <v>88</v>
      </c>
      <c r="D861" s="2" t="s">
        <v>3079</v>
      </c>
      <c r="E861" s="2" t="s">
        <v>3080</v>
      </c>
      <c r="F861" s="2" t="s">
        <v>864</v>
      </c>
      <c r="G861" s="2" t="s">
        <v>865</v>
      </c>
      <c r="H861" s="2" t="s">
        <v>866</v>
      </c>
      <c r="I861" s="2" t="s">
        <v>3081</v>
      </c>
      <c r="J861" s="2" t="s">
        <v>785</v>
      </c>
      <c r="K861" s="2" t="s">
        <v>185</v>
      </c>
      <c r="L861" s="3">
        <v>48.5</v>
      </c>
      <c r="M861" s="3">
        <v>50.92</v>
      </c>
      <c r="N861" s="3">
        <v>99.99</v>
      </c>
      <c r="O861" s="2" t="s">
        <v>97</v>
      </c>
      <c r="P861" s="2" t="s">
        <v>98</v>
      </c>
      <c r="Q861" s="2" t="s">
        <v>99</v>
      </c>
      <c r="R861" s="2" t="s">
        <v>100</v>
      </c>
      <c r="S861" s="2" t="s">
        <v>3087</v>
      </c>
      <c r="T861" s="2" t="s">
        <v>359</v>
      </c>
      <c r="U861" s="2" t="s">
        <v>676</v>
      </c>
      <c r="V861" s="2" t="s">
        <v>284</v>
      </c>
      <c r="W861" s="2" t="s">
        <v>104</v>
      </c>
      <c r="X861" s="2" t="s">
        <v>581</v>
      </c>
      <c r="Y861" s="2" t="s">
        <v>564</v>
      </c>
      <c r="Z861" s="4">
        <v>136</v>
      </c>
      <c r="AA861" s="4">
        <f>=ROUNDDOWN(68,0)</f>
      </c>
      <c r="AB861" s="5">
        <v>2</v>
      </c>
      <c r="AC861" s="2" t="s">
        <v>100</v>
      </c>
      <c r="AD861" s="4"/>
      <c r="AE861" s="4"/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 t="s">
        <v>100</v>
      </c>
      <c r="BJ861" s="4">
        <v>1</v>
      </c>
      <c r="BK861" s="8">
        <v>62.25</v>
      </c>
      <c r="BL861" s="2" t="s">
        <v>1310</v>
      </c>
      <c r="BM861" s="7"/>
      <c r="BN861" s="7"/>
      <c r="BO861" s="4"/>
      <c r="BP861" s="8"/>
      <c r="BQ861" s="4"/>
      <c r="BR861" s="8"/>
      <c r="BS861" s="7"/>
      <c r="BT861" s="7"/>
      <c r="BU861" s="2" t="s">
        <v>3088</v>
      </c>
      <c r="BV861" s="2" t="s">
        <v>97</v>
      </c>
      <c r="BW861" s="2" t="s">
        <v>100</v>
      </c>
      <c r="BX861" s="2" t="s">
        <v>100</v>
      </c>
      <c r="BY861" s="2" t="s">
        <v>112</v>
      </c>
      <c r="BZ861" s="2" t="s">
        <v>100</v>
      </c>
    </row>
    <row r="862">
      <c r="A862" s="2" t="s">
        <v>3089</v>
      </c>
      <c r="B862" s="2" t="s">
        <v>87</v>
      </c>
      <c r="C862" s="2" t="s">
        <v>88</v>
      </c>
      <c r="D862" s="2" t="s">
        <v>3079</v>
      </c>
      <c r="E862" s="2" t="s">
        <v>3080</v>
      </c>
      <c r="F862" s="2" t="s">
        <v>864</v>
      </c>
      <c r="G862" s="2" t="s">
        <v>865</v>
      </c>
      <c r="H862" s="2" t="s">
        <v>866</v>
      </c>
      <c r="I862" s="2" t="s">
        <v>3081</v>
      </c>
      <c r="J862" s="2" t="s">
        <v>795</v>
      </c>
      <c r="K862" s="2" t="s">
        <v>185</v>
      </c>
      <c r="L862" s="3">
        <v>52.91</v>
      </c>
      <c r="M862" s="3">
        <v>55.56</v>
      </c>
      <c r="N862" s="3">
        <v>109.99</v>
      </c>
      <c r="O862" s="2" t="s">
        <v>97</v>
      </c>
      <c r="P862" s="2" t="s">
        <v>98</v>
      </c>
      <c r="Q862" s="2" t="s">
        <v>99</v>
      </c>
      <c r="R862" s="2" t="s">
        <v>100</v>
      </c>
      <c r="S862" s="2" t="s">
        <v>3087</v>
      </c>
      <c r="T862" s="2" t="s">
        <v>359</v>
      </c>
      <c r="U862" s="2" t="s">
        <v>676</v>
      </c>
      <c r="V862" s="2" t="s">
        <v>284</v>
      </c>
      <c r="W862" s="2" t="s">
        <v>104</v>
      </c>
      <c r="X862" s="2" t="s">
        <v>581</v>
      </c>
      <c r="Y862" s="2" t="s">
        <v>564</v>
      </c>
      <c r="Z862" s="4">
        <v>112</v>
      </c>
      <c r="AA862" s="4">
        <f>=ROUNDDOWN(28,0)</f>
      </c>
      <c r="AB862" s="5">
        <v>4</v>
      </c>
      <c r="AC862" s="2" t="s">
        <v>406</v>
      </c>
      <c r="AD862" s="4">
        <v>50</v>
      </c>
      <c r="AE862" s="4">
        <v>90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 t="s">
        <v>100</v>
      </c>
      <c r="BJ862" s="4">
        <v>1</v>
      </c>
      <c r="BK862" s="8">
        <v>59.5</v>
      </c>
      <c r="BL862" s="2" t="s">
        <v>2115</v>
      </c>
      <c r="BM862" s="7"/>
      <c r="BN862" s="7"/>
      <c r="BO862" s="4"/>
      <c r="BP862" s="8"/>
      <c r="BQ862" s="4"/>
      <c r="BR862" s="8"/>
      <c r="BS862" s="7"/>
      <c r="BT862" s="7"/>
      <c r="BU862" s="2" t="s">
        <v>3088</v>
      </c>
      <c r="BV862" s="2" t="s">
        <v>97</v>
      </c>
      <c r="BW862" s="2" t="s">
        <v>100</v>
      </c>
      <c r="BX862" s="2" t="s">
        <v>100</v>
      </c>
      <c r="BY862" s="2" t="s">
        <v>112</v>
      </c>
      <c r="BZ862" s="2" t="s">
        <v>100</v>
      </c>
    </row>
    <row r="863">
      <c r="A863" s="2" t="s">
        <v>3090</v>
      </c>
      <c r="B863" s="2" t="s">
        <v>87</v>
      </c>
      <c r="C863" s="2" t="s">
        <v>88</v>
      </c>
      <c r="D863" s="2" t="s">
        <v>3079</v>
      </c>
      <c r="E863" s="2" t="s">
        <v>3080</v>
      </c>
      <c r="F863" s="2" t="s">
        <v>864</v>
      </c>
      <c r="G863" s="2" t="s">
        <v>865</v>
      </c>
      <c r="H863" s="2" t="s">
        <v>866</v>
      </c>
      <c r="I863" s="2" t="s">
        <v>3081</v>
      </c>
      <c r="J863" s="2" t="s">
        <v>785</v>
      </c>
      <c r="K863" s="2" t="s">
        <v>146</v>
      </c>
      <c r="L863" s="3">
        <v>48.5</v>
      </c>
      <c r="M863" s="3">
        <v>50.92</v>
      </c>
      <c r="N863" s="3">
        <v>99.99</v>
      </c>
      <c r="O863" s="2" t="s">
        <v>97</v>
      </c>
      <c r="P863" s="2" t="s">
        <v>98</v>
      </c>
      <c r="Q863" s="2" t="s">
        <v>99</v>
      </c>
      <c r="R863" s="2" t="s">
        <v>100</v>
      </c>
      <c r="S863" s="2" t="s">
        <v>886</v>
      </c>
      <c r="T863" s="2" t="s">
        <v>100</v>
      </c>
      <c r="U863" s="2" t="s">
        <v>676</v>
      </c>
      <c r="V863" s="2" t="s">
        <v>284</v>
      </c>
      <c r="W863" s="2" t="s">
        <v>104</v>
      </c>
      <c r="X863" s="2" t="s">
        <v>399</v>
      </c>
      <c r="Y863" s="2" t="s">
        <v>131</v>
      </c>
      <c r="Z863" s="4">
        <v>270</v>
      </c>
      <c r="AA863" s="4">
        <f>=ROUNDDOWN(90,0)</f>
      </c>
      <c r="AB863" s="5">
        <v>3</v>
      </c>
      <c r="AC863" s="2" t="s">
        <v>100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 t="s">
        <v>100</v>
      </c>
      <c r="BJ863" s="4">
        <v>3</v>
      </c>
      <c r="BK863" s="8">
        <v>172.9</v>
      </c>
      <c r="BL863" s="2" t="s">
        <v>407</v>
      </c>
      <c r="BM863" s="7"/>
      <c r="BN863" s="7"/>
      <c r="BO863" s="4"/>
      <c r="BP863" s="8"/>
      <c r="BQ863" s="4"/>
      <c r="BR863" s="8"/>
      <c r="BS863" s="7"/>
      <c r="BT863" s="7"/>
      <c r="BU863" s="2" t="s">
        <v>109</v>
      </c>
      <c r="BV863" s="2" t="s">
        <v>97</v>
      </c>
      <c r="BW863" s="2" t="s">
        <v>137</v>
      </c>
      <c r="BX863" s="2" t="s">
        <v>3091</v>
      </c>
      <c r="BY863" s="2" t="s">
        <v>112</v>
      </c>
      <c r="BZ863" s="2" t="s">
        <v>100</v>
      </c>
    </row>
    <row r="864">
      <c r="A864" s="2" t="s">
        <v>3092</v>
      </c>
      <c r="B864" s="2" t="s">
        <v>87</v>
      </c>
      <c r="C864" s="2" t="s">
        <v>88</v>
      </c>
      <c r="D864" s="2" t="s">
        <v>3079</v>
      </c>
      <c r="E864" s="2" t="s">
        <v>3080</v>
      </c>
      <c r="F864" s="2" t="s">
        <v>864</v>
      </c>
      <c r="G864" s="2" t="s">
        <v>865</v>
      </c>
      <c r="H864" s="2" t="s">
        <v>866</v>
      </c>
      <c r="I864" s="2" t="s">
        <v>3081</v>
      </c>
      <c r="J864" s="2" t="s">
        <v>795</v>
      </c>
      <c r="K864" s="2" t="s">
        <v>146</v>
      </c>
      <c r="L864" s="3">
        <v>52.91</v>
      </c>
      <c r="M864" s="3">
        <v>55.56</v>
      </c>
      <c r="N864" s="3">
        <v>109.99</v>
      </c>
      <c r="O864" s="2" t="s">
        <v>97</v>
      </c>
      <c r="P864" s="2" t="s">
        <v>98</v>
      </c>
      <c r="Q864" s="2" t="s">
        <v>99</v>
      </c>
      <c r="R864" s="2" t="s">
        <v>100</v>
      </c>
      <c r="S864" s="2" t="s">
        <v>886</v>
      </c>
      <c r="T864" s="2" t="s">
        <v>100</v>
      </c>
      <c r="U864" s="2" t="s">
        <v>676</v>
      </c>
      <c r="V864" s="2" t="s">
        <v>284</v>
      </c>
      <c r="W864" s="2" t="s">
        <v>104</v>
      </c>
      <c r="X864" s="2" t="s">
        <v>399</v>
      </c>
      <c r="Y864" s="2" t="s">
        <v>131</v>
      </c>
      <c r="Z864" s="4">
        <v>223</v>
      </c>
      <c r="AA864" s="4">
        <f>=ROUNDDOWN(55.75,0)</f>
      </c>
      <c r="AB864" s="5">
        <v>4</v>
      </c>
      <c r="AC864" s="2" t="s">
        <v>406</v>
      </c>
      <c r="AD864" s="4">
        <v>40</v>
      </c>
      <c r="AE864" s="4">
        <v>40</v>
      </c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 t="s">
        <v>100</v>
      </c>
      <c r="BJ864" s="4">
        <v>2</v>
      </c>
      <c r="BK864" s="8">
        <v>108.52</v>
      </c>
      <c r="BL864" s="2" t="s">
        <v>741</v>
      </c>
      <c r="BM864" s="7"/>
      <c r="BN864" s="7"/>
      <c r="BO864" s="4"/>
      <c r="BP864" s="8"/>
      <c r="BQ864" s="4"/>
      <c r="BR864" s="8"/>
      <c r="BS864" s="7"/>
      <c r="BT864" s="7"/>
      <c r="BU864" s="2" t="s">
        <v>109</v>
      </c>
      <c r="BV864" s="2" t="s">
        <v>97</v>
      </c>
      <c r="BW864" s="2" t="s">
        <v>137</v>
      </c>
      <c r="BX864" s="2" t="s">
        <v>3093</v>
      </c>
      <c r="BY864" s="2" t="s">
        <v>112</v>
      </c>
      <c r="BZ864" s="2" t="s">
        <v>100</v>
      </c>
    </row>
    <row r="865">
      <c r="A865" s="2" t="s">
        <v>3094</v>
      </c>
      <c r="B865" s="2" t="s">
        <v>87</v>
      </c>
      <c r="C865" s="2" t="s">
        <v>88</v>
      </c>
      <c r="D865" s="2" t="s">
        <v>3079</v>
      </c>
      <c r="E865" s="2" t="s">
        <v>3080</v>
      </c>
      <c r="F865" s="2" t="s">
        <v>546</v>
      </c>
      <c r="G865" s="2" t="s">
        <v>547</v>
      </c>
      <c r="H865" s="2" t="s">
        <v>548</v>
      </c>
      <c r="I865" s="2" t="s">
        <v>3095</v>
      </c>
      <c r="J865" s="2" t="s">
        <v>785</v>
      </c>
      <c r="K865" s="2" t="s">
        <v>372</v>
      </c>
      <c r="L865" s="3">
        <v>58.8</v>
      </c>
      <c r="M865" s="3">
        <v>61.73</v>
      </c>
      <c r="N865" s="3">
        <v>119.99</v>
      </c>
      <c r="O865" s="2" t="s">
        <v>97</v>
      </c>
      <c r="P865" s="2" t="s">
        <v>98</v>
      </c>
      <c r="Q865" s="2" t="s">
        <v>99</v>
      </c>
      <c r="R865" s="2" t="s">
        <v>100</v>
      </c>
      <c r="S865" s="2" t="s">
        <v>550</v>
      </c>
      <c r="T865" s="2" t="s">
        <v>359</v>
      </c>
      <c r="U865" s="2" t="s">
        <v>676</v>
      </c>
      <c r="V865" s="2" t="s">
        <v>551</v>
      </c>
      <c r="W865" s="2" t="s">
        <v>551</v>
      </c>
      <c r="X865" s="2" t="s">
        <v>552</v>
      </c>
      <c r="Y865" s="2" t="s">
        <v>131</v>
      </c>
      <c r="Z865" s="4">
        <v>29</v>
      </c>
      <c r="AA865" s="4">
        <f>=ROUNDDOWN(3.625,0)</f>
      </c>
      <c r="AB865" s="5">
        <v>8</v>
      </c>
      <c r="AC865" s="2" t="s">
        <v>553</v>
      </c>
      <c r="AD865" s="4">
        <v>40</v>
      </c>
      <c r="AE865" s="4">
        <v>300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>
        <v>1</v>
      </c>
      <c r="AQ865" s="8">
        <v>60.83</v>
      </c>
      <c r="AR865" s="4"/>
      <c r="AS865" s="8"/>
      <c r="AT865" s="7"/>
      <c r="AU865" s="7"/>
      <c r="AV865" s="4">
        <v>1</v>
      </c>
      <c r="AW865" s="8">
        <v>60.83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>
        <v>1</v>
      </c>
      <c r="BC865" s="4">
        <v>1</v>
      </c>
      <c r="BD865" s="8">
        <v>60.83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>
        <v>1</v>
      </c>
      <c r="BJ865" s="4">
        <v>11</v>
      </c>
      <c r="BK865" s="8">
        <v>702.62</v>
      </c>
      <c r="BL865" s="2" t="s">
        <v>3096</v>
      </c>
      <c r="BM865" s="7">
        <v>0.0909</v>
      </c>
      <c r="BN865" s="7">
        <v>0.0866</v>
      </c>
      <c r="BO865" s="4">
        <v>1</v>
      </c>
      <c r="BP865" s="8">
        <v>60.83</v>
      </c>
      <c r="BQ865" s="4"/>
      <c r="BR865" s="8"/>
      <c r="BS865" s="7"/>
      <c r="BT865" s="7"/>
      <c r="BU865" s="2" t="s">
        <v>109</v>
      </c>
      <c r="BV865" s="2" t="s">
        <v>97</v>
      </c>
      <c r="BW865" s="2" t="s">
        <v>555</v>
      </c>
      <c r="BX865" s="2" t="s">
        <v>2390</v>
      </c>
      <c r="BY865" s="2" t="s">
        <v>112</v>
      </c>
      <c r="BZ865" s="2" t="s">
        <v>100</v>
      </c>
    </row>
    <row r="866">
      <c r="A866" s="2" t="s">
        <v>3097</v>
      </c>
      <c r="B866" s="2" t="s">
        <v>87</v>
      </c>
      <c r="C866" s="2" t="s">
        <v>88</v>
      </c>
      <c r="D866" s="2" t="s">
        <v>3079</v>
      </c>
      <c r="E866" s="2" t="s">
        <v>3080</v>
      </c>
      <c r="F866" s="2" t="s">
        <v>546</v>
      </c>
      <c r="G866" s="2" t="s">
        <v>547</v>
      </c>
      <c r="H866" s="2" t="s">
        <v>548</v>
      </c>
      <c r="I866" s="2" t="s">
        <v>3095</v>
      </c>
      <c r="J866" s="2" t="s">
        <v>795</v>
      </c>
      <c r="K866" s="2" t="s">
        <v>372</v>
      </c>
      <c r="L866" s="3">
        <v>63.7</v>
      </c>
      <c r="M866" s="3">
        <v>66.88</v>
      </c>
      <c r="N866" s="3">
        <v>129.99</v>
      </c>
      <c r="O866" s="2" t="s">
        <v>97</v>
      </c>
      <c r="P866" s="2" t="s">
        <v>98</v>
      </c>
      <c r="Q866" s="2" t="s">
        <v>99</v>
      </c>
      <c r="R866" s="2" t="s">
        <v>100</v>
      </c>
      <c r="S866" s="2" t="s">
        <v>550</v>
      </c>
      <c r="T866" s="2" t="s">
        <v>359</v>
      </c>
      <c r="U866" s="2" t="s">
        <v>676</v>
      </c>
      <c r="V866" s="2" t="s">
        <v>551</v>
      </c>
      <c r="W866" s="2" t="s">
        <v>551</v>
      </c>
      <c r="X866" s="2" t="s">
        <v>552</v>
      </c>
      <c r="Y866" s="2" t="s">
        <v>131</v>
      </c>
      <c r="Z866" s="4">
        <v>113</v>
      </c>
      <c r="AA866" s="4">
        <f>=ROUNDDOWN(16.1428571428571,0)</f>
      </c>
      <c r="AB866" s="5">
        <v>7</v>
      </c>
      <c r="AC866" s="2" t="s">
        <v>569</v>
      </c>
      <c r="AD866" s="4">
        <v>60</v>
      </c>
      <c r="AE866" s="4">
        <v>110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 t="s">
        <v>100</v>
      </c>
      <c r="BJ866" s="4">
        <v>4</v>
      </c>
      <c r="BK866" s="8">
        <v>282</v>
      </c>
      <c r="BL866" s="2" t="s">
        <v>625</v>
      </c>
      <c r="BM866" s="7"/>
      <c r="BN866" s="7"/>
      <c r="BO866" s="4"/>
      <c r="BP866" s="8"/>
      <c r="BQ866" s="4"/>
      <c r="BR866" s="8"/>
      <c r="BS866" s="7"/>
      <c r="BT866" s="7"/>
      <c r="BU866" s="2" t="s">
        <v>109</v>
      </c>
      <c r="BV866" s="2" t="s">
        <v>97</v>
      </c>
      <c r="BW866" s="2" t="s">
        <v>555</v>
      </c>
      <c r="BX866" s="2" t="s">
        <v>1243</v>
      </c>
      <c r="BY866" s="2" t="s">
        <v>112</v>
      </c>
      <c r="BZ866" s="2" t="s">
        <v>100</v>
      </c>
    </row>
    <row r="867">
      <c r="A867" s="2" t="s">
        <v>3098</v>
      </c>
      <c r="B867" s="2" t="s">
        <v>87</v>
      </c>
      <c r="C867" s="2" t="s">
        <v>88</v>
      </c>
      <c r="D867" s="2" t="s">
        <v>3079</v>
      </c>
      <c r="E867" s="2" t="s">
        <v>3080</v>
      </c>
      <c r="F867" s="2" t="s">
        <v>546</v>
      </c>
      <c r="G867" s="2" t="s">
        <v>547</v>
      </c>
      <c r="H867" s="2" t="s">
        <v>548</v>
      </c>
      <c r="I867" s="2" t="s">
        <v>3095</v>
      </c>
      <c r="J867" s="2" t="s">
        <v>785</v>
      </c>
      <c r="K867" s="2" t="s">
        <v>340</v>
      </c>
      <c r="L867" s="3">
        <v>58.8</v>
      </c>
      <c r="M867" s="3">
        <v>61.74</v>
      </c>
      <c r="N867" s="3">
        <v>119.99</v>
      </c>
      <c r="O867" s="2" t="s">
        <v>97</v>
      </c>
      <c r="P867" s="2" t="s">
        <v>98</v>
      </c>
      <c r="Q867" s="2" t="s">
        <v>99</v>
      </c>
      <c r="R867" s="2" t="s">
        <v>100</v>
      </c>
      <c r="S867" s="2" t="s">
        <v>3099</v>
      </c>
      <c r="T867" s="2" t="s">
        <v>359</v>
      </c>
      <c r="U867" s="2" t="s">
        <v>676</v>
      </c>
      <c r="V867" s="2" t="s">
        <v>551</v>
      </c>
      <c r="W867" s="2" t="s">
        <v>551</v>
      </c>
      <c r="X867" s="2" t="s">
        <v>563</v>
      </c>
      <c r="Y867" s="2" t="s">
        <v>564</v>
      </c>
      <c r="Z867" s="4">
        <v>162</v>
      </c>
      <c r="AA867" s="4">
        <f>=ROUNDDOWN(27,0)</f>
      </c>
      <c r="AB867" s="5">
        <v>6</v>
      </c>
      <c r="AC867" s="2" t="s">
        <v>569</v>
      </c>
      <c r="AD867" s="4">
        <v>30</v>
      </c>
      <c r="AE867" s="4">
        <v>90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 t="s">
        <v>100</v>
      </c>
      <c r="BJ867" s="4">
        <v>6</v>
      </c>
      <c r="BK867" s="8">
        <v>343.11</v>
      </c>
      <c r="BL867" s="2" t="s">
        <v>388</v>
      </c>
      <c r="BM867" s="7"/>
      <c r="BN867" s="7"/>
      <c r="BO867" s="4"/>
      <c r="BP867" s="8"/>
      <c r="BQ867" s="4"/>
      <c r="BR867" s="8"/>
      <c r="BS867" s="7"/>
      <c r="BT867" s="7"/>
      <c r="BU867" s="2" t="s">
        <v>3088</v>
      </c>
      <c r="BV867" s="2" t="s">
        <v>97</v>
      </c>
      <c r="BW867" s="2" t="s">
        <v>100</v>
      </c>
      <c r="BX867" s="2" t="s">
        <v>100</v>
      </c>
      <c r="BY867" s="2" t="s">
        <v>112</v>
      </c>
      <c r="BZ867" s="2" t="s">
        <v>100</v>
      </c>
    </row>
    <row r="868">
      <c r="A868" s="2" t="s">
        <v>3100</v>
      </c>
      <c r="B868" s="2" t="s">
        <v>87</v>
      </c>
      <c r="C868" s="2" t="s">
        <v>88</v>
      </c>
      <c r="D868" s="2" t="s">
        <v>3079</v>
      </c>
      <c r="E868" s="2" t="s">
        <v>3080</v>
      </c>
      <c r="F868" s="2" t="s">
        <v>546</v>
      </c>
      <c r="G868" s="2" t="s">
        <v>547</v>
      </c>
      <c r="H868" s="2" t="s">
        <v>548</v>
      </c>
      <c r="I868" s="2" t="s">
        <v>3095</v>
      </c>
      <c r="J868" s="2" t="s">
        <v>795</v>
      </c>
      <c r="K868" s="2" t="s">
        <v>340</v>
      </c>
      <c r="L868" s="3">
        <v>63.7</v>
      </c>
      <c r="M868" s="3">
        <v>66.89</v>
      </c>
      <c r="N868" s="3">
        <v>129.99</v>
      </c>
      <c r="O868" s="2" t="s">
        <v>97</v>
      </c>
      <c r="P868" s="2" t="s">
        <v>98</v>
      </c>
      <c r="Q868" s="2" t="s">
        <v>99</v>
      </c>
      <c r="R868" s="2" t="s">
        <v>100</v>
      </c>
      <c r="S868" s="2" t="s">
        <v>3099</v>
      </c>
      <c r="T868" s="2" t="s">
        <v>359</v>
      </c>
      <c r="U868" s="2" t="s">
        <v>676</v>
      </c>
      <c r="V868" s="2" t="s">
        <v>551</v>
      </c>
      <c r="W868" s="2" t="s">
        <v>551</v>
      </c>
      <c r="X868" s="2" t="s">
        <v>563</v>
      </c>
      <c r="Y868" s="2" t="s">
        <v>564</v>
      </c>
      <c r="Z868" s="4">
        <v>169</v>
      </c>
      <c r="AA868" s="4">
        <f>=ROUNDDOWN(28.1666666666667,0)</f>
      </c>
      <c r="AB868" s="5">
        <v>6</v>
      </c>
      <c r="AC868" s="2" t="s">
        <v>553</v>
      </c>
      <c r="AD868" s="4">
        <v>30</v>
      </c>
      <c r="AE868" s="4">
        <v>30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 t="s">
        <v>100</v>
      </c>
      <c r="BJ868" s="4">
        <v>5</v>
      </c>
      <c r="BK868" s="8">
        <v>354.38</v>
      </c>
      <c r="BL868" s="2" t="s">
        <v>407</v>
      </c>
      <c r="BM868" s="7"/>
      <c r="BN868" s="7"/>
      <c r="BO868" s="4"/>
      <c r="BP868" s="8"/>
      <c r="BQ868" s="4"/>
      <c r="BR868" s="8"/>
      <c r="BS868" s="7"/>
      <c r="BT868" s="7"/>
      <c r="BU868" s="2" t="s">
        <v>3088</v>
      </c>
      <c r="BV868" s="2" t="s">
        <v>97</v>
      </c>
      <c r="BW868" s="2" t="s">
        <v>100</v>
      </c>
      <c r="BX868" s="2" t="s">
        <v>100</v>
      </c>
      <c r="BY868" s="2" t="s">
        <v>112</v>
      </c>
      <c r="BZ868" s="2" t="s">
        <v>100</v>
      </c>
    </row>
    <row r="869">
      <c r="A869" s="2" t="s">
        <v>3101</v>
      </c>
      <c r="B869" s="2" t="s">
        <v>87</v>
      </c>
      <c r="C869" s="2" t="s">
        <v>88</v>
      </c>
      <c r="D869" s="2" t="s">
        <v>3079</v>
      </c>
      <c r="E869" s="2" t="s">
        <v>3080</v>
      </c>
      <c r="F869" s="2" t="s">
        <v>1945</v>
      </c>
      <c r="G869" s="2" t="s">
        <v>1946</v>
      </c>
      <c r="H869" s="2" t="s">
        <v>1947</v>
      </c>
      <c r="I869" s="2" t="s">
        <v>3102</v>
      </c>
      <c r="J869" s="2" t="s">
        <v>785</v>
      </c>
      <c r="K869" s="2" t="s">
        <v>1958</v>
      </c>
      <c r="L869" s="3">
        <v>54.99</v>
      </c>
      <c r="M869" s="3">
        <v>57.74</v>
      </c>
      <c r="N869" s="3">
        <v>109.99</v>
      </c>
      <c r="O869" s="2" t="s">
        <v>97</v>
      </c>
      <c r="P869" s="2" t="s">
        <v>98</v>
      </c>
      <c r="Q869" s="2" t="s">
        <v>99</v>
      </c>
      <c r="R869" s="2" t="s">
        <v>100</v>
      </c>
      <c r="S869" s="2" t="s">
        <v>1959</v>
      </c>
      <c r="T869" s="2" t="s">
        <v>100</v>
      </c>
      <c r="U869" s="2" t="s">
        <v>676</v>
      </c>
      <c r="V869" s="2" t="s">
        <v>632</v>
      </c>
      <c r="W869" s="2" t="s">
        <v>244</v>
      </c>
      <c r="X869" s="2" t="s">
        <v>609</v>
      </c>
      <c r="Y869" s="2" t="s">
        <v>131</v>
      </c>
      <c r="Z869" s="4">
        <v>162</v>
      </c>
      <c r="AA869" s="4">
        <f>=ROUNDDOWN(54,0)</f>
      </c>
      <c r="AB869" s="5">
        <v>3</v>
      </c>
      <c r="AC869" s="2" t="s">
        <v>168</v>
      </c>
      <c r="AD869" s="4">
        <v>40</v>
      </c>
      <c r="AE869" s="4">
        <v>40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/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/>
      <c r="BJ869" s="4">
        <v>2</v>
      </c>
      <c r="BK869" s="8">
        <v>105.49</v>
      </c>
      <c r="BL869" s="2" t="s">
        <v>504</v>
      </c>
      <c r="BM869" s="7"/>
      <c r="BN869" s="7"/>
      <c r="BO869" s="4"/>
      <c r="BP869" s="8"/>
      <c r="BQ869" s="4"/>
      <c r="BR869" s="8"/>
      <c r="BS869" s="7"/>
      <c r="BT869" s="7"/>
      <c r="BU869" s="2" t="s">
        <v>109</v>
      </c>
      <c r="BV869" s="2" t="s">
        <v>97</v>
      </c>
      <c r="BW869" s="2" t="s">
        <v>137</v>
      </c>
      <c r="BX869" s="2" t="s">
        <v>2239</v>
      </c>
      <c r="BY869" s="2" t="s">
        <v>112</v>
      </c>
      <c r="BZ869" s="2" t="s">
        <v>100</v>
      </c>
    </row>
    <row r="870">
      <c r="A870" s="2" t="s">
        <v>3103</v>
      </c>
      <c r="B870" s="2" t="s">
        <v>87</v>
      </c>
      <c r="C870" s="2" t="s">
        <v>88</v>
      </c>
      <c r="D870" s="2" t="s">
        <v>3079</v>
      </c>
      <c r="E870" s="2" t="s">
        <v>3080</v>
      </c>
      <c r="F870" s="2" t="s">
        <v>1945</v>
      </c>
      <c r="G870" s="2" t="s">
        <v>1946</v>
      </c>
      <c r="H870" s="2" t="s">
        <v>1947</v>
      </c>
      <c r="I870" s="2" t="s">
        <v>3102</v>
      </c>
      <c r="J870" s="2" t="s">
        <v>795</v>
      </c>
      <c r="K870" s="2" t="s">
        <v>1958</v>
      </c>
      <c r="L870" s="3">
        <v>59.99</v>
      </c>
      <c r="M870" s="3">
        <v>62.99</v>
      </c>
      <c r="N870" s="3">
        <v>119.99</v>
      </c>
      <c r="O870" s="2" t="s">
        <v>97</v>
      </c>
      <c r="P870" s="2" t="s">
        <v>98</v>
      </c>
      <c r="Q870" s="2" t="s">
        <v>99</v>
      </c>
      <c r="R870" s="2" t="s">
        <v>100</v>
      </c>
      <c r="S870" s="2" t="s">
        <v>1959</v>
      </c>
      <c r="T870" s="2" t="s">
        <v>100</v>
      </c>
      <c r="U870" s="2" t="s">
        <v>676</v>
      </c>
      <c r="V870" s="2" t="s">
        <v>632</v>
      </c>
      <c r="W870" s="2" t="s">
        <v>244</v>
      </c>
      <c r="X870" s="2" t="s">
        <v>609</v>
      </c>
      <c r="Y870" s="2" t="s">
        <v>131</v>
      </c>
      <c r="Z870" s="4">
        <v>299</v>
      </c>
      <c r="AA870" s="4">
        <f>=ROUNDDOWN(42.7142857142857,0)</f>
      </c>
      <c r="AB870" s="5">
        <v>7</v>
      </c>
      <c r="AC870" s="2" t="s">
        <v>168</v>
      </c>
      <c r="AD870" s="4">
        <v>60</v>
      </c>
      <c r="AE870" s="4">
        <v>310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/>
      <c r="BJ870" s="4">
        <v>1</v>
      </c>
      <c r="BK870" s="8">
        <v>66.14</v>
      </c>
      <c r="BL870" s="2" t="s">
        <v>210</v>
      </c>
      <c r="BM870" s="7"/>
      <c r="BN870" s="7"/>
      <c r="BO870" s="4"/>
      <c r="BP870" s="8"/>
      <c r="BQ870" s="4"/>
      <c r="BR870" s="8"/>
      <c r="BS870" s="7"/>
      <c r="BT870" s="7"/>
      <c r="BU870" s="2" t="s">
        <v>109</v>
      </c>
      <c r="BV870" s="2" t="s">
        <v>97</v>
      </c>
      <c r="BW870" s="2" t="s">
        <v>137</v>
      </c>
      <c r="BX870" s="2" t="s">
        <v>106</v>
      </c>
      <c r="BY870" s="2" t="s">
        <v>112</v>
      </c>
      <c r="BZ870" s="2" t="s">
        <v>100</v>
      </c>
    </row>
    <row r="871">
      <c r="A871" s="2" t="s">
        <v>3104</v>
      </c>
      <c r="B871" s="2" t="s">
        <v>87</v>
      </c>
      <c r="C871" s="2" t="s">
        <v>88</v>
      </c>
      <c r="D871" s="2" t="s">
        <v>3079</v>
      </c>
      <c r="E871" s="2" t="s">
        <v>3080</v>
      </c>
      <c r="F871" s="2" t="s">
        <v>730</v>
      </c>
      <c r="G871" s="2" t="s">
        <v>731</v>
      </c>
      <c r="H871" s="2" t="s">
        <v>732</v>
      </c>
      <c r="I871" s="2" t="s">
        <v>3105</v>
      </c>
      <c r="J871" s="2" t="s">
        <v>785</v>
      </c>
      <c r="K871" s="2" t="s">
        <v>163</v>
      </c>
      <c r="L871" s="3">
        <v>53.9</v>
      </c>
      <c r="M871" s="3">
        <v>56.59</v>
      </c>
      <c r="N871" s="3">
        <v>109.99</v>
      </c>
      <c r="O871" s="2" t="s">
        <v>97</v>
      </c>
      <c r="P871" s="2" t="s">
        <v>98</v>
      </c>
      <c r="Q871" s="2" t="s">
        <v>99</v>
      </c>
      <c r="R871" s="2" t="s">
        <v>100</v>
      </c>
      <c r="S871" s="2" t="s">
        <v>733</v>
      </c>
      <c r="T871" s="2" t="s">
        <v>100</v>
      </c>
      <c r="U871" s="2" t="s">
        <v>676</v>
      </c>
      <c r="V871" s="2" t="s">
        <v>734</v>
      </c>
      <c r="W871" s="2" t="s">
        <v>104</v>
      </c>
      <c r="X871" s="2" t="s">
        <v>735</v>
      </c>
      <c r="Y871" s="2" t="s">
        <v>131</v>
      </c>
      <c r="Z871" s="4">
        <v>135</v>
      </c>
      <c r="AA871" s="4">
        <f>=ROUNDDOWN(33.75,0)</f>
      </c>
      <c r="AB871" s="5">
        <v>4</v>
      </c>
      <c r="AC871" s="2" t="s">
        <v>194</v>
      </c>
      <c r="AD871" s="4">
        <v>70</v>
      </c>
      <c r="AE871" s="4">
        <v>110</v>
      </c>
      <c r="AF871" s="6">
        <v>64</v>
      </c>
      <c r="AG871" s="6">
        <v>47</v>
      </c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/>
      <c r="BJ871" s="4">
        <v>5</v>
      </c>
      <c r="BK871" s="8">
        <v>243.31</v>
      </c>
      <c r="BL871" s="2" t="s">
        <v>919</v>
      </c>
      <c r="BM871" s="7"/>
      <c r="BN871" s="7"/>
      <c r="BO871" s="4"/>
      <c r="BP871" s="8"/>
      <c r="BQ871" s="4"/>
      <c r="BR871" s="8"/>
      <c r="BS871" s="7"/>
      <c r="BT871" s="7"/>
      <c r="BU871" s="2" t="s">
        <v>109</v>
      </c>
      <c r="BV871" s="2" t="s">
        <v>97</v>
      </c>
      <c r="BW871" s="2" t="s">
        <v>1159</v>
      </c>
      <c r="BX871" s="2" t="s">
        <v>3106</v>
      </c>
      <c r="BY871" s="2" t="s">
        <v>112</v>
      </c>
      <c r="BZ871" s="2" t="s">
        <v>100</v>
      </c>
    </row>
    <row r="872">
      <c r="A872" s="2" t="s">
        <v>3107</v>
      </c>
      <c r="B872" s="2" t="s">
        <v>87</v>
      </c>
      <c r="C872" s="2" t="s">
        <v>88</v>
      </c>
      <c r="D872" s="2" t="s">
        <v>3079</v>
      </c>
      <c r="E872" s="2" t="s">
        <v>3080</v>
      </c>
      <c r="F872" s="2" t="s">
        <v>730</v>
      </c>
      <c r="G872" s="2" t="s">
        <v>731</v>
      </c>
      <c r="H872" s="2" t="s">
        <v>732</v>
      </c>
      <c r="I872" s="2" t="s">
        <v>3105</v>
      </c>
      <c r="J872" s="2" t="s">
        <v>795</v>
      </c>
      <c r="K872" s="2" t="s">
        <v>163</v>
      </c>
      <c r="L872" s="3">
        <v>59.99</v>
      </c>
      <c r="M872" s="3">
        <v>62.99</v>
      </c>
      <c r="N872" s="3">
        <v>119.99</v>
      </c>
      <c r="O872" s="2" t="s">
        <v>97</v>
      </c>
      <c r="P872" s="2" t="s">
        <v>98</v>
      </c>
      <c r="Q872" s="2" t="s">
        <v>99</v>
      </c>
      <c r="R872" s="2" t="s">
        <v>100</v>
      </c>
      <c r="S872" s="2" t="s">
        <v>733</v>
      </c>
      <c r="T872" s="2" t="s">
        <v>100</v>
      </c>
      <c r="U872" s="2" t="s">
        <v>676</v>
      </c>
      <c r="V872" s="2" t="s">
        <v>734</v>
      </c>
      <c r="W872" s="2" t="s">
        <v>104</v>
      </c>
      <c r="X872" s="2" t="s">
        <v>735</v>
      </c>
      <c r="Y872" s="2" t="s">
        <v>131</v>
      </c>
      <c r="Z872" s="4">
        <v>78</v>
      </c>
      <c r="AA872" s="4">
        <f>=ROUNDDOWN(11.1428571428571,0)</f>
      </c>
      <c r="AB872" s="5">
        <v>7</v>
      </c>
      <c r="AC872" s="2" t="s">
        <v>194</v>
      </c>
      <c r="AD872" s="4">
        <v>70</v>
      </c>
      <c r="AE872" s="4">
        <v>300</v>
      </c>
      <c r="AF872" s="6">
        <v>64</v>
      </c>
      <c r="AG872" s="6">
        <v>47</v>
      </c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/>
      <c r="BJ872" s="4">
        <v>2</v>
      </c>
      <c r="BK872" s="8">
        <v>114.98</v>
      </c>
      <c r="BL872" s="2" t="s">
        <v>224</v>
      </c>
      <c r="BM872" s="7"/>
      <c r="BN872" s="7"/>
      <c r="BO872" s="4"/>
      <c r="BP872" s="8"/>
      <c r="BQ872" s="4"/>
      <c r="BR872" s="8"/>
      <c r="BS872" s="7"/>
      <c r="BT872" s="7"/>
      <c r="BU872" s="2" t="s">
        <v>109</v>
      </c>
      <c r="BV872" s="2" t="s">
        <v>97</v>
      </c>
      <c r="BW872" s="2" t="s">
        <v>1159</v>
      </c>
      <c r="BX872" s="2" t="s">
        <v>3091</v>
      </c>
      <c r="BY872" s="2" t="s">
        <v>112</v>
      </c>
      <c r="BZ872" s="2" t="s">
        <v>100</v>
      </c>
    </row>
    <row r="873">
      <c r="A873" s="2" t="s">
        <v>3108</v>
      </c>
      <c r="B873" s="2" t="s">
        <v>87</v>
      </c>
      <c r="C873" s="2" t="s">
        <v>88</v>
      </c>
      <c r="D873" s="2" t="s">
        <v>3079</v>
      </c>
      <c r="E873" s="2" t="s">
        <v>3080</v>
      </c>
      <c r="F873" s="2" t="s">
        <v>730</v>
      </c>
      <c r="G873" s="2" t="s">
        <v>731</v>
      </c>
      <c r="H873" s="2" t="s">
        <v>732</v>
      </c>
      <c r="I873" s="2" t="s">
        <v>3105</v>
      </c>
      <c r="J873" s="2" t="s">
        <v>785</v>
      </c>
      <c r="K873" s="2" t="s">
        <v>416</v>
      </c>
      <c r="L873" s="3">
        <v>53.9</v>
      </c>
      <c r="M873" s="3">
        <v>56.59</v>
      </c>
      <c r="N873" s="3">
        <v>109.99</v>
      </c>
      <c r="O873" s="2" t="s">
        <v>97</v>
      </c>
      <c r="P873" s="2" t="s">
        <v>98</v>
      </c>
      <c r="Q873" s="2" t="s">
        <v>99</v>
      </c>
      <c r="R873" s="2" t="s">
        <v>100</v>
      </c>
      <c r="S873" s="2" t="s">
        <v>744</v>
      </c>
      <c r="T873" s="2" t="s">
        <v>100</v>
      </c>
      <c r="U873" s="2" t="s">
        <v>676</v>
      </c>
      <c r="V873" s="2" t="s">
        <v>734</v>
      </c>
      <c r="W873" s="2" t="s">
        <v>104</v>
      </c>
      <c r="X873" s="2" t="s">
        <v>735</v>
      </c>
      <c r="Y873" s="2" t="s">
        <v>131</v>
      </c>
      <c r="Z873" s="4">
        <v>175</v>
      </c>
      <c r="AA873" s="4">
        <f>=ROUNDDOWN(35,0)</f>
      </c>
      <c r="AB873" s="5">
        <v>5</v>
      </c>
      <c r="AC873" s="2" t="s">
        <v>287</v>
      </c>
      <c r="AD873" s="4">
        <v>60</v>
      </c>
      <c r="AE873" s="4">
        <v>150</v>
      </c>
      <c r="AF873" s="6">
        <v>64</v>
      </c>
      <c r="AG873" s="6">
        <v>47</v>
      </c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/>
      <c r="BJ873" s="4">
        <v>1</v>
      </c>
      <c r="BK873" s="8">
        <v>45.15</v>
      </c>
      <c r="BL873" s="2" t="s">
        <v>133</v>
      </c>
      <c r="BM873" s="7"/>
      <c r="BN873" s="7"/>
      <c r="BO873" s="4"/>
      <c r="BP873" s="8"/>
      <c r="BQ873" s="4"/>
      <c r="BR873" s="8"/>
      <c r="BS873" s="7"/>
      <c r="BT873" s="7"/>
      <c r="BU873" s="2" t="s">
        <v>109</v>
      </c>
      <c r="BV873" s="2" t="s">
        <v>97</v>
      </c>
      <c r="BW873" s="2" t="s">
        <v>1159</v>
      </c>
      <c r="BX873" s="2" t="s">
        <v>3085</v>
      </c>
      <c r="BY873" s="2" t="s">
        <v>112</v>
      </c>
      <c r="BZ873" s="2" t="s">
        <v>100</v>
      </c>
    </row>
    <row r="874">
      <c r="A874" s="2" t="s">
        <v>3109</v>
      </c>
      <c r="B874" s="2" t="s">
        <v>87</v>
      </c>
      <c r="C874" s="2" t="s">
        <v>88</v>
      </c>
      <c r="D874" s="2" t="s">
        <v>3079</v>
      </c>
      <c r="E874" s="2" t="s">
        <v>3080</v>
      </c>
      <c r="F874" s="2" t="s">
        <v>730</v>
      </c>
      <c r="G874" s="2" t="s">
        <v>731</v>
      </c>
      <c r="H874" s="2" t="s">
        <v>732</v>
      </c>
      <c r="I874" s="2" t="s">
        <v>3105</v>
      </c>
      <c r="J874" s="2" t="s">
        <v>795</v>
      </c>
      <c r="K874" s="2" t="s">
        <v>416</v>
      </c>
      <c r="L874" s="3">
        <v>59.99</v>
      </c>
      <c r="M874" s="3">
        <v>62.99</v>
      </c>
      <c r="N874" s="3">
        <v>119.99</v>
      </c>
      <c r="O874" s="2" t="s">
        <v>97</v>
      </c>
      <c r="P874" s="2" t="s">
        <v>98</v>
      </c>
      <c r="Q874" s="2" t="s">
        <v>99</v>
      </c>
      <c r="R874" s="2" t="s">
        <v>100</v>
      </c>
      <c r="S874" s="2" t="s">
        <v>744</v>
      </c>
      <c r="T874" s="2" t="s">
        <v>100</v>
      </c>
      <c r="U874" s="2" t="s">
        <v>676</v>
      </c>
      <c r="V874" s="2" t="s">
        <v>734</v>
      </c>
      <c r="W874" s="2" t="s">
        <v>104</v>
      </c>
      <c r="X874" s="2" t="s">
        <v>735</v>
      </c>
      <c r="Y874" s="2" t="s">
        <v>131</v>
      </c>
      <c r="Z874" s="4">
        <v>257</v>
      </c>
      <c r="AA874" s="4">
        <f>=ROUNDDOWN(51.4,0)</f>
      </c>
      <c r="AB874" s="5">
        <v>5</v>
      </c>
      <c r="AC874" s="2" t="s">
        <v>287</v>
      </c>
      <c r="AD874" s="4">
        <v>60</v>
      </c>
      <c r="AE874" s="4">
        <v>150</v>
      </c>
      <c r="AF874" s="6">
        <v>64</v>
      </c>
      <c r="AG874" s="6">
        <v>47</v>
      </c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/>
      <c r="BJ874" s="4">
        <v>1</v>
      </c>
      <c r="BK874" s="8">
        <v>61.5</v>
      </c>
      <c r="BL874" s="2" t="s">
        <v>715</v>
      </c>
      <c r="BM874" s="7"/>
      <c r="BN874" s="7"/>
      <c r="BO874" s="4"/>
      <c r="BP874" s="8"/>
      <c r="BQ874" s="4"/>
      <c r="BR874" s="8"/>
      <c r="BS874" s="7"/>
      <c r="BT874" s="7"/>
      <c r="BU874" s="2" t="s">
        <v>109</v>
      </c>
      <c r="BV874" s="2" t="s">
        <v>97</v>
      </c>
      <c r="BW874" s="2" t="s">
        <v>1159</v>
      </c>
      <c r="BX874" s="2" t="s">
        <v>3110</v>
      </c>
      <c r="BY874" s="2" t="s">
        <v>112</v>
      </c>
      <c r="BZ874" s="2" t="s">
        <v>100</v>
      </c>
    </row>
    <row r="875">
      <c r="A875" s="2" t="s">
        <v>3111</v>
      </c>
      <c r="B875" s="2" t="s">
        <v>87</v>
      </c>
      <c r="C875" s="2" t="s">
        <v>88</v>
      </c>
      <c r="D875" s="2" t="s">
        <v>3079</v>
      </c>
      <c r="E875" s="2" t="s">
        <v>3080</v>
      </c>
      <c r="F875" s="2" t="s">
        <v>1285</v>
      </c>
      <c r="G875" s="2" t="s">
        <v>1286</v>
      </c>
      <c r="H875" s="2" t="s">
        <v>1287</v>
      </c>
      <c r="I875" s="2" t="s">
        <v>3112</v>
      </c>
      <c r="J875" s="2" t="s">
        <v>785</v>
      </c>
      <c r="K875" s="2" t="s">
        <v>253</v>
      </c>
      <c r="L875" s="3">
        <v>27.42</v>
      </c>
      <c r="M875" s="3">
        <v>28.79</v>
      </c>
      <c r="N875" s="3">
        <v>59.99</v>
      </c>
      <c r="O875" s="2" t="s">
        <v>97</v>
      </c>
      <c r="P875" s="2" t="s">
        <v>1216</v>
      </c>
      <c r="Q875" s="2" t="s">
        <v>99</v>
      </c>
      <c r="R875" s="2" t="s">
        <v>100</v>
      </c>
      <c r="S875" s="2" t="s">
        <v>1289</v>
      </c>
      <c r="T875" s="2" t="s">
        <v>787</v>
      </c>
      <c r="U875" s="2" t="s">
        <v>644</v>
      </c>
      <c r="V875" s="2" t="s">
        <v>663</v>
      </c>
      <c r="W875" s="2" t="s">
        <v>976</v>
      </c>
      <c r="X875" s="2" t="s">
        <v>345</v>
      </c>
      <c r="Y875" s="2" t="s">
        <v>1294</v>
      </c>
      <c r="Z875" s="4">
        <v>75</v>
      </c>
      <c r="AA875" s="4">
        <f>=ROUNDDOWN(25,0)</f>
      </c>
      <c r="AB875" s="5">
        <v>3</v>
      </c>
      <c r="AC875" s="2" t="s">
        <v>100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/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/>
      <c r="BJ875" s="4">
        <v>1</v>
      </c>
      <c r="BK875" s="8">
        <v>30.23</v>
      </c>
      <c r="BL875" s="2" t="s">
        <v>210</v>
      </c>
      <c r="BM875" s="7"/>
      <c r="BN875" s="7"/>
      <c r="BO875" s="4"/>
      <c r="BP875" s="8"/>
      <c r="BQ875" s="4"/>
      <c r="BR875" s="8"/>
      <c r="BS875" s="7"/>
      <c r="BT875" s="7"/>
      <c r="BU875" s="2" t="s">
        <v>109</v>
      </c>
      <c r="BV875" s="2" t="s">
        <v>97</v>
      </c>
      <c r="BW875" s="2" t="s">
        <v>1221</v>
      </c>
      <c r="BX875" s="2" t="s">
        <v>100</v>
      </c>
      <c r="BY875" s="2" t="s">
        <v>112</v>
      </c>
      <c r="BZ875" s="2" t="s">
        <v>100</v>
      </c>
    </row>
    <row r="876">
      <c r="A876" s="2" t="s">
        <v>3113</v>
      </c>
      <c r="B876" s="2" t="s">
        <v>87</v>
      </c>
      <c r="C876" s="2" t="s">
        <v>88</v>
      </c>
      <c r="D876" s="2" t="s">
        <v>3079</v>
      </c>
      <c r="E876" s="2" t="s">
        <v>3080</v>
      </c>
      <c r="F876" s="2" t="s">
        <v>1285</v>
      </c>
      <c r="G876" s="2" t="s">
        <v>1286</v>
      </c>
      <c r="H876" s="2" t="s">
        <v>1287</v>
      </c>
      <c r="I876" s="2" t="s">
        <v>3112</v>
      </c>
      <c r="J876" s="2" t="s">
        <v>795</v>
      </c>
      <c r="K876" s="2" t="s">
        <v>253</v>
      </c>
      <c r="L876" s="3">
        <v>32</v>
      </c>
      <c r="M876" s="3">
        <v>33.6</v>
      </c>
      <c r="N876" s="3">
        <v>69.99</v>
      </c>
      <c r="O876" s="2" t="s">
        <v>97</v>
      </c>
      <c r="P876" s="2" t="s">
        <v>1216</v>
      </c>
      <c r="Q876" s="2" t="s">
        <v>99</v>
      </c>
      <c r="R876" s="2" t="s">
        <v>100</v>
      </c>
      <c r="S876" s="2" t="s">
        <v>1289</v>
      </c>
      <c r="T876" s="2" t="s">
        <v>787</v>
      </c>
      <c r="U876" s="2" t="s">
        <v>644</v>
      </c>
      <c r="V876" s="2" t="s">
        <v>663</v>
      </c>
      <c r="W876" s="2" t="s">
        <v>976</v>
      </c>
      <c r="X876" s="2" t="s">
        <v>345</v>
      </c>
      <c r="Y876" s="2" t="s">
        <v>1294</v>
      </c>
      <c r="Z876" s="4">
        <v>37</v>
      </c>
      <c r="AA876" s="4">
        <f>=ROUNDDOWN(9.25,0)</f>
      </c>
      <c r="AB876" s="5">
        <v>4</v>
      </c>
      <c r="AC876" s="2" t="s">
        <v>100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 t="s">
        <v>100</v>
      </c>
      <c r="AW876" s="8" t="s">
        <v>100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/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/>
      <c r="BJ876" s="4">
        <v>2</v>
      </c>
      <c r="BK876" s="8">
        <v>72.58</v>
      </c>
      <c r="BL876" s="2" t="s">
        <v>715</v>
      </c>
      <c r="BM876" s="7"/>
      <c r="BN876" s="7"/>
      <c r="BO876" s="4"/>
      <c r="BP876" s="8"/>
      <c r="BQ876" s="4"/>
      <c r="BR876" s="8"/>
      <c r="BS876" s="7"/>
      <c r="BT876" s="7"/>
      <c r="BU876" s="2" t="s">
        <v>109</v>
      </c>
      <c r="BV876" s="2" t="s">
        <v>97</v>
      </c>
      <c r="BW876" s="2" t="s">
        <v>1221</v>
      </c>
      <c r="BX876" s="2" t="s">
        <v>100</v>
      </c>
      <c r="BY876" s="2" t="s">
        <v>112</v>
      </c>
      <c r="BZ876" s="2" t="s">
        <v>100</v>
      </c>
    </row>
    <row r="877">
      <c r="A877" s="2" t="s">
        <v>3114</v>
      </c>
      <c r="B877" s="2" t="s">
        <v>87</v>
      </c>
      <c r="C877" s="2" t="s">
        <v>88</v>
      </c>
      <c r="D877" s="2" t="s">
        <v>3079</v>
      </c>
      <c r="E877" s="2" t="s">
        <v>3080</v>
      </c>
      <c r="F877" s="2" t="s">
        <v>639</v>
      </c>
      <c r="G877" s="2" t="s">
        <v>640</v>
      </c>
      <c r="H877" s="2" t="s">
        <v>641</v>
      </c>
      <c r="I877" s="2" t="s">
        <v>3115</v>
      </c>
      <c r="J877" s="2" t="s">
        <v>785</v>
      </c>
      <c r="K877" s="2" t="s">
        <v>213</v>
      </c>
      <c r="L877" s="3">
        <v>47</v>
      </c>
      <c r="M877" s="3">
        <v>49.35</v>
      </c>
      <c r="N877" s="3">
        <v>99.99</v>
      </c>
      <c r="O877" s="2" t="s">
        <v>97</v>
      </c>
      <c r="P877" s="2" t="s">
        <v>242</v>
      </c>
      <c r="Q877" s="2" t="s">
        <v>99</v>
      </c>
      <c r="R877" s="2" t="s">
        <v>100</v>
      </c>
      <c r="S877" s="2" t="s">
        <v>643</v>
      </c>
      <c r="T877" s="2" t="s">
        <v>100</v>
      </c>
      <c r="U877" s="2" t="s">
        <v>1459</v>
      </c>
      <c r="V877" s="2" t="s">
        <v>645</v>
      </c>
      <c r="W877" s="2" t="s">
        <v>646</v>
      </c>
      <c r="X877" s="2" t="s">
        <v>647</v>
      </c>
      <c r="Y877" s="2" t="s">
        <v>131</v>
      </c>
      <c r="Z877" s="4">
        <v>181</v>
      </c>
      <c r="AA877" s="4">
        <f>=ROUNDDOWN(16.4545454545455,0)</f>
      </c>
      <c r="AB877" s="5">
        <v>11</v>
      </c>
      <c r="AC877" s="2" t="s">
        <v>107</v>
      </c>
      <c r="AD877" s="4">
        <v>50</v>
      </c>
      <c r="AE877" s="4">
        <v>210</v>
      </c>
      <c r="AF877" s="6">
        <v>65</v>
      </c>
      <c r="AG877" s="6">
        <v>48</v>
      </c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/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/>
      <c r="BJ877" s="4">
        <v>10</v>
      </c>
      <c r="BK877" s="8">
        <v>475.69</v>
      </c>
      <c r="BL877" s="2" t="s">
        <v>1896</v>
      </c>
      <c r="BM877" s="7"/>
      <c r="BN877" s="7"/>
      <c r="BO877" s="4"/>
      <c r="BP877" s="8"/>
      <c r="BQ877" s="4"/>
      <c r="BR877" s="8"/>
      <c r="BS877" s="7"/>
      <c r="BT877" s="7"/>
      <c r="BU877" s="2" t="s">
        <v>109</v>
      </c>
      <c r="BV877" s="2" t="s">
        <v>97</v>
      </c>
      <c r="BW877" s="2" t="s">
        <v>1159</v>
      </c>
      <c r="BX877" s="2" t="s">
        <v>3116</v>
      </c>
      <c r="BY877" s="2" t="s">
        <v>112</v>
      </c>
      <c r="BZ877" s="2" t="s">
        <v>100</v>
      </c>
    </row>
    <row r="878">
      <c r="A878" s="2" t="s">
        <v>3117</v>
      </c>
      <c r="B878" s="2" t="s">
        <v>87</v>
      </c>
      <c r="C878" s="2" t="s">
        <v>88</v>
      </c>
      <c r="D878" s="2" t="s">
        <v>3079</v>
      </c>
      <c r="E878" s="2" t="s">
        <v>3080</v>
      </c>
      <c r="F878" s="2" t="s">
        <v>639</v>
      </c>
      <c r="G878" s="2" t="s">
        <v>640</v>
      </c>
      <c r="H878" s="2" t="s">
        <v>641</v>
      </c>
      <c r="I878" s="2" t="s">
        <v>3115</v>
      </c>
      <c r="J878" s="2" t="s">
        <v>795</v>
      </c>
      <c r="K878" s="2" t="s">
        <v>213</v>
      </c>
      <c r="L878" s="3">
        <v>53.9</v>
      </c>
      <c r="M878" s="3">
        <v>56.59</v>
      </c>
      <c r="N878" s="3">
        <v>109.99</v>
      </c>
      <c r="O878" s="2" t="s">
        <v>97</v>
      </c>
      <c r="P878" s="2" t="s">
        <v>242</v>
      </c>
      <c r="Q878" s="2" t="s">
        <v>99</v>
      </c>
      <c r="R878" s="2" t="s">
        <v>100</v>
      </c>
      <c r="S878" s="2" t="s">
        <v>643</v>
      </c>
      <c r="T878" s="2" t="s">
        <v>100</v>
      </c>
      <c r="U878" s="2" t="s">
        <v>1459</v>
      </c>
      <c r="V878" s="2" t="s">
        <v>645</v>
      </c>
      <c r="W878" s="2" t="s">
        <v>646</v>
      </c>
      <c r="X878" s="2" t="s">
        <v>647</v>
      </c>
      <c r="Y878" s="2" t="s">
        <v>131</v>
      </c>
      <c r="Z878" s="4">
        <v>140</v>
      </c>
      <c r="AA878" s="4">
        <f>=ROUNDDOWN(17.5,0)</f>
      </c>
      <c r="AB878" s="5">
        <v>8</v>
      </c>
      <c r="AC878" s="2" t="s">
        <v>107</v>
      </c>
      <c r="AD878" s="4">
        <v>50</v>
      </c>
      <c r="AE878" s="4">
        <v>160</v>
      </c>
      <c r="AF878" s="6">
        <v>65</v>
      </c>
      <c r="AG878" s="6">
        <v>48</v>
      </c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/>
      <c r="BJ878" s="4">
        <v>5</v>
      </c>
      <c r="BK878" s="8">
        <v>249.22</v>
      </c>
      <c r="BL878" s="2" t="s">
        <v>1432</v>
      </c>
      <c r="BM878" s="7"/>
      <c r="BN878" s="7"/>
      <c r="BO878" s="4"/>
      <c r="BP878" s="8"/>
      <c r="BQ878" s="4"/>
      <c r="BR878" s="8"/>
      <c r="BS878" s="7"/>
      <c r="BT878" s="7"/>
      <c r="BU878" s="2" t="s">
        <v>109</v>
      </c>
      <c r="BV878" s="2" t="s">
        <v>97</v>
      </c>
      <c r="BW878" s="2" t="s">
        <v>1159</v>
      </c>
      <c r="BX878" s="2" t="s">
        <v>2504</v>
      </c>
      <c r="BY878" s="2" t="s">
        <v>112</v>
      </c>
      <c r="BZ878" s="2" t="s">
        <v>100</v>
      </c>
    </row>
    <row r="879">
      <c r="A879" s="2" t="s">
        <v>3118</v>
      </c>
      <c r="B879" s="2" t="s">
        <v>87</v>
      </c>
      <c r="C879" s="2" t="s">
        <v>88</v>
      </c>
      <c r="D879" s="2" t="s">
        <v>3079</v>
      </c>
      <c r="E879" s="2" t="s">
        <v>3080</v>
      </c>
      <c r="F879" s="2" t="s">
        <v>336</v>
      </c>
      <c r="G879" s="2" t="s">
        <v>337</v>
      </c>
      <c r="H879" s="2" t="s">
        <v>338</v>
      </c>
      <c r="I879" s="2" t="s">
        <v>3119</v>
      </c>
      <c r="J879" s="2" t="s">
        <v>114</v>
      </c>
      <c r="K879" s="2" t="s">
        <v>340</v>
      </c>
      <c r="L879" s="3">
        <v>71.39</v>
      </c>
      <c r="M879" s="3">
        <v>74.96</v>
      </c>
      <c r="N879" s="3">
        <v>139.99</v>
      </c>
      <c r="O879" s="2" t="s">
        <v>97</v>
      </c>
      <c r="P879" s="2" t="s">
        <v>98</v>
      </c>
      <c r="Q879" s="2" t="s">
        <v>99</v>
      </c>
      <c r="R879" s="2" t="s">
        <v>100</v>
      </c>
      <c r="S879" s="2" t="s">
        <v>342</v>
      </c>
      <c r="T879" s="2" t="s">
        <v>100</v>
      </c>
      <c r="U879" s="2" t="s">
        <v>343</v>
      </c>
      <c r="V879" s="2" t="s">
        <v>344</v>
      </c>
      <c r="W879" s="2" t="s">
        <v>345</v>
      </c>
      <c r="X879" s="2" t="s">
        <v>346</v>
      </c>
      <c r="Y879" s="2" t="s">
        <v>131</v>
      </c>
      <c r="Z879" s="4">
        <v>261</v>
      </c>
      <c r="AA879" s="4">
        <f>=ROUNDDOWN(29,0)</f>
      </c>
      <c r="AB879" s="5">
        <v>9</v>
      </c>
      <c r="AC879" s="2" t="s">
        <v>361</v>
      </c>
      <c r="AD879" s="4">
        <v>30</v>
      </c>
      <c r="AE879" s="4">
        <v>190</v>
      </c>
      <c r="AF879" s="6">
        <v>65</v>
      </c>
      <c r="AG879" s="6">
        <v>73</v>
      </c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/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/>
      <c r="BJ879" s="4">
        <v>6</v>
      </c>
      <c r="BK879" s="8">
        <v>440.49</v>
      </c>
      <c r="BL879" s="2" t="s">
        <v>858</v>
      </c>
      <c r="BM879" s="7"/>
      <c r="BN879" s="7"/>
      <c r="BO879" s="4"/>
      <c r="BP879" s="8"/>
      <c r="BQ879" s="4"/>
      <c r="BR879" s="8"/>
      <c r="BS879" s="7"/>
      <c r="BT879" s="7"/>
      <c r="BU879" s="2" t="s">
        <v>109</v>
      </c>
      <c r="BV879" s="2" t="s">
        <v>97</v>
      </c>
      <c r="BW879" s="2" t="s">
        <v>3120</v>
      </c>
      <c r="BX879" s="2" t="s">
        <v>3121</v>
      </c>
      <c r="BY879" s="2" t="s">
        <v>112</v>
      </c>
      <c r="BZ879" s="2" t="s">
        <v>100</v>
      </c>
    </row>
    <row r="880">
      <c r="A880" s="2" t="s">
        <v>3122</v>
      </c>
      <c r="B880" s="2" t="s">
        <v>87</v>
      </c>
      <c r="C880" s="2" t="s">
        <v>88</v>
      </c>
      <c r="D880" s="2" t="s">
        <v>3079</v>
      </c>
      <c r="E880" s="2" t="s">
        <v>3080</v>
      </c>
      <c r="F880" s="2" t="s">
        <v>336</v>
      </c>
      <c r="G880" s="2" t="s">
        <v>337</v>
      </c>
      <c r="H880" s="2" t="s">
        <v>338</v>
      </c>
      <c r="I880" s="2" t="s">
        <v>3119</v>
      </c>
      <c r="J880" s="2" t="s">
        <v>120</v>
      </c>
      <c r="K880" s="2" t="s">
        <v>340</v>
      </c>
      <c r="L880" s="3">
        <v>81.59</v>
      </c>
      <c r="M880" s="3">
        <v>85.67</v>
      </c>
      <c r="N880" s="3">
        <v>159.99</v>
      </c>
      <c r="O880" s="2" t="s">
        <v>97</v>
      </c>
      <c r="P880" s="2" t="s">
        <v>98</v>
      </c>
      <c r="Q880" s="2" t="s">
        <v>99</v>
      </c>
      <c r="R880" s="2" t="s">
        <v>100</v>
      </c>
      <c r="S880" s="2" t="s">
        <v>342</v>
      </c>
      <c r="T880" s="2" t="s">
        <v>100</v>
      </c>
      <c r="U880" s="2" t="s">
        <v>343</v>
      </c>
      <c r="V880" s="2" t="s">
        <v>344</v>
      </c>
      <c r="W880" s="2" t="s">
        <v>345</v>
      </c>
      <c r="X880" s="2" t="s">
        <v>346</v>
      </c>
      <c r="Y880" s="2" t="s">
        <v>131</v>
      </c>
      <c r="Z880" s="4">
        <v>180</v>
      </c>
      <c r="AA880" s="4">
        <f>=ROUNDDOWN(25.7142857142857,0)</f>
      </c>
      <c r="AB880" s="5">
        <v>7</v>
      </c>
      <c r="AC880" s="2" t="s">
        <v>361</v>
      </c>
      <c r="AD880" s="4">
        <v>40</v>
      </c>
      <c r="AE880" s="4">
        <v>200</v>
      </c>
      <c r="AF880" s="6">
        <v>65</v>
      </c>
      <c r="AG880" s="6">
        <v>73</v>
      </c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/>
      <c r="BJ880" s="4">
        <v>4</v>
      </c>
      <c r="BK880" s="8">
        <v>349.29</v>
      </c>
      <c r="BL880" s="2" t="s">
        <v>477</v>
      </c>
      <c r="BM880" s="7"/>
      <c r="BN880" s="7"/>
      <c r="BO880" s="4"/>
      <c r="BP880" s="8"/>
      <c r="BQ880" s="4"/>
      <c r="BR880" s="8"/>
      <c r="BS880" s="7"/>
      <c r="BT880" s="7"/>
      <c r="BU880" s="2" t="s">
        <v>109</v>
      </c>
      <c r="BV880" s="2" t="s">
        <v>97</v>
      </c>
      <c r="BW880" s="2" t="s">
        <v>3120</v>
      </c>
      <c r="BX880" s="2" t="s">
        <v>3123</v>
      </c>
      <c r="BY880" s="2" t="s">
        <v>112</v>
      </c>
      <c r="BZ880" s="2" t="s">
        <v>100</v>
      </c>
    </row>
    <row r="881">
      <c r="A881" s="2" t="s">
        <v>3124</v>
      </c>
      <c r="B881" s="2" t="s">
        <v>87</v>
      </c>
      <c r="C881" s="2" t="s">
        <v>88</v>
      </c>
      <c r="D881" s="2" t="s">
        <v>3079</v>
      </c>
      <c r="E881" s="2" t="s">
        <v>3080</v>
      </c>
      <c r="F881" s="2" t="s">
        <v>336</v>
      </c>
      <c r="G881" s="2" t="s">
        <v>337</v>
      </c>
      <c r="H881" s="2" t="s">
        <v>338</v>
      </c>
      <c r="I881" s="2" t="s">
        <v>3119</v>
      </c>
      <c r="J881" s="2" t="s">
        <v>124</v>
      </c>
      <c r="K881" s="2" t="s">
        <v>340</v>
      </c>
      <c r="L881" s="3">
        <v>81.59</v>
      </c>
      <c r="M881" s="3">
        <v>85.67</v>
      </c>
      <c r="N881" s="3">
        <v>159.99</v>
      </c>
      <c r="O881" s="2" t="s">
        <v>97</v>
      </c>
      <c r="P881" s="2" t="s">
        <v>98</v>
      </c>
      <c r="Q881" s="2" t="s">
        <v>99</v>
      </c>
      <c r="R881" s="2" t="s">
        <v>100</v>
      </c>
      <c r="S881" s="2" t="s">
        <v>342</v>
      </c>
      <c r="T881" s="2" t="s">
        <v>100</v>
      </c>
      <c r="U881" s="2" t="s">
        <v>343</v>
      </c>
      <c r="V881" s="2" t="s">
        <v>344</v>
      </c>
      <c r="W881" s="2" t="s">
        <v>345</v>
      </c>
      <c r="X881" s="2" t="s">
        <v>346</v>
      </c>
      <c r="Y881" s="2" t="s">
        <v>131</v>
      </c>
      <c r="Z881" s="4">
        <v>136</v>
      </c>
      <c r="AA881" s="4">
        <f>=ROUNDDOWN(45.3333333333333,0)</f>
      </c>
      <c r="AB881" s="5">
        <v>3</v>
      </c>
      <c r="AC881" s="2" t="s">
        <v>860</v>
      </c>
      <c r="AD881" s="4">
        <v>30</v>
      </c>
      <c r="AE881" s="4">
        <v>30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/>
      <c r="BJ881" s="4">
        <v>2</v>
      </c>
      <c r="BK881" s="8">
        <v>147.44</v>
      </c>
      <c r="BL881" s="2" t="s">
        <v>133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97</v>
      </c>
      <c r="BW881" s="2" t="s">
        <v>3120</v>
      </c>
      <c r="BX881" s="2" t="s">
        <v>3125</v>
      </c>
      <c r="BY881" s="2" t="s">
        <v>112</v>
      </c>
      <c r="BZ881" s="2" t="s">
        <v>100</v>
      </c>
    </row>
    <row r="882">
      <c r="A882" s="2" t="s">
        <v>3126</v>
      </c>
      <c r="B882" s="2" t="s">
        <v>87</v>
      </c>
      <c r="C882" s="2" t="s">
        <v>88</v>
      </c>
      <c r="D882" s="2" t="s">
        <v>3079</v>
      </c>
      <c r="E882" s="2" t="s">
        <v>3080</v>
      </c>
      <c r="F882" s="2" t="s">
        <v>1068</v>
      </c>
      <c r="G882" s="2" t="s">
        <v>640</v>
      </c>
      <c r="H882" s="2" t="s">
        <v>1069</v>
      </c>
      <c r="I882" s="2" t="s">
        <v>3127</v>
      </c>
      <c r="J882" s="2" t="s">
        <v>785</v>
      </c>
      <c r="K882" s="2" t="s">
        <v>1070</v>
      </c>
      <c r="L882" s="3">
        <v>55.2</v>
      </c>
      <c r="M882" s="3">
        <v>57.96</v>
      </c>
      <c r="N882" s="3">
        <v>119.99</v>
      </c>
      <c r="O882" s="2" t="s">
        <v>97</v>
      </c>
      <c r="P882" s="2" t="s">
        <v>98</v>
      </c>
      <c r="Q882" s="2" t="s">
        <v>99</v>
      </c>
      <c r="R882" s="2" t="s">
        <v>100</v>
      </c>
      <c r="S882" s="2" t="s">
        <v>1071</v>
      </c>
      <c r="T882" s="2" t="s">
        <v>100</v>
      </c>
      <c r="U882" s="2" t="s">
        <v>102</v>
      </c>
      <c r="V882" s="2" t="s">
        <v>677</v>
      </c>
      <c r="W882" s="2" t="s">
        <v>104</v>
      </c>
      <c r="X882" s="2" t="s">
        <v>450</v>
      </c>
      <c r="Y882" s="2" t="s">
        <v>131</v>
      </c>
      <c r="Z882" s="4">
        <v>181</v>
      </c>
      <c r="AA882" s="4">
        <f>=ROUNDDOWN(45.25,0)</f>
      </c>
      <c r="AB882" s="5">
        <v>4</v>
      </c>
      <c r="AC882" s="2" t="s">
        <v>100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/>
      <c r="BJ882" s="4">
        <v>1</v>
      </c>
      <c r="BK882" s="8">
        <v>58.66</v>
      </c>
      <c r="BL882" s="2" t="s">
        <v>2115</v>
      </c>
      <c r="BM882" s="7"/>
      <c r="BN882" s="7"/>
      <c r="BO882" s="4"/>
      <c r="BP882" s="8"/>
      <c r="BQ882" s="4"/>
      <c r="BR882" s="8"/>
      <c r="BS882" s="7"/>
      <c r="BT882" s="7"/>
      <c r="BU882" s="2" t="s">
        <v>109</v>
      </c>
      <c r="BV882" s="2" t="s">
        <v>97</v>
      </c>
      <c r="BW882" s="2" t="s">
        <v>1159</v>
      </c>
      <c r="BX882" s="2" t="s">
        <v>2374</v>
      </c>
      <c r="BY882" s="2" t="s">
        <v>112</v>
      </c>
      <c r="BZ882" s="2" t="s">
        <v>100</v>
      </c>
    </row>
    <row r="883">
      <c r="A883" s="2" t="s">
        <v>3128</v>
      </c>
      <c r="B883" s="2" t="s">
        <v>87</v>
      </c>
      <c r="C883" s="2" t="s">
        <v>88</v>
      </c>
      <c r="D883" s="2" t="s">
        <v>3079</v>
      </c>
      <c r="E883" s="2" t="s">
        <v>3080</v>
      </c>
      <c r="F883" s="2" t="s">
        <v>1068</v>
      </c>
      <c r="G883" s="2" t="s">
        <v>640</v>
      </c>
      <c r="H883" s="2" t="s">
        <v>1069</v>
      </c>
      <c r="I883" s="2" t="s">
        <v>3127</v>
      </c>
      <c r="J883" s="2" t="s">
        <v>795</v>
      </c>
      <c r="K883" s="2" t="s">
        <v>1070</v>
      </c>
      <c r="L883" s="3">
        <v>59.8</v>
      </c>
      <c r="M883" s="3">
        <v>62.79</v>
      </c>
      <c r="N883" s="3">
        <v>129.99</v>
      </c>
      <c r="O883" s="2" t="s">
        <v>97</v>
      </c>
      <c r="P883" s="2" t="s">
        <v>98</v>
      </c>
      <c r="Q883" s="2" t="s">
        <v>99</v>
      </c>
      <c r="R883" s="2" t="s">
        <v>100</v>
      </c>
      <c r="S883" s="2" t="s">
        <v>1071</v>
      </c>
      <c r="T883" s="2" t="s">
        <v>100</v>
      </c>
      <c r="U883" s="2" t="s">
        <v>102</v>
      </c>
      <c r="V883" s="2" t="s">
        <v>677</v>
      </c>
      <c r="W883" s="2" t="s">
        <v>104</v>
      </c>
      <c r="X883" s="2" t="s">
        <v>450</v>
      </c>
      <c r="Y883" s="2" t="s">
        <v>131</v>
      </c>
      <c r="Z883" s="4">
        <v>189</v>
      </c>
      <c r="AA883" s="4">
        <f>=ROUNDDOWN(47.25,0)</f>
      </c>
      <c r="AB883" s="5">
        <v>4</v>
      </c>
      <c r="AC883" s="2" t="s">
        <v>100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/>
      <c r="AQ883" s="8"/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/>
      <c r="BJ883" s="4">
        <v>4</v>
      </c>
      <c r="BK883" s="8">
        <v>255.21</v>
      </c>
      <c r="BL883" s="2" t="s">
        <v>156</v>
      </c>
      <c r="BM883" s="7"/>
      <c r="BN883" s="7"/>
      <c r="BO883" s="4"/>
      <c r="BP883" s="8"/>
      <c r="BQ883" s="4"/>
      <c r="BR883" s="8"/>
      <c r="BS883" s="7"/>
      <c r="BT883" s="7"/>
      <c r="BU883" s="2" t="s">
        <v>109</v>
      </c>
      <c r="BV883" s="2" t="s">
        <v>97</v>
      </c>
      <c r="BW883" s="2" t="s">
        <v>1159</v>
      </c>
      <c r="BX883" s="2" t="s">
        <v>2422</v>
      </c>
      <c r="BY883" s="2" t="s">
        <v>112</v>
      </c>
      <c r="BZ883" s="2" t="s">
        <v>100</v>
      </c>
    </row>
    <row r="884">
      <c r="A884" s="2" t="s">
        <v>3129</v>
      </c>
      <c r="B884" s="2" t="s">
        <v>87</v>
      </c>
      <c r="C884" s="2" t="s">
        <v>88</v>
      </c>
      <c r="D884" s="2" t="s">
        <v>3079</v>
      </c>
      <c r="E884" s="2" t="s">
        <v>3080</v>
      </c>
      <c r="F884" s="2" t="s">
        <v>1466</v>
      </c>
      <c r="G884" s="2" t="s">
        <v>1467</v>
      </c>
      <c r="H884" s="2" t="s">
        <v>1468</v>
      </c>
      <c r="I884" s="2" t="s">
        <v>3130</v>
      </c>
      <c r="J884" s="2" t="s">
        <v>785</v>
      </c>
      <c r="K884" s="2" t="s">
        <v>1470</v>
      </c>
      <c r="L884" s="3">
        <v>22.85</v>
      </c>
      <c r="M884" s="3">
        <v>23.99</v>
      </c>
      <c r="N884" s="3">
        <v>49.99</v>
      </c>
      <c r="O884" s="2" t="s">
        <v>97</v>
      </c>
      <c r="P884" s="2" t="s">
        <v>98</v>
      </c>
      <c r="Q884" s="2" t="s">
        <v>99</v>
      </c>
      <c r="R884" s="2" t="s">
        <v>100</v>
      </c>
      <c r="S884" s="2" t="s">
        <v>1471</v>
      </c>
      <c r="T884" s="2" t="s">
        <v>787</v>
      </c>
      <c r="U884" s="2" t="s">
        <v>1459</v>
      </c>
      <c r="V884" s="2" t="s">
        <v>734</v>
      </c>
      <c r="W884" s="2" t="s">
        <v>1405</v>
      </c>
      <c r="X884" s="2" t="s">
        <v>1064</v>
      </c>
      <c r="Y884" s="2" t="s">
        <v>1474</v>
      </c>
      <c r="Z884" s="4">
        <v>36</v>
      </c>
      <c r="AA884" s="4">
        <f>=ROUNDDOWN(12,0)</f>
      </c>
      <c r="AB884" s="5">
        <v>3</v>
      </c>
      <c r="AC884" s="2" t="s">
        <v>1472</v>
      </c>
      <c r="AD884" s="4">
        <v>60</v>
      </c>
      <c r="AE884" s="4">
        <v>60</v>
      </c>
      <c r="AF884" s="6">
        <v>69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/>
      <c r="BJ884" s="4">
        <v>3</v>
      </c>
      <c r="BK884" s="8">
        <v>72.95</v>
      </c>
      <c r="BL884" s="2" t="s">
        <v>391</v>
      </c>
      <c r="BM884" s="7"/>
      <c r="BN884" s="7"/>
      <c r="BO884" s="4"/>
      <c r="BP884" s="8"/>
      <c r="BQ884" s="4"/>
      <c r="BR884" s="8"/>
      <c r="BS884" s="7"/>
      <c r="BT884" s="7"/>
      <c r="BU884" s="2" t="s">
        <v>109</v>
      </c>
      <c r="BV884" s="2" t="s">
        <v>97</v>
      </c>
      <c r="BW884" s="2" t="s">
        <v>1221</v>
      </c>
      <c r="BX884" s="2" t="s">
        <v>100</v>
      </c>
      <c r="BY884" s="2" t="s">
        <v>112</v>
      </c>
      <c r="BZ884" s="2" t="s">
        <v>100</v>
      </c>
    </row>
    <row r="885">
      <c r="A885" s="2" t="s">
        <v>3131</v>
      </c>
      <c r="B885" s="2" t="s">
        <v>87</v>
      </c>
      <c r="C885" s="2" t="s">
        <v>88</v>
      </c>
      <c r="D885" s="2" t="s">
        <v>3079</v>
      </c>
      <c r="E885" s="2" t="s">
        <v>3080</v>
      </c>
      <c r="F885" s="2" t="s">
        <v>1466</v>
      </c>
      <c r="G885" s="2" t="s">
        <v>1467</v>
      </c>
      <c r="H885" s="2" t="s">
        <v>1468</v>
      </c>
      <c r="I885" s="2" t="s">
        <v>3130</v>
      </c>
      <c r="J885" s="2" t="s">
        <v>795</v>
      </c>
      <c r="K885" s="2" t="s">
        <v>1470</v>
      </c>
      <c r="L885" s="3">
        <v>27.42</v>
      </c>
      <c r="M885" s="3">
        <v>28.79</v>
      </c>
      <c r="N885" s="3">
        <v>59.99</v>
      </c>
      <c r="O885" s="2" t="s">
        <v>97</v>
      </c>
      <c r="P885" s="2" t="s">
        <v>98</v>
      </c>
      <c r="Q885" s="2" t="s">
        <v>99</v>
      </c>
      <c r="R885" s="2" t="s">
        <v>100</v>
      </c>
      <c r="S885" s="2" t="s">
        <v>1471</v>
      </c>
      <c r="T885" s="2" t="s">
        <v>787</v>
      </c>
      <c r="U885" s="2" t="s">
        <v>1459</v>
      </c>
      <c r="V885" s="2" t="s">
        <v>734</v>
      </c>
      <c r="W885" s="2" t="s">
        <v>1405</v>
      </c>
      <c r="X885" s="2" t="s">
        <v>1064</v>
      </c>
      <c r="Y885" s="2" t="s">
        <v>1474</v>
      </c>
      <c r="Z885" s="4">
        <v>49</v>
      </c>
      <c r="AA885" s="4">
        <f>=ROUNDDOWN(12.25,0)</f>
      </c>
      <c r="AB885" s="5">
        <v>4</v>
      </c>
      <c r="AC885" s="2" t="s">
        <v>1472</v>
      </c>
      <c r="AD885" s="4">
        <v>90</v>
      </c>
      <c r="AE885" s="4">
        <v>90</v>
      </c>
      <c r="AF885" s="6">
        <v>69</v>
      </c>
      <c r="AG885" s="6"/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/>
      <c r="BJ885" s="4">
        <v>7</v>
      </c>
      <c r="BK885" s="8">
        <v>200.09</v>
      </c>
      <c r="BL885" s="2" t="s">
        <v>3132</v>
      </c>
      <c r="BM885" s="7"/>
      <c r="BN885" s="7"/>
      <c r="BO885" s="4"/>
      <c r="BP885" s="8"/>
      <c r="BQ885" s="4"/>
      <c r="BR885" s="8"/>
      <c r="BS885" s="7"/>
      <c r="BT885" s="7"/>
      <c r="BU885" s="2" t="s">
        <v>109</v>
      </c>
      <c r="BV885" s="2" t="s">
        <v>97</v>
      </c>
      <c r="BW885" s="2" t="s">
        <v>1221</v>
      </c>
      <c r="BX885" s="2" t="s">
        <v>100</v>
      </c>
      <c r="BY885" s="2" t="s">
        <v>112</v>
      </c>
      <c r="BZ885" s="2" t="s">
        <v>100</v>
      </c>
    </row>
    <row r="886">
      <c r="A886" s="2" t="s">
        <v>3133</v>
      </c>
      <c r="B886" s="2" t="s">
        <v>87</v>
      </c>
      <c r="C886" s="2" t="s">
        <v>88</v>
      </c>
      <c r="D886" s="2" t="s">
        <v>3079</v>
      </c>
      <c r="E886" s="2" t="s">
        <v>3080</v>
      </c>
      <c r="F886" s="2" t="s">
        <v>669</v>
      </c>
      <c r="G886" s="2" t="s">
        <v>670</v>
      </c>
      <c r="H886" s="2" t="s">
        <v>671</v>
      </c>
      <c r="I886" s="2" t="s">
        <v>3081</v>
      </c>
      <c r="J886" s="2" t="s">
        <v>785</v>
      </c>
      <c r="K886" s="2" t="s">
        <v>674</v>
      </c>
      <c r="L886" s="3">
        <v>54.99</v>
      </c>
      <c r="M886" s="3">
        <v>57.74</v>
      </c>
      <c r="N886" s="3">
        <v>109.99</v>
      </c>
      <c r="O886" s="2" t="s">
        <v>97</v>
      </c>
      <c r="P886" s="2" t="s">
        <v>242</v>
      </c>
      <c r="Q886" s="2" t="s">
        <v>99</v>
      </c>
      <c r="R886" s="2" t="s">
        <v>100</v>
      </c>
      <c r="S886" s="2" t="s">
        <v>675</v>
      </c>
      <c r="T886" s="2" t="s">
        <v>100</v>
      </c>
      <c r="U886" s="2" t="s">
        <v>676</v>
      </c>
      <c r="V886" s="2" t="s">
        <v>677</v>
      </c>
      <c r="W886" s="2" t="s">
        <v>104</v>
      </c>
      <c r="X886" s="2" t="s">
        <v>678</v>
      </c>
      <c r="Y886" s="2" t="s">
        <v>684</v>
      </c>
      <c r="Z886" s="4">
        <v>194</v>
      </c>
      <c r="AA886" s="4">
        <f>=ROUNDDOWN(27.7142857142857,0)</f>
      </c>
      <c r="AB886" s="5">
        <v>7</v>
      </c>
      <c r="AC886" s="2" t="s">
        <v>2552</v>
      </c>
      <c r="AD886" s="4">
        <v>60</v>
      </c>
      <c r="AE886" s="4">
        <v>120</v>
      </c>
      <c r="AF886" s="6">
        <v>65</v>
      </c>
      <c r="AG886" s="6">
        <v>73</v>
      </c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 t="s">
        <v>100</v>
      </c>
      <c r="AW886" s="8" t="s">
        <v>100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/>
      <c r="BJ886" s="4">
        <v>6</v>
      </c>
      <c r="BK886" s="8">
        <v>337.38</v>
      </c>
      <c r="BL886" s="2" t="s">
        <v>849</v>
      </c>
      <c r="BM886" s="7"/>
      <c r="BN886" s="7"/>
      <c r="BO886" s="4"/>
      <c r="BP886" s="8"/>
      <c r="BQ886" s="4"/>
      <c r="BR886" s="8"/>
      <c r="BS886" s="7"/>
      <c r="BT886" s="7"/>
      <c r="BU886" s="2" t="s">
        <v>109</v>
      </c>
      <c r="BV886" s="2" t="s">
        <v>97</v>
      </c>
      <c r="BW886" s="2" t="s">
        <v>326</v>
      </c>
      <c r="BX886" s="2" t="s">
        <v>327</v>
      </c>
      <c r="BY886" s="2" t="s">
        <v>112</v>
      </c>
      <c r="BZ886" s="2" t="s">
        <v>100</v>
      </c>
    </row>
    <row r="887">
      <c r="A887" s="2" t="s">
        <v>3134</v>
      </c>
      <c r="B887" s="2" t="s">
        <v>87</v>
      </c>
      <c r="C887" s="2" t="s">
        <v>88</v>
      </c>
      <c r="D887" s="2" t="s">
        <v>3079</v>
      </c>
      <c r="E887" s="2" t="s">
        <v>3080</v>
      </c>
      <c r="F887" s="2" t="s">
        <v>669</v>
      </c>
      <c r="G887" s="2" t="s">
        <v>670</v>
      </c>
      <c r="H887" s="2" t="s">
        <v>671</v>
      </c>
      <c r="I887" s="2" t="s">
        <v>3081</v>
      </c>
      <c r="J887" s="2" t="s">
        <v>795</v>
      </c>
      <c r="K887" s="2" t="s">
        <v>674</v>
      </c>
      <c r="L887" s="3">
        <v>59.99</v>
      </c>
      <c r="M887" s="3">
        <v>62.99</v>
      </c>
      <c r="N887" s="3">
        <v>119.99</v>
      </c>
      <c r="O887" s="2" t="s">
        <v>97</v>
      </c>
      <c r="P887" s="2" t="s">
        <v>242</v>
      </c>
      <c r="Q887" s="2" t="s">
        <v>99</v>
      </c>
      <c r="R887" s="2" t="s">
        <v>100</v>
      </c>
      <c r="S887" s="2" t="s">
        <v>675</v>
      </c>
      <c r="T887" s="2" t="s">
        <v>100</v>
      </c>
      <c r="U887" s="2" t="s">
        <v>676</v>
      </c>
      <c r="V887" s="2" t="s">
        <v>677</v>
      </c>
      <c r="W887" s="2" t="s">
        <v>104</v>
      </c>
      <c r="X887" s="2" t="s">
        <v>678</v>
      </c>
      <c r="Y887" s="2" t="s">
        <v>687</v>
      </c>
      <c r="Z887" s="4">
        <v>143</v>
      </c>
      <c r="AA887" s="4">
        <f>=ROUNDDOWN(23.8333333333333,0)</f>
      </c>
      <c r="AB887" s="5">
        <v>6</v>
      </c>
      <c r="AC887" s="2" t="s">
        <v>2552</v>
      </c>
      <c r="AD887" s="4">
        <v>30</v>
      </c>
      <c r="AE887" s="4">
        <v>90</v>
      </c>
      <c r="AF887" s="6">
        <v>65</v>
      </c>
      <c r="AG887" s="6">
        <v>73</v>
      </c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/>
      <c r="BJ887" s="4">
        <v>7</v>
      </c>
      <c r="BK887" s="8">
        <v>459.53</v>
      </c>
      <c r="BL887" s="2" t="s">
        <v>2285</v>
      </c>
      <c r="BM887" s="7"/>
      <c r="BN887" s="7"/>
      <c r="BO887" s="4"/>
      <c r="BP887" s="8"/>
      <c r="BQ887" s="4"/>
      <c r="BR887" s="8"/>
      <c r="BS887" s="7"/>
      <c r="BT887" s="7"/>
      <c r="BU887" s="2" t="s">
        <v>109</v>
      </c>
      <c r="BV887" s="2" t="s">
        <v>97</v>
      </c>
      <c r="BW887" s="2" t="s">
        <v>326</v>
      </c>
      <c r="BX887" s="2" t="s">
        <v>2683</v>
      </c>
      <c r="BY887" s="2" t="s">
        <v>112</v>
      </c>
      <c r="BZ887" s="2" t="s">
        <v>100</v>
      </c>
    </row>
    <row r="888">
      <c r="A888" s="2" t="s">
        <v>3135</v>
      </c>
      <c r="B888" s="2" t="s">
        <v>87</v>
      </c>
      <c r="C888" s="2" t="s">
        <v>88</v>
      </c>
      <c r="D888" s="2" t="s">
        <v>3079</v>
      </c>
      <c r="E888" s="2" t="s">
        <v>3080</v>
      </c>
      <c r="F888" s="2" t="s">
        <v>669</v>
      </c>
      <c r="G888" s="2" t="s">
        <v>670</v>
      </c>
      <c r="H888" s="2" t="s">
        <v>671</v>
      </c>
      <c r="I888" s="2" t="s">
        <v>3081</v>
      </c>
      <c r="J888" s="2" t="s">
        <v>785</v>
      </c>
      <c r="K888" s="2" t="s">
        <v>718</v>
      </c>
      <c r="L888" s="3">
        <v>54.99</v>
      </c>
      <c r="M888" s="3">
        <v>57.74</v>
      </c>
      <c r="N888" s="3">
        <v>109.99</v>
      </c>
      <c r="O888" s="2" t="s">
        <v>97</v>
      </c>
      <c r="P888" s="2" t="s">
        <v>242</v>
      </c>
      <c r="Q888" s="2" t="s">
        <v>99</v>
      </c>
      <c r="R888" s="2" t="s">
        <v>100</v>
      </c>
      <c r="S888" s="2" t="s">
        <v>719</v>
      </c>
      <c r="T888" s="2" t="s">
        <v>100</v>
      </c>
      <c r="U888" s="2" t="s">
        <v>676</v>
      </c>
      <c r="V888" s="2" t="s">
        <v>677</v>
      </c>
      <c r="W888" s="2" t="s">
        <v>104</v>
      </c>
      <c r="X888" s="2" t="s">
        <v>678</v>
      </c>
      <c r="Y888" s="2" t="s">
        <v>131</v>
      </c>
      <c r="Z888" s="4">
        <v>38</v>
      </c>
      <c r="AA888" s="4">
        <f>=ROUNDDOWN(6.33333333333333,0)</f>
      </c>
      <c r="AB888" s="5">
        <v>6</v>
      </c>
      <c r="AC888" s="2" t="s">
        <v>680</v>
      </c>
      <c r="AD888" s="4">
        <v>30</v>
      </c>
      <c r="AE888" s="4">
        <v>230</v>
      </c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 t="s">
        <v>100</v>
      </c>
      <c r="AW888" s="8" t="s">
        <v>100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/>
      <c r="BJ888" s="4">
        <v>4</v>
      </c>
      <c r="BK888" s="8">
        <v>226.2</v>
      </c>
      <c r="BL888" s="2" t="s">
        <v>391</v>
      </c>
      <c r="BM888" s="7"/>
      <c r="BN888" s="7"/>
      <c r="BO888" s="4"/>
      <c r="BP888" s="8"/>
      <c r="BQ888" s="4"/>
      <c r="BR888" s="8"/>
      <c r="BS888" s="7"/>
      <c r="BT888" s="7"/>
      <c r="BU888" s="2" t="s">
        <v>109</v>
      </c>
      <c r="BV888" s="2" t="s">
        <v>97</v>
      </c>
      <c r="BW888" s="2" t="s">
        <v>137</v>
      </c>
      <c r="BX888" s="2" t="s">
        <v>2073</v>
      </c>
      <c r="BY888" s="2" t="s">
        <v>112</v>
      </c>
      <c r="BZ888" s="2" t="s">
        <v>100</v>
      </c>
    </row>
    <row r="889">
      <c r="A889" s="2" t="s">
        <v>3136</v>
      </c>
      <c r="B889" s="2" t="s">
        <v>87</v>
      </c>
      <c r="C889" s="2" t="s">
        <v>88</v>
      </c>
      <c r="D889" s="2" t="s">
        <v>3079</v>
      </c>
      <c r="E889" s="2" t="s">
        <v>3080</v>
      </c>
      <c r="F889" s="2" t="s">
        <v>669</v>
      </c>
      <c r="G889" s="2" t="s">
        <v>670</v>
      </c>
      <c r="H889" s="2" t="s">
        <v>671</v>
      </c>
      <c r="I889" s="2" t="s">
        <v>3081</v>
      </c>
      <c r="J889" s="2" t="s">
        <v>795</v>
      </c>
      <c r="K889" s="2" t="s">
        <v>718</v>
      </c>
      <c r="L889" s="3">
        <v>59.99</v>
      </c>
      <c r="M889" s="3">
        <v>62.99</v>
      </c>
      <c r="N889" s="3">
        <v>119.99</v>
      </c>
      <c r="O889" s="2" t="s">
        <v>97</v>
      </c>
      <c r="P889" s="2" t="s">
        <v>242</v>
      </c>
      <c r="Q889" s="2" t="s">
        <v>99</v>
      </c>
      <c r="R889" s="2" t="s">
        <v>100</v>
      </c>
      <c r="S889" s="2" t="s">
        <v>719</v>
      </c>
      <c r="T889" s="2" t="s">
        <v>100</v>
      </c>
      <c r="U889" s="2" t="s">
        <v>676</v>
      </c>
      <c r="V889" s="2" t="s">
        <v>677</v>
      </c>
      <c r="W889" s="2" t="s">
        <v>104</v>
      </c>
      <c r="X889" s="2" t="s">
        <v>678</v>
      </c>
      <c r="Y889" s="2" t="s">
        <v>131</v>
      </c>
      <c r="Z889" s="4">
        <v>61</v>
      </c>
      <c r="AA889" s="4">
        <f>=ROUNDDOWN(12.2,0)</f>
      </c>
      <c r="AB889" s="5">
        <v>5</v>
      </c>
      <c r="AC889" s="2" t="s">
        <v>680</v>
      </c>
      <c r="AD889" s="4">
        <v>30</v>
      </c>
      <c r="AE889" s="4">
        <v>160</v>
      </c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/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/>
      <c r="BJ889" s="4">
        <v>2</v>
      </c>
      <c r="BK889" s="8">
        <v>116.05</v>
      </c>
      <c r="BL889" s="2" t="s">
        <v>391</v>
      </c>
      <c r="BM889" s="7"/>
      <c r="BN889" s="7"/>
      <c r="BO889" s="4"/>
      <c r="BP889" s="8"/>
      <c r="BQ889" s="4"/>
      <c r="BR889" s="8"/>
      <c r="BS889" s="7"/>
      <c r="BT889" s="7"/>
      <c r="BU889" s="2" t="s">
        <v>109</v>
      </c>
      <c r="BV889" s="2" t="s">
        <v>97</v>
      </c>
      <c r="BW889" s="2" t="s">
        <v>137</v>
      </c>
      <c r="BX889" s="2" t="s">
        <v>3106</v>
      </c>
      <c r="BY889" s="2" t="s">
        <v>112</v>
      </c>
      <c r="BZ889" s="2" t="s">
        <v>100</v>
      </c>
    </row>
    <row r="890">
      <c r="A890" s="2" t="s">
        <v>3137</v>
      </c>
      <c r="B890" s="2" t="s">
        <v>87</v>
      </c>
      <c r="C890" s="2" t="s">
        <v>88</v>
      </c>
      <c r="D890" s="2" t="s">
        <v>3079</v>
      </c>
      <c r="E890" s="2" t="s">
        <v>3080</v>
      </c>
      <c r="F890" s="2" t="s">
        <v>669</v>
      </c>
      <c r="G890" s="2" t="s">
        <v>670</v>
      </c>
      <c r="H890" s="2" t="s">
        <v>671</v>
      </c>
      <c r="I890" s="2" t="s">
        <v>3081</v>
      </c>
      <c r="J890" s="2" t="s">
        <v>785</v>
      </c>
      <c r="K890" s="2" t="s">
        <v>693</v>
      </c>
      <c r="L890" s="3">
        <v>54.99</v>
      </c>
      <c r="M890" s="3">
        <v>57.74</v>
      </c>
      <c r="N890" s="3">
        <v>109.99</v>
      </c>
      <c r="O890" s="2" t="s">
        <v>97</v>
      </c>
      <c r="P890" s="2" t="s">
        <v>98</v>
      </c>
      <c r="Q890" s="2" t="s">
        <v>99</v>
      </c>
      <c r="R890" s="2" t="s">
        <v>100</v>
      </c>
      <c r="S890" s="2" t="s">
        <v>694</v>
      </c>
      <c r="T890" s="2" t="s">
        <v>100</v>
      </c>
      <c r="U890" s="2" t="s">
        <v>676</v>
      </c>
      <c r="V890" s="2" t="s">
        <v>677</v>
      </c>
      <c r="W890" s="2" t="s">
        <v>104</v>
      </c>
      <c r="X890" s="2" t="s">
        <v>678</v>
      </c>
      <c r="Y890" s="2" t="s">
        <v>131</v>
      </c>
      <c r="Z890" s="4">
        <v>148</v>
      </c>
      <c r="AA890" s="4">
        <f>=ROUNDDOWN(29.6,0)</f>
      </c>
      <c r="AB890" s="5">
        <v>5</v>
      </c>
      <c r="AC890" s="2" t="s">
        <v>695</v>
      </c>
      <c r="AD890" s="4">
        <v>30</v>
      </c>
      <c r="AE890" s="4">
        <v>110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/>
      <c r="AQ890" s="8"/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/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/>
      <c r="BJ890" s="4">
        <v>3</v>
      </c>
      <c r="BK890" s="8">
        <v>179.96</v>
      </c>
      <c r="BL890" s="2" t="s">
        <v>927</v>
      </c>
      <c r="BM890" s="7"/>
      <c r="BN890" s="7"/>
      <c r="BO890" s="4"/>
      <c r="BP890" s="8"/>
      <c r="BQ890" s="4"/>
      <c r="BR890" s="8"/>
      <c r="BS890" s="7"/>
      <c r="BT890" s="7"/>
      <c r="BU890" s="2" t="s">
        <v>109</v>
      </c>
      <c r="BV890" s="2" t="s">
        <v>97</v>
      </c>
      <c r="BW890" s="2" t="s">
        <v>137</v>
      </c>
      <c r="BX890" s="2" t="s">
        <v>621</v>
      </c>
      <c r="BY890" s="2" t="s">
        <v>112</v>
      </c>
      <c r="BZ890" s="2" t="s">
        <v>100</v>
      </c>
    </row>
    <row r="891">
      <c r="A891" s="2" t="s">
        <v>3138</v>
      </c>
      <c r="B891" s="2" t="s">
        <v>87</v>
      </c>
      <c r="C891" s="2" t="s">
        <v>88</v>
      </c>
      <c r="D891" s="2" t="s">
        <v>3079</v>
      </c>
      <c r="E891" s="2" t="s">
        <v>3080</v>
      </c>
      <c r="F891" s="2" t="s">
        <v>669</v>
      </c>
      <c r="G891" s="2" t="s">
        <v>670</v>
      </c>
      <c r="H891" s="2" t="s">
        <v>671</v>
      </c>
      <c r="I891" s="2" t="s">
        <v>3081</v>
      </c>
      <c r="J891" s="2" t="s">
        <v>795</v>
      </c>
      <c r="K891" s="2" t="s">
        <v>693</v>
      </c>
      <c r="L891" s="3">
        <v>59.99</v>
      </c>
      <c r="M891" s="3">
        <v>62.99</v>
      </c>
      <c r="N891" s="3">
        <v>119.99</v>
      </c>
      <c r="O891" s="2" t="s">
        <v>97</v>
      </c>
      <c r="P891" s="2" t="s">
        <v>98</v>
      </c>
      <c r="Q891" s="2" t="s">
        <v>99</v>
      </c>
      <c r="R891" s="2" t="s">
        <v>100</v>
      </c>
      <c r="S891" s="2" t="s">
        <v>694</v>
      </c>
      <c r="T891" s="2" t="s">
        <v>100</v>
      </c>
      <c r="U891" s="2" t="s">
        <v>676</v>
      </c>
      <c r="V891" s="2" t="s">
        <v>677</v>
      </c>
      <c r="W891" s="2" t="s">
        <v>104</v>
      </c>
      <c r="X891" s="2" t="s">
        <v>678</v>
      </c>
      <c r="Y891" s="2" t="s">
        <v>131</v>
      </c>
      <c r="Z891" s="4">
        <v>22</v>
      </c>
      <c r="AA891" s="4">
        <f>=ROUNDDOWN(4.4,0)</f>
      </c>
      <c r="AB891" s="5">
        <v>5</v>
      </c>
      <c r="AC891" s="2" t="s">
        <v>695</v>
      </c>
      <c r="AD891" s="4">
        <v>70</v>
      </c>
      <c r="AE891" s="4">
        <v>190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/>
      <c r="AQ891" s="8"/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/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/>
      <c r="BJ891" s="4">
        <v>4</v>
      </c>
      <c r="BK891" s="8">
        <v>258.62</v>
      </c>
      <c r="BL891" s="2" t="s">
        <v>1268</v>
      </c>
      <c r="BM891" s="7"/>
      <c r="BN891" s="7"/>
      <c r="BO891" s="4"/>
      <c r="BP891" s="8"/>
      <c r="BQ891" s="4"/>
      <c r="BR891" s="8"/>
      <c r="BS891" s="7"/>
      <c r="BT891" s="7"/>
      <c r="BU891" s="2" t="s">
        <v>109</v>
      </c>
      <c r="BV891" s="2" t="s">
        <v>97</v>
      </c>
      <c r="BW891" s="2" t="s">
        <v>137</v>
      </c>
      <c r="BX891" s="2" t="s">
        <v>950</v>
      </c>
      <c r="BY891" s="2" t="s">
        <v>112</v>
      </c>
      <c r="BZ891" s="2" t="s">
        <v>100</v>
      </c>
    </row>
    <row r="892">
      <c r="A892" s="2" t="s">
        <v>3139</v>
      </c>
      <c r="B892" s="2" t="s">
        <v>87</v>
      </c>
      <c r="C892" s="2" t="s">
        <v>88</v>
      </c>
      <c r="D892" s="2" t="s">
        <v>3079</v>
      </c>
      <c r="E892" s="2" t="s">
        <v>3080</v>
      </c>
      <c r="F892" s="2" t="s">
        <v>1610</v>
      </c>
      <c r="G892" s="2" t="s">
        <v>1611</v>
      </c>
      <c r="H892" s="2" t="s">
        <v>1612</v>
      </c>
      <c r="I892" s="2" t="s">
        <v>3140</v>
      </c>
      <c r="J892" s="2" t="s">
        <v>114</v>
      </c>
      <c r="K892" s="2" t="s">
        <v>434</v>
      </c>
      <c r="L892" s="3">
        <v>65.8</v>
      </c>
      <c r="M892" s="3">
        <v>69.09</v>
      </c>
      <c r="N892" s="3">
        <v>139.99</v>
      </c>
      <c r="O892" s="2" t="s">
        <v>97</v>
      </c>
      <c r="P892" s="2" t="s">
        <v>447</v>
      </c>
      <c r="Q892" s="2" t="s">
        <v>99</v>
      </c>
      <c r="R892" s="2" t="s">
        <v>100</v>
      </c>
      <c r="S892" s="2" t="s">
        <v>1614</v>
      </c>
      <c r="T892" s="2" t="s">
        <v>100</v>
      </c>
      <c r="U892" s="2" t="s">
        <v>343</v>
      </c>
      <c r="V892" s="2" t="s">
        <v>677</v>
      </c>
      <c r="W892" s="2" t="s">
        <v>104</v>
      </c>
      <c r="X892" s="2" t="s">
        <v>647</v>
      </c>
      <c r="Y892" s="2" t="s">
        <v>131</v>
      </c>
      <c r="Z892" s="4">
        <v>116</v>
      </c>
      <c r="AA892" s="4">
        <f>=ROUNDDOWN(29,0)</f>
      </c>
      <c r="AB892" s="5">
        <v>4</v>
      </c>
      <c r="AC892" s="2" t="s">
        <v>100</v>
      </c>
      <c r="AD892" s="4"/>
      <c r="AE892" s="4"/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/>
      <c r="BJ892" s="4"/>
      <c r="BK892" s="8"/>
      <c r="BL892" s="2" t="s">
        <v>100</v>
      </c>
      <c r="BM892" s="7"/>
      <c r="BN892" s="7"/>
      <c r="BO892" s="4"/>
      <c r="BP892" s="8"/>
      <c r="BQ892" s="4"/>
      <c r="BR892" s="8"/>
      <c r="BS892" s="7"/>
      <c r="BT892" s="7"/>
      <c r="BU892" s="2" t="s">
        <v>109</v>
      </c>
      <c r="BV892" s="2" t="s">
        <v>97</v>
      </c>
      <c r="BW892" s="2" t="s">
        <v>1159</v>
      </c>
      <c r="BX892" s="2" t="s">
        <v>211</v>
      </c>
      <c r="BY892" s="2" t="s">
        <v>112</v>
      </c>
      <c r="BZ892" s="2" t="s">
        <v>100</v>
      </c>
    </row>
    <row r="893">
      <c r="A893" s="2" t="s">
        <v>3141</v>
      </c>
      <c r="B893" s="2" t="s">
        <v>87</v>
      </c>
      <c r="C893" s="2" t="s">
        <v>88</v>
      </c>
      <c r="D893" s="2" t="s">
        <v>3079</v>
      </c>
      <c r="E893" s="2" t="s">
        <v>3080</v>
      </c>
      <c r="F893" s="2" t="s">
        <v>1610</v>
      </c>
      <c r="G893" s="2" t="s">
        <v>1611</v>
      </c>
      <c r="H893" s="2" t="s">
        <v>1612</v>
      </c>
      <c r="I893" s="2" t="s">
        <v>3140</v>
      </c>
      <c r="J893" s="2" t="s">
        <v>120</v>
      </c>
      <c r="K893" s="2" t="s">
        <v>434</v>
      </c>
      <c r="L893" s="3">
        <v>75.2</v>
      </c>
      <c r="M893" s="3">
        <v>78.96</v>
      </c>
      <c r="N893" s="3">
        <v>159.99</v>
      </c>
      <c r="O893" s="2" t="s">
        <v>97</v>
      </c>
      <c r="P893" s="2" t="s">
        <v>447</v>
      </c>
      <c r="Q893" s="2" t="s">
        <v>99</v>
      </c>
      <c r="R893" s="2" t="s">
        <v>100</v>
      </c>
      <c r="S893" s="2" t="s">
        <v>1614</v>
      </c>
      <c r="T893" s="2" t="s">
        <v>100</v>
      </c>
      <c r="U893" s="2" t="s">
        <v>343</v>
      </c>
      <c r="V893" s="2" t="s">
        <v>677</v>
      </c>
      <c r="W893" s="2" t="s">
        <v>104</v>
      </c>
      <c r="X893" s="2" t="s">
        <v>647</v>
      </c>
      <c r="Y893" s="2" t="s">
        <v>3142</v>
      </c>
      <c r="Z893" s="4">
        <v>118</v>
      </c>
      <c r="AA893" s="4">
        <f>=ROUNDDOWN(59,0)</f>
      </c>
      <c r="AB893" s="5">
        <v>2</v>
      </c>
      <c r="AC893" s="2" t="s">
        <v>100</v>
      </c>
      <c r="AD893" s="4"/>
      <c r="AE893" s="4"/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/>
      <c r="BJ893" s="4">
        <v>1</v>
      </c>
      <c r="BK893" s="8">
        <v>82.63</v>
      </c>
      <c r="BL893" s="2" t="s">
        <v>625</v>
      </c>
      <c r="BM893" s="7"/>
      <c r="BN893" s="7"/>
      <c r="BO893" s="4"/>
      <c r="BP893" s="8"/>
      <c r="BQ893" s="4"/>
      <c r="BR893" s="8"/>
      <c r="BS893" s="7"/>
      <c r="BT893" s="7"/>
      <c r="BU893" s="2" t="s">
        <v>109</v>
      </c>
      <c r="BV893" s="2" t="s">
        <v>97</v>
      </c>
      <c r="BW893" s="2" t="s">
        <v>1159</v>
      </c>
      <c r="BX893" s="2" t="s">
        <v>500</v>
      </c>
      <c r="BY893" s="2" t="s">
        <v>112</v>
      </c>
      <c r="BZ893" s="2" t="s">
        <v>100</v>
      </c>
    </row>
    <row r="894">
      <c r="A894" s="2" t="s">
        <v>3143</v>
      </c>
      <c r="B894" s="2" t="s">
        <v>87</v>
      </c>
      <c r="C894" s="2" t="s">
        <v>88</v>
      </c>
      <c r="D894" s="2" t="s">
        <v>3079</v>
      </c>
      <c r="E894" s="2" t="s">
        <v>3080</v>
      </c>
      <c r="F894" s="2" t="s">
        <v>1610</v>
      </c>
      <c r="G894" s="2" t="s">
        <v>1611</v>
      </c>
      <c r="H894" s="2" t="s">
        <v>1612</v>
      </c>
      <c r="I894" s="2" t="s">
        <v>3140</v>
      </c>
      <c r="J894" s="2" t="s">
        <v>124</v>
      </c>
      <c r="K894" s="2" t="s">
        <v>434</v>
      </c>
      <c r="L894" s="3">
        <v>75.2</v>
      </c>
      <c r="M894" s="3">
        <v>78.96</v>
      </c>
      <c r="N894" s="3">
        <v>159.99</v>
      </c>
      <c r="O894" s="2" t="s">
        <v>97</v>
      </c>
      <c r="P894" s="2" t="s">
        <v>447</v>
      </c>
      <c r="Q894" s="2" t="s">
        <v>99</v>
      </c>
      <c r="R894" s="2" t="s">
        <v>100</v>
      </c>
      <c r="S894" s="2" t="s">
        <v>1614</v>
      </c>
      <c r="T894" s="2" t="s">
        <v>100</v>
      </c>
      <c r="U894" s="2" t="s">
        <v>343</v>
      </c>
      <c r="V894" s="2" t="s">
        <v>677</v>
      </c>
      <c r="W894" s="2" t="s">
        <v>104</v>
      </c>
      <c r="X894" s="2" t="s">
        <v>647</v>
      </c>
      <c r="Y894" s="2" t="s">
        <v>3144</v>
      </c>
      <c r="Z894" s="4">
        <v>53</v>
      </c>
      <c r="AA894" s="4">
        <f>=ROUNDDOWN(26.5,0)</f>
      </c>
      <c r="AB894" s="5">
        <v>2</v>
      </c>
      <c r="AC894" s="2" t="s">
        <v>100</v>
      </c>
      <c r="AD894" s="4"/>
      <c r="AE894" s="4"/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/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/>
      <c r="BJ894" s="4">
        <v>2</v>
      </c>
      <c r="BK894" s="8">
        <v>152.4</v>
      </c>
      <c r="BL894" s="2" t="s">
        <v>441</v>
      </c>
      <c r="BM894" s="7"/>
      <c r="BN894" s="7"/>
      <c r="BO894" s="4"/>
      <c r="BP894" s="8"/>
      <c r="BQ894" s="4"/>
      <c r="BR894" s="8"/>
      <c r="BS894" s="7"/>
      <c r="BT894" s="7"/>
      <c r="BU894" s="2" t="s">
        <v>109</v>
      </c>
      <c r="BV894" s="2" t="s">
        <v>97</v>
      </c>
      <c r="BW894" s="2" t="s">
        <v>2299</v>
      </c>
      <c r="BX894" s="2" t="s">
        <v>1142</v>
      </c>
      <c r="BY894" s="2" t="s">
        <v>112</v>
      </c>
      <c r="BZ894" s="2" t="s">
        <v>100</v>
      </c>
    </row>
    <row r="895">
      <c r="A895" s="2" t="s">
        <v>3145</v>
      </c>
      <c r="B895" s="2" t="s">
        <v>87</v>
      </c>
      <c r="C895" s="2" t="s">
        <v>88</v>
      </c>
      <c r="D895" s="2" t="s">
        <v>3079</v>
      </c>
      <c r="E895" s="2" t="s">
        <v>3080</v>
      </c>
      <c r="F895" s="2" t="s">
        <v>1622</v>
      </c>
      <c r="G895" s="2" t="s">
        <v>1623</v>
      </c>
      <c r="H895" s="2" t="s">
        <v>1624</v>
      </c>
      <c r="I895" s="2" t="s">
        <v>3146</v>
      </c>
      <c r="J895" s="2" t="s">
        <v>785</v>
      </c>
      <c r="K895" s="2" t="s">
        <v>198</v>
      </c>
      <c r="L895" s="3">
        <v>53.9</v>
      </c>
      <c r="M895" s="3">
        <v>56.59</v>
      </c>
      <c r="N895" s="3">
        <v>109.99</v>
      </c>
      <c r="O895" s="2" t="s">
        <v>97</v>
      </c>
      <c r="P895" s="2" t="s">
        <v>98</v>
      </c>
      <c r="Q895" s="2" t="s">
        <v>99</v>
      </c>
      <c r="R895" s="2" t="s">
        <v>100</v>
      </c>
      <c r="S895" s="2" t="s">
        <v>1626</v>
      </c>
      <c r="T895" s="2" t="s">
        <v>100</v>
      </c>
      <c r="U895" s="2" t="s">
        <v>1459</v>
      </c>
      <c r="V895" s="2" t="s">
        <v>645</v>
      </c>
      <c r="W895" s="2" t="s">
        <v>646</v>
      </c>
      <c r="X895" s="2" t="s">
        <v>1627</v>
      </c>
      <c r="Y895" s="2" t="s">
        <v>1628</v>
      </c>
      <c r="Z895" s="4">
        <v>413</v>
      </c>
      <c r="AA895" s="4">
        <f>=ROUNDDOWN(82.6,0)</f>
      </c>
      <c r="AB895" s="5">
        <v>5</v>
      </c>
      <c r="AC895" s="2" t="s">
        <v>100</v>
      </c>
      <c r="AD895" s="4"/>
      <c r="AE895" s="4"/>
      <c r="AF895" s="6">
        <v>66</v>
      </c>
      <c r="AG895" s="6">
        <v>49</v>
      </c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/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/>
      <c r="BJ895" s="4">
        <v>4</v>
      </c>
      <c r="BK895" s="8">
        <v>224.97</v>
      </c>
      <c r="BL895" s="2" t="s">
        <v>919</v>
      </c>
      <c r="BM895" s="7"/>
      <c r="BN895" s="7"/>
      <c r="BO895" s="4"/>
      <c r="BP895" s="8"/>
      <c r="BQ895" s="4"/>
      <c r="BR895" s="8"/>
      <c r="BS895" s="7"/>
      <c r="BT895" s="7"/>
      <c r="BU895" s="2" t="s">
        <v>109</v>
      </c>
      <c r="BV895" s="2" t="s">
        <v>97</v>
      </c>
      <c r="BW895" s="2" t="s">
        <v>1159</v>
      </c>
      <c r="BX895" s="2" t="s">
        <v>3147</v>
      </c>
      <c r="BY895" s="2" t="s">
        <v>112</v>
      </c>
      <c r="BZ895" s="2" t="s">
        <v>100</v>
      </c>
    </row>
    <row r="896">
      <c r="A896" s="2" t="s">
        <v>3148</v>
      </c>
      <c r="B896" s="2" t="s">
        <v>87</v>
      </c>
      <c r="C896" s="2" t="s">
        <v>88</v>
      </c>
      <c r="D896" s="2" t="s">
        <v>3079</v>
      </c>
      <c r="E896" s="2" t="s">
        <v>3080</v>
      </c>
      <c r="F896" s="2" t="s">
        <v>1622</v>
      </c>
      <c r="G896" s="2" t="s">
        <v>1623</v>
      </c>
      <c r="H896" s="2" t="s">
        <v>1624</v>
      </c>
      <c r="I896" s="2" t="s">
        <v>3146</v>
      </c>
      <c r="J896" s="2" t="s">
        <v>795</v>
      </c>
      <c r="K896" s="2" t="s">
        <v>198</v>
      </c>
      <c r="L896" s="3">
        <v>58.8</v>
      </c>
      <c r="M896" s="3">
        <v>61.73</v>
      </c>
      <c r="N896" s="3">
        <v>119.99</v>
      </c>
      <c r="O896" s="2" t="s">
        <v>97</v>
      </c>
      <c r="P896" s="2" t="s">
        <v>98</v>
      </c>
      <c r="Q896" s="2" t="s">
        <v>99</v>
      </c>
      <c r="R896" s="2" t="s">
        <v>100</v>
      </c>
      <c r="S896" s="2" t="s">
        <v>1626</v>
      </c>
      <c r="T896" s="2" t="s">
        <v>100</v>
      </c>
      <c r="U896" s="2" t="s">
        <v>1459</v>
      </c>
      <c r="V896" s="2" t="s">
        <v>645</v>
      </c>
      <c r="W896" s="2" t="s">
        <v>646</v>
      </c>
      <c r="X896" s="2" t="s">
        <v>1627</v>
      </c>
      <c r="Y896" s="2" t="s">
        <v>1628</v>
      </c>
      <c r="Z896" s="4">
        <v>522</v>
      </c>
      <c r="AA896" s="4">
        <f>=ROUNDDOWN(74.5714285714286,0)</f>
      </c>
      <c r="AB896" s="5">
        <v>7</v>
      </c>
      <c r="AC896" s="2" t="s">
        <v>100</v>
      </c>
      <c r="AD896" s="4"/>
      <c r="AE896" s="4"/>
      <c r="AF896" s="6">
        <v>66</v>
      </c>
      <c r="AG896" s="6">
        <v>49</v>
      </c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/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/>
      <c r="BJ896" s="4">
        <v>11</v>
      </c>
      <c r="BK896" s="8">
        <v>688.07</v>
      </c>
      <c r="BL896" s="2" t="s">
        <v>200</v>
      </c>
      <c r="BM896" s="7"/>
      <c r="BN896" s="7"/>
      <c r="BO896" s="4"/>
      <c r="BP896" s="8"/>
      <c r="BQ896" s="4"/>
      <c r="BR896" s="8"/>
      <c r="BS896" s="7"/>
      <c r="BT896" s="7"/>
      <c r="BU896" s="2" t="s">
        <v>109</v>
      </c>
      <c r="BV896" s="2" t="s">
        <v>97</v>
      </c>
      <c r="BW896" s="2" t="s">
        <v>1634</v>
      </c>
      <c r="BX896" s="2" t="s">
        <v>3030</v>
      </c>
      <c r="BY896" s="2" t="s">
        <v>112</v>
      </c>
      <c r="BZ896" s="2" t="s">
        <v>100</v>
      </c>
    </row>
    <row r="897">
      <c r="A897" s="2" t="s">
        <v>3149</v>
      </c>
      <c r="B897" s="2" t="s">
        <v>87</v>
      </c>
      <c r="C897" s="2" t="s">
        <v>88</v>
      </c>
      <c r="D897" s="2" t="s">
        <v>3079</v>
      </c>
      <c r="E897" s="2" t="s">
        <v>3080</v>
      </c>
      <c r="F897" s="2" t="s">
        <v>3150</v>
      </c>
      <c r="G897" s="2" t="s">
        <v>3151</v>
      </c>
      <c r="H897" s="2" t="s">
        <v>3152</v>
      </c>
      <c r="I897" s="2" t="s">
        <v>3153</v>
      </c>
      <c r="J897" s="2" t="s">
        <v>785</v>
      </c>
      <c r="K897" s="2" t="s">
        <v>213</v>
      </c>
      <c r="L897" s="3">
        <v>57.02</v>
      </c>
      <c r="M897" s="3">
        <v>59.87</v>
      </c>
      <c r="N897" s="3">
        <v>119.99</v>
      </c>
      <c r="O897" s="2" t="s">
        <v>473</v>
      </c>
      <c r="P897" s="2" t="s">
        <v>447</v>
      </c>
      <c r="Q897" s="2" t="s">
        <v>99</v>
      </c>
      <c r="R897" s="2" t="s">
        <v>100</v>
      </c>
      <c r="S897" s="2" t="s">
        <v>3154</v>
      </c>
      <c r="T897" s="2" t="s">
        <v>100</v>
      </c>
      <c r="U897" s="2" t="s">
        <v>1459</v>
      </c>
      <c r="V897" s="2" t="s">
        <v>645</v>
      </c>
      <c r="W897" s="2" t="s">
        <v>976</v>
      </c>
      <c r="X897" s="2" t="s">
        <v>1889</v>
      </c>
      <c r="Y897" s="2" t="s">
        <v>3155</v>
      </c>
      <c r="Z897" s="4">
        <v>291</v>
      </c>
      <c r="AA897" s="4">
        <f>=ROUNDDOWN(40.9859154929578,0)</f>
      </c>
      <c r="AB897" s="5">
        <v>7.1</v>
      </c>
      <c r="AC897" s="2" t="s">
        <v>615</v>
      </c>
      <c r="AD897" s="4">
        <v>170</v>
      </c>
      <c r="AE897" s="4">
        <v>170</v>
      </c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/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/>
      <c r="BJ897" s="4">
        <v>4</v>
      </c>
      <c r="BK897" s="8">
        <v>224.22</v>
      </c>
      <c r="BL897" s="2" t="s">
        <v>1077</v>
      </c>
      <c r="BM897" s="7"/>
      <c r="BN897" s="7"/>
      <c r="BO897" s="4"/>
      <c r="BP897" s="8"/>
      <c r="BQ897" s="4"/>
      <c r="BR897" s="8"/>
      <c r="BS897" s="7"/>
      <c r="BT897" s="7"/>
      <c r="BU897" s="2" t="s">
        <v>109</v>
      </c>
      <c r="BV897" s="2" t="s">
        <v>97</v>
      </c>
      <c r="BW897" s="2" t="s">
        <v>1159</v>
      </c>
      <c r="BX897" s="2" t="s">
        <v>3156</v>
      </c>
      <c r="BY897" s="2" t="s">
        <v>112</v>
      </c>
      <c r="BZ897" s="2" t="s">
        <v>100</v>
      </c>
    </row>
    <row r="898">
      <c r="A898" s="2" t="s">
        <v>3157</v>
      </c>
      <c r="B898" s="2" t="s">
        <v>87</v>
      </c>
      <c r="C898" s="2" t="s">
        <v>88</v>
      </c>
      <c r="D898" s="2" t="s">
        <v>3079</v>
      </c>
      <c r="E898" s="2" t="s">
        <v>3080</v>
      </c>
      <c r="F898" s="2" t="s">
        <v>3150</v>
      </c>
      <c r="G898" s="2" t="s">
        <v>3151</v>
      </c>
      <c r="H898" s="2" t="s">
        <v>3152</v>
      </c>
      <c r="I898" s="2" t="s">
        <v>3153</v>
      </c>
      <c r="J898" s="2" t="s">
        <v>795</v>
      </c>
      <c r="K898" s="2" t="s">
        <v>213</v>
      </c>
      <c r="L898" s="3">
        <v>68.79</v>
      </c>
      <c r="M898" s="3">
        <v>72.23</v>
      </c>
      <c r="N898" s="3">
        <v>139.99</v>
      </c>
      <c r="O898" s="2" t="s">
        <v>473</v>
      </c>
      <c r="P898" s="2" t="s">
        <v>447</v>
      </c>
      <c r="Q898" s="2" t="s">
        <v>99</v>
      </c>
      <c r="R898" s="2" t="s">
        <v>100</v>
      </c>
      <c r="S898" s="2" t="s">
        <v>3154</v>
      </c>
      <c r="T898" s="2" t="s">
        <v>100</v>
      </c>
      <c r="U898" s="2" t="s">
        <v>1459</v>
      </c>
      <c r="V898" s="2" t="s">
        <v>645</v>
      </c>
      <c r="W898" s="2" t="s">
        <v>976</v>
      </c>
      <c r="X898" s="2" t="s">
        <v>1889</v>
      </c>
      <c r="Y898" s="2" t="s">
        <v>3155</v>
      </c>
      <c r="Z898" s="4">
        <v>381</v>
      </c>
      <c r="AA898" s="4">
        <f>=ROUNDDOWN(47.625,0)</f>
      </c>
      <c r="AB898" s="5">
        <v>8</v>
      </c>
      <c r="AC898" s="2" t="s">
        <v>615</v>
      </c>
      <c r="AD898" s="4">
        <v>200</v>
      </c>
      <c r="AE898" s="4">
        <v>200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/>
      <c r="AQ898" s="8"/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/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/>
      <c r="BJ898" s="4">
        <v>5</v>
      </c>
      <c r="BK898" s="8">
        <v>350.8</v>
      </c>
      <c r="BL898" s="2" t="s">
        <v>736</v>
      </c>
      <c r="BM898" s="7"/>
      <c r="BN898" s="7"/>
      <c r="BO898" s="4"/>
      <c r="BP898" s="8"/>
      <c r="BQ898" s="4"/>
      <c r="BR898" s="8"/>
      <c r="BS898" s="7"/>
      <c r="BT898" s="7"/>
      <c r="BU898" s="2" t="s">
        <v>109</v>
      </c>
      <c r="BV898" s="2" t="s">
        <v>97</v>
      </c>
      <c r="BW898" s="2" t="s">
        <v>1159</v>
      </c>
      <c r="BX898" s="2" t="s">
        <v>3158</v>
      </c>
      <c r="BY898" s="2" t="s">
        <v>112</v>
      </c>
      <c r="BZ898" s="2" t="s">
        <v>100</v>
      </c>
    </row>
    <row r="899">
      <c r="A899" s="2" t="s">
        <v>3159</v>
      </c>
      <c r="B899" s="2" t="s">
        <v>87</v>
      </c>
      <c r="C899" s="2" t="s">
        <v>88</v>
      </c>
      <c r="D899" s="2" t="s">
        <v>3079</v>
      </c>
      <c r="E899" s="2" t="s">
        <v>3080</v>
      </c>
      <c r="F899" s="2" t="s">
        <v>2232</v>
      </c>
      <c r="G899" s="2" t="s">
        <v>2233</v>
      </c>
      <c r="H899" s="2" t="s">
        <v>2234</v>
      </c>
      <c r="I899" s="2" t="s">
        <v>3160</v>
      </c>
      <c r="J899" s="2" t="s">
        <v>795</v>
      </c>
      <c r="K899" s="2" t="s">
        <v>198</v>
      </c>
      <c r="L899" s="3">
        <v>48</v>
      </c>
      <c r="M899" s="3">
        <v>50.4</v>
      </c>
      <c r="N899" s="3">
        <v>99.99</v>
      </c>
      <c r="O899" s="2" t="s">
        <v>473</v>
      </c>
      <c r="P899" s="2" t="s">
        <v>447</v>
      </c>
      <c r="Q899" s="2" t="s">
        <v>99</v>
      </c>
      <c r="R899" s="2" t="s">
        <v>100</v>
      </c>
      <c r="S899" s="2" t="s">
        <v>2258</v>
      </c>
      <c r="T899" s="2" t="s">
        <v>100</v>
      </c>
      <c r="U899" s="2" t="s">
        <v>1459</v>
      </c>
      <c r="V899" s="2" t="s">
        <v>645</v>
      </c>
      <c r="W899" s="2" t="s">
        <v>104</v>
      </c>
      <c r="X899" s="2" t="s">
        <v>399</v>
      </c>
      <c r="Y899" s="2" t="s">
        <v>131</v>
      </c>
      <c r="Z899" s="4"/>
      <c r="AA899" s="4">
        <f>=ROUNDDOWN({0},0)</f>
      </c>
      <c r="AB899" s="5"/>
      <c r="AC899" s="2" t="s">
        <v>100</v>
      </c>
      <c r="AD899" s="4"/>
      <c r="AE899" s="4"/>
      <c r="AF899" s="6"/>
      <c r="AG899" s="6"/>
      <c r="AH899" s="7">
        <v>0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/>
      <c r="BD899" s="8"/>
      <c r="BE899" s="4"/>
      <c r="BF899" s="8"/>
      <c r="BG899" s="7"/>
      <c r="BH899" s="7"/>
      <c r="BI899" s="7"/>
      <c r="BJ899" s="4"/>
      <c r="BK899" s="8"/>
      <c r="BL899" s="2" t="s">
        <v>100</v>
      </c>
      <c r="BM899" s="7"/>
      <c r="BN899" s="7"/>
      <c r="BO899" s="4"/>
      <c r="BP899" s="8"/>
      <c r="BQ899" s="4"/>
      <c r="BR899" s="8"/>
      <c r="BS899" s="7"/>
      <c r="BT899" s="7"/>
      <c r="BU899" s="2" t="s">
        <v>109</v>
      </c>
      <c r="BV899" s="2" t="s">
        <v>97</v>
      </c>
      <c r="BW899" s="2" t="s">
        <v>1159</v>
      </c>
      <c r="BX899" s="2" t="s">
        <v>3161</v>
      </c>
      <c r="BY899" s="2" t="s">
        <v>112</v>
      </c>
      <c r="BZ899" s="2" t="s">
        <v>100</v>
      </c>
    </row>
    <row r="900">
      <c r="A900" s="2" t="s">
        <v>3162</v>
      </c>
      <c r="B900" s="2" t="s">
        <v>87</v>
      </c>
      <c r="C900" s="2" t="s">
        <v>88</v>
      </c>
      <c r="D900" s="2" t="s">
        <v>3079</v>
      </c>
      <c r="E900" s="2" t="s">
        <v>3080</v>
      </c>
      <c r="F900" s="2" t="s">
        <v>1807</v>
      </c>
      <c r="G900" s="2" t="s">
        <v>1808</v>
      </c>
      <c r="H900" s="2" t="s">
        <v>984</v>
      </c>
      <c r="I900" s="2" t="s">
        <v>3163</v>
      </c>
      <c r="J900" s="2" t="s">
        <v>785</v>
      </c>
      <c r="K900" s="2" t="s">
        <v>1555</v>
      </c>
      <c r="L900" s="3">
        <v>53.9</v>
      </c>
      <c r="M900" s="3">
        <v>56.59</v>
      </c>
      <c r="N900" s="3">
        <v>109.99</v>
      </c>
      <c r="O900" s="2" t="s">
        <v>97</v>
      </c>
      <c r="P900" s="2" t="s">
        <v>98</v>
      </c>
      <c r="Q900" s="2" t="s">
        <v>99</v>
      </c>
      <c r="R900" s="2" t="s">
        <v>100</v>
      </c>
      <c r="S900" s="2" t="s">
        <v>3164</v>
      </c>
      <c r="T900" s="2" t="s">
        <v>100</v>
      </c>
      <c r="U900" s="2" t="s">
        <v>676</v>
      </c>
      <c r="V900" s="2" t="s">
        <v>1112</v>
      </c>
      <c r="W900" s="2" t="s">
        <v>756</v>
      </c>
      <c r="X900" s="2" t="s">
        <v>563</v>
      </c>
      <c r="Y900" s="2" t="s">
        <v>1816</v>
      </c>
      <c r="Z900" s="4">
        <v>271</v>
      </c>
      <c r="AA900" s="4">
        <f>=ROUNDDOWN(54.2,0)</f>
      </c>
      <c r="AB900" s="5">
        <v>5</v>
      </c>
      <c r="AC900" s="2" t="s">
        <v>429</v>
      </c>
      <c r="AD900" s="4">
        <v>100</v>
      </c>
      <c r="AE900" s="4">
        <v>150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/>
      <c r="BJ900" s="4">
        <v>2</v>
      </c>
      <c r="BK900" s="8">
        <v>107.86</v>
      </c>
      <c r="BL900" s="2" t="s">
        <v>1077</v>
      </c>
      <c r="BM900" s="7"/>
      <c r="BN900" s="7"/>
      <c r="BO900" s="4"/>
      <c r="BP900" s="8"/>
      <c r="BQ900" s="4"/>
      <c r="BR900" s="8"/>
      <c r="BS900" s="7"/>
      <c r="BT900" s="7"/>
      <c r="BU900" s="2" t="s">
        <v>109</v>
      </c>
      <c r="BV900" s="2" t="s">
        <v>97</v>
      </c>
      <c r="BW900" s="2" t="s">
        <v>3165</v>
      </c>
      <c r="BX900" s="2" t="s">
        <v>3166</v>
      </c>
      <c r="BY900" s="2" t="s">
        <v>112</v>
      </c>
      <c r="BZ900" s="2" t="s">
        <v>100</v>
      </c>
    </row>
    <row r="901">
      <c r="A901" s="2" t="s">
        <v>3167</v>
      </c>
      <c r="B901" s="2" t="s">
        <v>87</v>
      </c>
      <c r="C901" s="2" t="s">
        <v>88</v>
      </c>
      <c r="D901" s="2" t="s">
        <v>3079</v>
      </c>
      <c r="E901" s="2" t="s">
        <v>3080</v>
      </c>
      <c r="F901" s="2" t="s">
        <v>1807</v>
      </c>
      <c r="G901" s="2" t="s">
        <v>1808</v>
      </c>
      <c r="H901" s="2" t="s">
        <v>984</v>
      </c>
      <c r="I901" s="2" t="s">
        <v>3163</v>
      </c>
      <c r="J901" s="2" t="s">
        <v>795</v>
      </c>
      <c r="K901" s="2" t="s">
        <v>1555</v>
      </c>
      <c r="L901" s="3">
        <v>58.8</v>
      </c>
      <c r="M901" s="3">
        <v>61.73</v>
      </c>
      <c r="N901" s="3">
        <v>119.99</v>
      </c>
      <c r="O901" s="2" t="s">
        <v>97</v>
      </c>
      <c r="P901" s="2" t="s">
        <v>98</v>
      </c>
      <c r="Q901" s="2" t="s">
        <v>99</v>
      </c>
      <c r="R901" s="2" t="s">
        <v>100</v>
      </c>
      <c r="S901" s="2" t="s">
        <v>3164</v>
      </c>
      <c r="T901" s="2" t="s">
        <v>100</v>
      </c>
      <c r="U901" s="2" t="s">
        <v>676</v>
      </c>
      <c r="V901" s="2" t="s">
        <v>1112</v>
      </c>
      <c r="W901" s="2" t="s">
        <v>756</v>
      </c>
      <c r="X901" s="2" t="s">
        <v>563</v>
      </c>
      <c r="Y901" s="2" t="s">
        <v>1816</v>
      </c>
      <c r="Z901" s="4">
        <v>343</v>
      </c>
      <c r="AA901" s="4">
        <f>=ROUNDDOWN(57.1666666666667,0)</f>
      </c>
      <c r="AB901" s="5">
        <v>6</v>
      </c>
      <c r="AC901" s="2" t="s">
        <v>429</v>
      </c>
      <c r="AD901" s="4">
        <v>100</v>
      </c>
      <c r="AE901" s="4">
        <v>300</v>
      </c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>
        <v>0</v>
      </c>
      <c r="AP901" s="4"/>
      <c r="AQ901" s="8"/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/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/>
      <c r="BJ901" s="4">
        <v>1</v>
      </c>
      <c r="BK901" s="8">
        <v>50.06</v>
      </c>
      <c r="BL901" s="2" t="s">
        <v>133</v>
      </c>
      <c r="BM901" s="7"/>
      <c r="BN901" s="7"/>
      <c r="BO901" s="4"/>
      <c r="BP901" s="8"/>
      <c r="BQ901" s="4"/>
      <c r="BR901" s="8"/>
      <c r="BS901" s="7"/>
      <c r="BT901" s="7"/>
      <c r="BU901" s="2" t="s">
        <v>109</v>
      </c>
      <c r="BV901" s="2" t="s">
        <v>97</v>
      </c>
      <c r="BW901" s="2" t="s">
        <v>3168</v>
      </c>
      <c r="BX901" s="2" t="s">
        <v>564</v>
      </c>
      <c r="BY901" s="2" t="s">
        <v>112</v>
      </c>
      <c r="BZ901" s="2" t="s">
        <v>100</v>
      </c>
    </row>
    <row r="902">
      <c r="A902" s="2" t="s">
        <v>3169</v>
      </c>
      <c r="B902" s="2" t="s">
        <v>87</v>
      </c>
      <c r="C902" s="2" t="s">
        <v>88</v>
      </c>
      <c r="D902" s="2" t="s">
        <v>3079</v>
      </c>
      <c r="E902" s="2" t="s">
        <v>3080</v>
      </c>
      <c r="F902" s="2" t="s">
        <v>1807</v>
      </c>
      <c r="G902" s="2" t="s">
        <v>1808</v>
      </c>
      <c r="H902" s="2" t="s">
        <v>984</v>
      </c>
      <c r="I902" s="2" t="s">
        <v>3163</v>
      </c>
      <c r="J902" s="2" t="s">
        <v>785</v>
      </c>
      <c r="K902" s="2" t="s">
        <v>434</v>
      </c>
      <c r="L902" s="3">
        <v>53.9</v>
      </c>
      <c r="M902" s="3">
        <v>56.59</v>
      </c>
      <c r="N902" s="3">
        <v>109.99</v>
      </c>
      <c r="O902" s="2" t="s">
        <v>97</v>
      </c>
      <c r="P902" s="2" t="s">
        <v>98</v>
      </c>
      <c r="Q902" s="2" t="s">
        <v>99</v>
      </c>
      <c r="R902" s="2" t="s">
        <v>100</v>
      </c>
      <c r="S902" s="2" t="s">
        <v>100</v>
      </c>
      <c r="T902" s="2" t="s">
        <v>100</v>
      </c>
      <c r="U902" s="2" t="s">
        <v>676</v>
      </c>
      <c r="V902" s="2" t="s">
        <v>1112</v>
      </c>
      <c r="W902" s="2" t="s">
        <v>756</v>
      </c>
      <c r="X902" s="2" t="s">
        <v>563</v>
      </c>
      <c r="Y902" s="2" t="s">
        <v>1810</v>
      </c>
      <c r="Z902" s="4">
        <v>110</v>
      </c>
      <c r="AA902" s="4">
        <f>=ROUNDDOWN(36.6666666666667,0)</f>
      </c>
      <c r="AB902" s="5">
        <v>3</v>
      </c>
      <c r="AC902" s="2" t="s">
        <v>429</v>
      </c>
      <c r="AD902" s="4">
        <v>50</v>
      </c>
      <c r="AE902" s="4">
        <v>170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/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/>
      <c r="BJ902" s="4">
        <v>2</v>
      </c>
      <c r="BK902" s="8">
        <v>99.19</v>
      </c>
      <c r="BL902" s="2" t="s">
        <v>534</v>
      </c>
      <c r="BM902" s="7"/>
      <c r="BN902" s="7"/>
      <c r="BO902" s="4"/>
      <c r="BP902" s="8"/>
      <c r="BQ902" s="4"/>
      <c r="BR902" s="8"/>
      <c r="BS902" s="7"/>
      <c r="BT902" s="7"/>
      <c r="BU902" s="2" t="s">
        <v>109</v>
      </c>
      <c r="BV902" s="2" t="s">
        <v>97</v>
      </c>
      <c r="BW902" s="2" t="s">
        <v>1159</v>
      </c>
      <c r="BX902" s="2" t="s">
        <v>3170</v>
      </c>
      <c r="BY902" s="2" t="s">
        <v>112</v>
      </c>
      <c r="BZ902" s="2" t="s">
        <v>100</v>
      </c>
    </row>
    <row r="903">
      <c r="A903" s="2" t="s">
        <v>3171</v>
      </c>
      <c r="B903" s="2" t="s">
        <v>87</v>
      </c>
      <c r="C903" s="2" t="s">
        <v>88</v>
      </c>
      <c r="D903" s="2" t="s">
        <v>3079</v>
      </c>
      <c r="E903" s="2" t="s">
        <v>3080</v>
      </c>
      <c r="F903" s="2" t="s">
        <v>1807</v>
      </c>
      <c r="G903" s="2" t="s">
        <v>1808</v>
      </c>
      <c r="H903" s="2" t="s">
        <v>984</v>
      </c>
      <c r="I903" s="2" t="s">
        <v>3163</v>
      </c>
      <c r="J903" s="2" t="s">
        <v>795</v>
      </c>
      <c r="K903" s="2" t="s">
        <v>434</v>
      </c>
      <c r="L903" s="3">
        <v>58.8</v>
      </c>
      <c r="M903" s="3">
        <v>61.73</v>
      </c>
      <c r="N903" s="3">
        <v>119.99</v>
      </c>
      <c r="O903" s="2" t="s">
        <v>97</v>
      </c>
      <c r="P903" s="2" t="s">
        <v>98</v>
      </c>
      <c r="Q903" s="2" t="s">
        <v>99</v>
      </c>
      <c r="R903" s="2" t="s">
        <v>100</v>
      </c>
      <c r="S903" s="2" t="s">
        <v>100</v>
      </c>
      <c r="T903" s="2" t="s">
        <v>100</v>
      </c>
      <c r="U903" s="2" t="s">
        <v>676</v>
      </c>
      <c r="V903" s="2" t="s">
        <v>1112</v>
      </c>
      <c r="W903" s="2" t="s">
        <v>756</v>
      </c>
      <c r="X903" s="2" t="s">
        <v>563</v>
      </c>
      <c r="Y903" s="2" t="s">
        <v>1810</v>
      </c>
      <c r="Z903" s="4">
        <v>148</v>
      </c>
      <c r="AA903" s="4">
        <f>=ROUNDDOWN(74,0)</f>
      </c>
      <c r="AB903" s="5">
        <v>2</v>
      </c>
      <c r="AC903" s="2" t="s">
        <v>429</v>
      </c>
      <c r="AD903" s="4">
        <v>70</v>
      </c>
      <c r="AE903" s="4">
        <v>160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/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/>
      <c r="BJ903" s="4"/>
      <c r="BK903" s="8"/>
      <c r="BL903" s="2" t="s">
        <v>100</v>
      </c>
      <c r="BM903" s="7"/>
      <c r="BN903" s="7"/>
      <c r="BO903" s="4"/>
      <c r="BP903" s="8"/>
      <c r="BQ903" s="4"/>
      <c r="BR903" s="8"/>
      <c r="BS903" s="7"/>
      <c r="BT903" s="7"/>
      <c r="BU903" s="2" t="s">
        <v>109</v>
      </c>
      <c r="BV903" s="2" t="s">
        <v>97</v>
      </c>
      <c r="BW903" s="2" t="s">
        <v>1159</v>
      </c>
      <c r="BX903" s="2" t="s">
        <v>3172</v>
      </c>
      <c r="BY903" s="2" t="s">
        <v>112</v>
      </c>
      <c r="BZ903" s="2" t="s">
        <v>100</v>
      </c>
    </row>
    <row r="904">
      <c r="A904" s="2" t="s">
        <v>3173</v>
      </c>
      <c r="B904" s="2" t="s">
        <v>87</v>
      </c>
      <c r="C904" s="2" t="s">
        <v>88</v>
      </c>
      <c r="D904" s="2" t="s">
        <v>3079</v>
      </c>
      <c r="E904" s="2" t="s">
        <v>3080</v>
      </c>
      <c r="F904" s="2" t="s">
        <v>1837</v>
      </c>
      <c r="G904" s="2" t="s">
        <v>1624</v>
      </c>
      <c r="H904" s="2" t="s">
        <v>1838</v>
      </c>
      <c r="I904" s="2" t="s">
        <v>3081</v>
      </c>
      <c r="J904" s="2" t="s">
        <v>114</v>
      </c>
      <c r="K904" s="2" t="s">
        <v>146</v>
      </c>
      <c r="L904" s="3">
        <v>54.99</v>
      </c>
      <c r="M904" s="3">
        <v>57.74</v>
      </c>
      <c r="N904" s="3">
        <v>109.99</v>
      </c>
      <c r="O904" s="2" t="s">
        <v>473</v>
      </c>
      <c r="P904" s="2" t="s">
        <v>447</v>
      </c>
      <c r="Q904" s="2" t="s">
        <v>99</v>
      </c>
      <c r="R904" s="2" t="s">
        <v>100</v>
      </c>
      <c r="S904" s="2" t="s">
        <v>1839</v>
      </c>
      <c r="T904" s="2" t="s">
        <v>100</v>
      </c>
      <c r="U904" s="2" t="s">
        <v>676</v>
      </c>
      <c r="V904" s="2" t="s">
        <v>677</v>
      </c>
      <c r="W904" s="2" t="s">
        <v>104</v>
      </c>
      <c r="X904" s="2" t="s">
        <v>450</v>
      </c>
      <c r="Y904" s="2" t="s">
        <v>131</v>
      </c>
      <c r="Z904" s="4">
        <v>72</v>
      </c>
      <c r="AA904" s="4">
        <f>=ROUNDDOWN(40,0)</f>
      </c>
      <c r="AB904" s="5">
        <v>1.8</v>
      </c>
      <c r="AC904" s="2" t="s">
        <v>100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 t="s">
        <v>100</v>
      </c>
      <c r="AW904" s="8" t="s">
        <v>100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/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/>
      <c r="BJ904" s="4">
        <v>1</v>
      </c>
      <c r="BK904" s="8">
        <v>56.44</v>
      </c>
      <c r="BL904" s="2" t="s">
        <v>441</v>
      </c>
      <c r="BM904" s="7"/>
      <c r="BN904" s="7"/>
      <c r="BO904" s="4"/>
      <c r="BP904" s="8"/>
      <c r="BQ904" s="4"/>
      <c r="BR904" s="8"/>
      <c r="BS904" s="7"/>
      <c r="BT904" s="7"/>
      <c r="BU904" s="2" t="s">
        <v>109</v>
      </c>
      <c r="BV904" s="2" t="s">
        <v>97</v>
      </c>
      <c r="BW904" s="2" t="s">
        <v>1159</v>
      </c>
      <c r="BX904" s="2" t="s">
        <v>3110</v>
      </c>
      <c r="BY904" s="2" t="s">
        <v>112</v>
      </c>
      <c r="BZ904" s="2" t="s">
        <v>100</v>
      </c>
    </row>
    <row r="905">
      <c r="A905" s="2" t="s">
        <v>3174</v>
      </c>
      <c r="B905" s="2" t="s">
        <v>87</v>
      </c>
      <c r="C905" s="2" t="s">
        <v>88</v>
      </c>
      <c r="D905" s="2" t="s">
        <v>3079</v>
      </c>
      <c r="E905" s="2" t="s">
        <v>3080</v>
      </c>
      <c r="F905" s="2" t="s">
        <v>1837</v>
      </c>
      <c r="G905" s="2" t="s">
        <v>1624</v>
      </c>
      <c r="H905" s="2" t="s">
        <v>1838</v>
      </c>
      <c r="I905" s="2" t="s">
        <v>3081</v>
      </c>
      <c r="J905" s="2" t="s">
        <v>120</v>
      </c>
      <c r="K905" s="2" t="s">
        <v>146</v>
      </c>
      <c r="L905" s="3">
        <v>59.99</v>
      </c>
      <c r="M905" s="3">
        <v>62.99</v>
      </c>
      <c r="N905" s="3">
        <v>119.99</v>
      </c>
      <c r="O905" s="2" t="s">
        <v>473</v>
      </c>
      <c r="P905" s="2" t="s">
        <v>447</v>
      </c>
      <c r="Q905" s="2" t="s">
        <v>99</v>
      </c>
      <c r="R905" s="2" t="s">
        <v>100</v>
      </c>
      <c r="S905" s="2" t="s">
        <v>1839</v>
      </c>
      <c r="T905" s="2" t="s">
        <v>100</v>
      </c>
      <c r="U905" s="2" t="s">
        <v>676</v>
      </c>
      <c r="V905" s="2" t="s">
        <v>677</v>
      </c>
      <c r="W905" s="2" t="s">
        <v>104</v>
      </c>
      <c r="X905" s="2" t="s">
        <v>450</v>
      </c>
      <c r="Y905" s="2" t="s">
        <v>131</v>
      </c>
      <c r="Z905" s="4">
        <v>46</v>
      </c>
      <c r="AA905" s="4">
        <f>=ROUNDDOWN(28.75,0)</f>
      </c>
      <c r="AB905" s="5">
        <v>1.6</v>
      </c>
      <c r="AC905" s="2" t="s">
        <v>100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/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/>
      <c r="BJ905" s="4">
        <v>2</v>
      </c>
      <c r="BK905" s="8">
        <v>137.66</v>
      </c>
      <c r="BL905" s="2" t="s">
        <v>273</v>
      </c>
      <c r="BM905" s="7"/>
      <c r="BN905" s="7"/>
      <c r="BO905" s="4"/>
      <c r="BP905" s="8"/>
      <c r="BQ905" s="4"/>
      <c r="BR905" s="8"/>
      <c r="BS905" s="7"/>
      <c r="BT905" s="7"/>
      <c r="BU905" s="2" t="s">
        <v>109</v>
      </c>
      <c r="BV905" s="2" t="s">
        <v>97</v>
      </c>
      <c r="BW905" s="2" t="s">
        <v>1159</v>
      </c>
      <c r="BX905" s="2" t="s">
        <v>2829</v>
      </c>
      <c r="BY905" s="2" t="s">
        <v>112</v>
      </c>
      <c r="BZ905" s="2" t="s">
        <v>100</v>
      </c>
    </row>
    <row r="906">
      <c r="A906" s="2" t="s">
        <v>3175</v>
      </c>
      <c r="B906" s="2" t="s">
        <v>87</v>
      </c>
      <c r="C906" s="2" t="s">
        <v>88</v>
      </c>
      <c r="D906" s="2" t="s">
        <v>3079</v>
      </c>
      <c r="E906" s="2" t="s">
        <v>3176</v>
      </c>
      <c r="F906" s="2" t="s">
        <v>1478</v>
      </c>
      <c r="G906" s="2" t="s">
        <v>1479</v>
      </c>
      <c r="H906" s="2" t="s">
        <v>1480</v>
      </c>
      <c r="I906" s="2" t="s">
        <v>3177</v>
      </c>
      <c r="J906" s="2" t="s">
        <v>785</v>
      </c>
      <c r="K906" s="2" t="s">
        <v>253</v>
      </c>
      <c r="L906" s="3">
        <v>32.2</v>
      </c>
      <c r="M906" s="3">
        <v>33.81</v>
      </c>
      <c r="N906" s="3">
        <v>69.99</v>
      </c>
      <c r="O906" s="2" t="s">
        <v>97</v>
      </c>
      <c r="P906" s="2" t="s">
        <v>98</v>
      </c>
      <c r="Q906" s="2" t="s">
        <v>99</v>
      </c>
      <c r="R906" s="2" t="s">
        <v>100</v>
      </c>
      <c r="S906" s="2" t="s">
        <v>1482</v>
      </c>
      <c r="T906" s="2" t="s">
        <v>100</v>
      </c>
      <c r="U906" s="2" t="s">
        <v>1508</v>
      </c>
      <c r="V906" s="2" t="s">
        <v>677</v>
      </c>
      <c r="W906" s="2" t="s">
        <v>1064</v>
      </c>
      <c r="X906" s="2" t="s">
        <v>1483</v>
      </c>
      <c r="Y906" s="2" t="s">
        <v>1484</v>
      </c>
      <c r="Z906" s="4">
        <v>381</v>
      </c>
      <c r="AA906" s="4">
        <f>=ROUNDDOWN(34.6363636363636,0)</f>
      </c>
      <c r="AB906" s="5">
        <v>11</v>
      </c>
      <c r="AC906" s="2" t="s">
        <v>132</v>
      </c>
      <c r="AD906" s="4">
        <v>30</v>
      </c>
      <c r="AE906" s="4">
        <v>260</v>
      </c>
      <c r="AF906" s="6">
        <v>65</v>
      </c>
      <c r="AG906" s="6">
        <v>73</v>
      </c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>
        <v>2</v>
      </c>
      <c r="AW906" s="8">
        <v>77.42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/>
      <c r="BC906" s="4">
        <v>2</v>
      </c>
      <c r="BD906" s="8">
        <v>77.42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>
        <v>1</v>
      </c>
      <c r="BJ906" s="4">
        <v>6</v>
      </c>
      <c r="BK906" s="8">
        <v>200.12</v>
      </c>
      <c r="BL906" s="2" t="s">
        <v>3178</v>
      </c>
      <c r="BM906" s="7"/>
      <c r="BN906" s="7"/>
      <c r="BO906" s="4"/>
      <c r="BP906" s="8"/>
      <c r="BQ906" s="4"/>
      <c r="BR906" s="8"/>
      <c r="BS906" s="7"/>
      <c r="BT906" s="7"/>
      <c r="BU906" s="2" t="s">
        <v>109</v>
      </c>
      <c r="BV906" s="2" t="s">
        <v>97</v>
      </c>
      <c r="BW906" s="2" t="s">
        <v>326</v>
      </c>
      <c r="BX906" s="2" t="s">
        <v>2514</v>
      </c>
      <c r="BY906" s="2" t="s">
        <v>112</v>
      </c>
      <c r="BZ906" s="2" t="s">
        <v>100</v>
      </c>
    </row>
    <row r="907">
      <c r="A907" s="2" t="s">
        <v>3179</v>
      </c>
      <c r="B907" s="2" t="s">
        <v>87</v>
      </c>
      <c r="C907" s="2" t="s">
        <v>88</v>
      </c>
      <c r="D907" s="2" t="s">
        <v>3079</v>
      </c>
      <c r="E907" s="2" t="s">
        <v>3176</v>
      </c>
      <c r="F907" s="2" t="s">
        <v>1478</v>
      </c>
      <c r="G907" s="2" t="s">
        <v>1479</v>
      </c>
      <c r="H907" s="2" t="s">
        <v>1480</v>
      </c>
      <c r="I907" s="2" t="s">
        <v>3177</v>
      </c>
      <c r="J907" s="2" t="s">
        <v>795</v>
      </c>
      <c r="K907" s="2" t="s">
        <v>253</v>
      </c>
      <c r="L907" s="3">
        <v>36.8</v>
      </c>
      <c r="M907" s="3">
        <v>38.64</v>
      </c>
      <c r="N907" s="3">
        <v>79.99</v>
      </c>
      <c r="O907" s="2" t="s">
        <v>97</v>
      </c>
      <c r="P907" s="2" t="s">
        <v>98</v>
      </c>
      <c r="Q907" s="2" t="s">
        <v>99</v>
      </c>
      <c r="R907" s="2" t="s">
        <v>100</v>
      </c>
      <c r="S907" s="2" t="s">
        <v>1482</v>
      </c>
      <c r="T907" s="2" t="s">
        <v>100</v>
      </c>
      <c r="U907" s="2" t="s">
        <v>1508</v>
      </c>
      <c r="V907" s="2" t="s">
        <v>677</v>
      </c>
      <c r="W907" s="2" t="s">
        <v>1064</v>
      </c>
      <c r="X907" s="2" t="s">
        <v>1483</v>
      </c>
      <c r="Y907" s="2" t="s">
        <v>1484</v>
      </c>
      <c r="Z907" s="4">
        <v>243</v>
      </c>
      <c r="AA907" s="4">
        <f>=ROUNDDOWN(15.1875,0)</f>
      </c>
      <c r="AB907" s="5">
        <v>16</v>
      </c>
      <c r="AC907" s="2" t="s">
        <v>132</v>
      </c>
      <c r="AD907" s="4">
        <v>30</v>
      </c>
      <c r="AE907" s="4">
        <v>520</v>
      </c>
      <c r="AF907" s="6">
        <v>65</v>
      </c>
      <c r="AG907" s="6">
        <v>73</v>
      </c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>
        <v>2</v>
      </c>
      <c r="AQ907" s="8">
        <v>77.42</v>
      </c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>
        <v>1</v>
      </c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11</v>
      </c>
      <c r="BK907" s="8">
        <v>448.04</v>
      </c>
      <c r="BL907" s="2" t="s">
        <v>3180</v>
      </c>
      <c r="BM907" s="7">
        <v>0.1818</v>
      </c>
      <c r="BN907" s="7">
        <v>0.1728</v>
      </c>
      <c r="BO907" s="4">
        <v>2</v>
      </c>
      <c r="BP907" s="8">
        <v>77.42</v>
      </c>
      <c r="BQ907" s="4"/>
      <c r="BR907" s="8"/>
      <c r="BS907" s="7"/>
      <c r="BT907" s="7"/>
      <c r="BU907" s="2" t="s">
        <v>109</v>
      </c>
      <c r="BV907" s="2" t="s">
        <v>97</v>
      </c>
      <c r="BW907" s="2" t="s">
        <v>326</v>
      </c>
      <c r="BX907" s="2" t="s">
        <v>2288</v>
      </c>
      <c r="BY907" s="2" t="s">
        <v>112</v>
      </c>
      <c r="BZ907" s="2" t="s">
        <v>100</v>
      </c>
    </row>
    <row r="908">
      <c r="A908" s="2" t="s">
        <v>3181</v>
      </c>
      <c r="B908" s="2" t="s">
        <v>87</v>
      </c>
      <c r="C908" s="2" t="s">
        <v>88</v>
      </c>
      <c r="D908" s="2" t="s">
        <v>3079</v>
      </c>
      <c r="E908" s="2" t="s">
        <v>3176</v>
      </c>
      <c r="F908" s="2" t="s">
        <v>1478</v>
      </c>
      <c r="G908" s="2" t="s">
        <v>1479</v>
      </c>
      <c r="H908" s="2" t="s">
        <v>1480</v>
      </c>
      <c r="I908" s="2" t="s">
        <v>3177</v>
      </c>
      <c r="J908" s="2" t="s">
        <v>785</v>
      </c>
      <c r="K908" s="2" t="s">
        <v>357</v>
      </c>
      <c r="L908" s="3">
        <v>32.2</v>
      </c>
      <c r="M908" s="3">
        <v>33.81</v>
      </c>
      <c r="N908" s="3">
        <v>69.99</v>
      </c>
      <c r="O908" s="2" t="s">
        <v>97</v>
      </c>
      <c r="P908" s="2" t="s">
        <v>447</v>
      </c>
      <c r="Q908" s="2" t="s">
        <v>99</v>
      </c>
      <c r="R908" s="2" t="s">
        <v>100</v>
      </c>
      <c r="S908" s="2" t="s">
        <v>3182</v>
      </c>
      <c r="T908" s="2" t="s">
        <v>100</v>
      </c>
      <c r="U908" s="2" t="s">
        <v>1508</v>
      </c>
      <c r="V908" s="2" t="s">
        <v>677</v>
      </c>
      <c r="W908" s="2" t="s">
        <v>1064</v>
      </c>
      <c r="X908" s="2" t="s">
        <v>646</v>
      </c>
      <c r="Y908" s="2" t="s">
        <v>1494</v>
      </c>
      <c r="Z908" s="4">
        <v>125</v>
      </c>
      <c r="AA908" s="4">
        <f>=ROUNDDOWN(17.8571428571429,0)</f>
      </c>
      <c r="AB908" s="5">
        <v>7</v>
      </c>
      <c r="AC908" s="2" t="s">
        <v>100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/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 t="s">
        <v>100</v>
      </c>
      <c r="BJ908" s="4">
        <v>4</v>
      </c>
      <c r="BK908" s="8">
        <v>149.77</v>
      </c>
      <c r="BL908" s="2" t="s">
        <v>1353</v>
      </c>
      <c r="BM908" s="7"/>
      <c r="BN908" s="7"/>
      <c r="BO908" s="4"/>
      <c r="BP908" s="8"/>
      <c r="BQ908" s="4"/>
      <c r="BR908" s="8"/>
      <c r="BS908" s="7"/>
      <c r="BT908" s="7"/>
      <c r="BU908" s="2" t="s">
        <v>3088</v>
      </c>
      <c r="BV908" s="2" t="s">
        <v>97</v>
      </c>
      <c r="BW908" s="2" t="s">
        <v>100</v>
      </c>
      <c r="BX908" s="2" t="s">
        <v>100</v>
      </c>
      <c r="BY908" s="2" t="s">
        <v>112</v>
      </c>
      <c r="BZ908" s="2" t="s">
        <v>100</v>
      </c>
    </row>
    <row r="909">
      <c r="A909" s="2" t="s">
        <v>3183</v>
      </c>
      <c r="B909" s="2" t="s">
        <v>87</v>
      </c>
      <c r="C909" s="2" t="s">
        <v>88</v>
      </c>
      <c r="D909" s="2" t="s">
        <v>3079</v>
      </c>
      <c r="E909" s="2" t="s">
        <v>3176</v>
      </c>
      <c r="F909" s="2" t="s">
        <v>1478</v>
      </c>
      <c r="G909" s="2" t="s">
        <v>1479</v>
      </c>
      <c r="H909" s="2" t="s">
        <v>1480</v>
      </c>
      <c r="I909" s="2" t="s">
        <v>3177</v>
      </c>
      <c r="J909" s="2" t="s">
        <v>795</v>
      </c>
      <c r="K909" s="2" t="s">
        <v>357</v>
      </c>
      <c r="L909" s="3">
        <v>36.8</v>
      </c>
      <c r="M909" s="3">
        <v>38.64</v>
      </c>
      <c r="N909" s="3">
        <v>79.99</v>
      </c>
      <c r="O909" s="2" t="s">
        <v>97</v>
      </c>
      <c r="P909" s="2" t="s">
        <v>447</v>
      </c>
      <c r="Q909" s="2" t="s">
        <v>99</v>
      </c>
      <c r="R909" s="2" t="s">
        <v>100</v>
      </c>
      <c r="S909" s="2" t="s">
        <v>3182</v>
      </c>
      <c r="T909" s="2" t="s">
        <v>100</v>
      </c>
      <c r="U909" s="2" t="s">
        <v>1508</v>
      </c>
      <c r="V909" s="2" t="s">
        <v>677</v>
      </c>
      <c r="W909" s="2" t="s">
        <v>1064</v>
      </c>
      <c r="X909" s="2" t="s">
        <v>646</v>
      </c>
      <c r="Y909" s="2" t="s">
        <v>1494</v>
      </c>
      <c r="Z909" s="4">
        <v>127</v>
      </c>
      <c r="AA909" s="4">
        <f>=ROUNDDOWN(21.1666666666667,0)</f>
      </c>
      <c r="AB909" s="5">
        <v>6</v>
      </c>
      <c r="AC909" s="2" t="s">
        <v>100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/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 t="s">
        <v>100</v>
      </c>
      <c r="BJ909" s="4">
        <v>1</v>
      </c>
      <c r="BK909" s="8">
        <v>37.57</v>
      </c>
      <c r="BL909" s="2" t="s">
        <v>715</v>
      </c>
      <c r="BM909" s="7"/>
      <c r="BN909" s="7"/>
      <c r="BO909" s="4"/>
      <c r="BP909" s="8"/>
      <c r="BQ909" s="4"/>
      <c r="BR909" s="8"/>
      <c r="BS909" s="7"/>
      <c r="BT909" s="7"/>
      <c r="BU909" s="2" t="s">
        <v>3088</v>
      </c>
      <c r="BV909" s="2" t="s">
        <v>97</v>
      </c>
      <c r="BW909" s="2" t="s">
        <v>100</v>
      </c>
      <c r="BX909" s="2" t="s">
        <v>100</v>
      </c>
      <c r="BY909" s="2" t="s">
        <v>112</v>
      </c>
      <c r="BZ909" s="2" t="s">
        <v>100</v>
      </c>
    </row>
    <row r="910">
      <c r="A910" s="2" t="s">
        <v>3184</v>
      </c>
      <c r="B910" s="2" t="s">
        <v>87</v>
      </c>
      <c r="C910" s="2" t="s">
        <v>88</v>
      </c>
      <c r="D910" s="2" t="s">
        <v>3079</v>
      </c>
      <c r="E910" s="2" t="s">
        <v>3176</v>
      </c>
      <c r="F910" s="2" t="s">
        <v>1200</v>
      </c>
      <c r="G910" s="2" t="s">
        <v>1201</v>
      </c>
      <c r="H910" s="2" t="s">
        <v>1202</v>
      </c>
      <c r="I910" s="2" t="s">
        <v>3185</v>
      </c>
      <c r="J910" s="2" t="s">
        <v>785</v>
      </c>
      <c r="K910" s="2" t="s">
        <v>253</v>
      </c>
      <c r="L910" s="3">
        <v>42.85</v>
      </c>
      <c r="M910" s="3">
        <v>44.99</v>
      </c>
      <c r="N910" s="3">
        <v>89.99</v>
      </c>
      <c r="O910" s="2" t="s">
        <v>97</v>
      </c>
      <c r="P910" s="2" t="s">
        <v>447</v>
      </c>
      <c r="Q910" s="2" t="s">
        <v>99</v>
      </c>
      <c r="R910" s="2" t="s">
        <v>100</v>
      </c>
      <c r="S910" s="2" t="s">
        <v>3186</v>
      </c>
      <c r="T910" s="2" t="s">
        <v>100</v>
      </c>
      <c r="U910" s="2" t="s">
        <v>1508</v>
      </c>
      <c r="V910" s="2" t="s">
        <v>805</v>
      </c>
      <c r="W910" s="2" t="s">
        <v>976</v>
      </c>
      <c r="X910" s="2" t="s">
        <v>1205</v>
      </c>
      <c r="Y910" s="2" t="s">
        <v>1206</v>
      </c>
      <c r="Z910" s="4">
        <v>104</v>
      </c>
      <c r="AA910" s="4">
        <f>=ROUNDDOWN(31.5151515151515,0)</f>
      </c>
      <c r="AB910" s="5">
        <v>3.3</v>
      </c>
      <c r="AC910" s="2" t="s">
        <v>100</v>
      </c>
      <c r="AD910" s="4"/>
      <c r="AE910" s="4"/>
      <c r="AF910" s="6">
        <v>66</v>
      </c>
      <c r="AG910" s="6"/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/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/>
      <c r="BJ910" s="4">
        <v>4</v>
      </c>
      <c r="BK910" s="8">
        <v>114.74</v>
      </c>
      <c r="BL910" s="2" t="s">
        <v>741</v>
      </c>
      <c r="BM910" s="7"/>
      <c r="BN910" s="7"/>
      <c r="BO910" s="4"/>
      <c r="BP910" s="8"/>
      <c r="BQ910" s="4"/>
      <c r="BR910" s="8"/>
      <c r="BS910" s="7"/>
      <c r="BT910" s="7"/>
      <c r="BU910" s="2" t="s">
        <v>3088</v>
      </c>
      <c r="BV910" s="2" t="s">
        <v>97</v>
      </c>
      <c r="BW910" s="2" t="s">
        <v>100</v>
      </c>
      <c r="BX910" s="2" t="s">
        <v>100</v>
      </c>
      <c r="BY910" s="2" t="s">
        <v>112</v>
      </c>
      <c r="BZ910" s="2" t="s">
        <v>100</v>
      </c>
    </row>
    <row r="911">
      <c r="A911" s="2" t="s">
        <v>3187</v>
      </c>
      <c r="B911" s="2" t="s">
        <v>87</v>
      </c>
      <c r="C911" s="2" t="s">
        <v>88</v>
      </c>
      <c r="D911" s="2" t="s">
        <v>3079</v>
      </c>
      <c r="E911" s="2" t="s">
        <v>3176</v>
      </c>
      <c r="F911" s="2" t="s">
        <v>1200</v>
      </c>
      <c r="G911" s="2" t="s">
        <v>1201</v>
      </c>
      <c r="H911" s="2" t="s">
        <v>1202</v>
      </c>
      <c r="I911" s="2" t="s">
        <v>3185</v>
      </c>
      <c r="J911" s="2" t="s">
        <v>795</v>
      </c>
      <c r="K911" s="2" t="s">
        <v>253</v>
      </c>
      <c r="L911" s="3">
        <v>47.61</v>
      </c>
      <c r="M911" s="3">
        <v>49.99</v>
      </c>
      <c r="N911" s="3">
        <v>99.99</v>
      </c>
      <c r="O911" s="2" t="s">
        <v>97</v>
      </c>
      <c r="P911" s="2" t="s">
        <v>447</v>
      </c>
      <c r="Q911" s="2" t="s">
        <v>99</v>
      </c>
      <c r="R911" s="2" t="s">
        <v>100</v>
      </c>
      <c r="S911" s="2" t="s">
        <v>3186</v>
      </c>
      <c r="T911" s="2" t="s">
        <v>100</v>
      </c>
      <c r="U911" s="2" t="s">
        <v>1508</v>
      </c>
      <c r="V911" s="2" t="s">
        <v>805</v>
      </c>
      <c r="W911" s="2" t="s">
        <v>976</v>
      </c>
      <c r="X911" s="2" t="s">
        <v>1205</v>
      </c>
      <c r="Y911" s="2" t="s">
        <v>1206</v>
      </c>
      <c r="Z911" s="4">
        <v>142</v>
      </c>
      <c r="AA911" s="4">
        <f>=ROUNDDOWN(67.6190476190476,0)</f>
      </c>
      <c r="AB911" s="5">
        <v>2.1</v>
      </c>
      <c r="AC911" s="2" t="s">
        <v>100</v>
      </c>
      <c r="AD911" s="4"/>
      <c r="AE911" s="4"/>
      <c r="AF911" s="6">
        <v>66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/>
      <c r="AQ911" s="8"/>
      <c r="AR911" s="4"/>
      <c r="AS911" s="8"/>
      <c r="AT911" s="7"/>
      <c r="AU911" s="7"/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/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/>
      <c r="BJ911" s="4">
        <v>4</v>
      </c>
      <c r="BK911" s="8">
        <v>100</v>
      </c>
      <c r="BL911" s="2" t="s">
        <v>133</v>
      </c>
      <c r="BM911" s="7"/>
      <c r="BN911" s="7"/>
      <c r="BO911" s="4"/>
      <c r="BP911" s="8"/>
      <c r="BQ911" s="4"/>
      <c r="BR911" s="8"/>
      <c r="BS911" s="7"/>
      <c r="BT911" s="7"/>
      <c r="BU911" s="2" t="s">
        <v>3088</v>
      </c>
      <c r="BV911" s="2" t="s">
        <v>97</v>
      </c>
      <c r="BW911" s="2" t="s">
        <v>100</v>
      </c>
      <c r="BX911" s="2" t="s">
        <v>100</v>
      </c>
      <c r="BY911" s="2" t="s">
        <v>112</v>
      </c>
      <c r="BZ911" s="2" t="s">
        <v>100</v>
      </c>
    </row>
    <row r="912">
      <c r="A912" s="2" t="s">
        <v>3188</v>
      </c>
      <c r="B912" s="2" t="s">
        <v>87</v>
      </c>
      <c r="C912" s="2" t="s">
        <v>88</v>
      </c>
      <c r="D912" s="2" t="s">
        <v>3079</v>
      </c>
      <c r="E912" s="2" t="s">
        <v>3176</v>
      </c>
      <c r="F912" s="2" t="s">
        <v>2062</v>
      </c>
      <c r="G912" s="2" t="s">
        <v>2063</v>
      </c>
      <c r="H912" s="2" t="s">
        <v>2064</v>
      </c>
      <c r="I912" s="2" t="s">
        <v>3189</v>
      </c>
      <c r="J912" s="2" t="s">
        <v>785</v>
      </c>
      <c r="K912" s="2" t="s">
        <v>198</v>
      </c>
      <c r="L912" s="3">
        <v>48</v>
      </c>
      <c r="M912" s="3">
        <v>50.39</v>
      </c>
      <c r="N912" s="3">
        <v>99.99</v>
      </c>
      <c r="O912" s="2" t="s">
        <v>97</v>
      </c>
      <c r="P912" s="2" t="s">
        <v>98</v>
      </c>
      <c r="Q912" s="2" t="s">
        <v>99</v>
      </c>
      <c r="R912" s="2" t="s">
        <v>100</v>
      </c>
      <c r="S912" s="2" t="s">
        <v>2066</v>
      </c>
      <c r="T912" s="2" t="s">
        <v>100</v>
      </c>
      <c r="U912" s="2" t="s">
        <v>1508</v>
      </c>
      <c r="V912" s="2" t="s">
        <v>645</v>
      </c>
      <c r="W912" s="2" t="s">
        <v>976</v>
      </c>
      <c r="X912" s="2" t="s">
        <v>1483</v>
      </c>
      <c r="Y912" s="2" t="s">
        <v>3190</v>
      </c>
      <c r="Z912" s="4">
        <v>310</v>
      </c>
      <c r="AA912" s="4">
        <f>=ROUNDDOWN(114.814814814815,0)</f>
      </c>
      <c r="AB912" s="5">
        <v>2.7</v>
      </c>
      <c r="AC912" s="2" t="s">
        <v>100</v>
      </c>
      <c r="AD912" s="4"/>
      <c r="AE912" s="4"/>
      <c r="AF912" s="6">
        <v>65</v>
      </c>
      <c r="AG912" s="6">
        <v>73</v>
      </c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/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/>
      <c r="BJ912" s="4">
        <v>2</v>
      </c>
      <c r="BK912" s="8">
        <v>89.13</v>
      </c>
      <c r="BL912" s="2" t="s">
        <v>224</v>
      </c>
      <c r="BM912" s="7"/>
      <c r="BN912" s="7"/>
      <c r="BO912" s="4"/>
      <c r="BP912" s="8"/>
      <c r="BQ912" s="4"/>
      <c r="BR912" s="8"/>
      <c r="BS912" s="7"/>
      <c r="BT912" s="7"/>
      <c r="BU912" s="2" t="s">
        <v>109</v>
      </c>
      <c r="BV912" s="2" t="s">
        <v>97</v>
      </c>
      <c r="BW912" s="2" t="s">
        <v>1159</v>
      </c>
      <c r="BX912" s="2" t="s">
        <v>3191</v>
      </c>
      <c r="BY912" s="2" t="s">
        <v>112</v>
      </c>
      <c r="BZ912" s="2" t="s">
        <v>100</v>
      </c>
    </row>
    <row r="913">
      <c r="A913" s="2" t="s">
        <v>3192</v>
      </c>
      <c r="B913" s="2" t="s">
        <v>87</v>
      </c>
      <c r="C913" s="2" t="s">
        <v>88</v>
      </c>
      <c r="D913" s="2" t="s">
        <v>3079</v>
      </c>
      <c r="E913" s="2" t="s">
        <v>3176</v>
      </c>
      <c r="F913" s="2" t="s">
        <v>2062</v>
      </c>
      <c r="G913" s="2" t="s">
        <v>2063</v>
      </c>
      <c r="H913" s="2" t="s">
        <v>2064</v>
      </c>
      <c r="I913" s="2" t="s">
        <v>3189</v>
      </c>
      <c r="J913" s="2" t="s">
        <v>795</v>
      </c>
      <c r="K913" s="2" t="s">
        <v>198</v>
      </c>
      <c r="L913" s="3">
        <v>53.9</v>
      </c>
      <c r="M913" s="3">
        <v>56.59</v>
      </c>
      <c r="N913" s="3">
        <v>109.99</v>
      </c>
      <c r="O913" s="2" t="s">
        <v>97</v>
      </c>
      <c r="P913" s="2" t="s">
        <v>98</v>
      </c>
      <c r="Q913" s="2" t="s">
        <v>99</v>
      </c>
      <c r="R913" s="2" t="s">
        <v>100</v>
      </c>
      <c r="S913" s="2" t="s">
        <v>2066</v>
      </c>
      <c r="T913" s="2" t="s">
        <v>100</v>
      </c>
      <c r="U913" s="2" t="s">
        <v>1508</v>
      </c>
      <c r="V913" s="2" t="s">
        <v>645</v>
      </c>
      <c r="W913" s="2" t="s">
        <v>976</v>
      </c>
      <c r="X913" s="2" t="s">
        <v>1483</v>
      </c>
      <c r="Y913" s="2" t="s">
        <v>3190</v>
      </c>
      <c r="Z913" s="4">
        <v>156</v>
      </c>
      <c r="AA913" s="4">
        <f>=ROUNDDOWN(31.2,0)</f>
      </c>
      <c r="AB913" s="5">
        <v>5</v>
      </c>
      <c r="AC913" s="2" t="s">
        <v>100</v>
      </c>
      <c r="AD913" s="4"/>
      <c r="AE913" s="4"/>
      <c r="AF913" s="6">
        <v>65</v>
      </c>
      <c r="AG913" s="6">
        <v>73</v>
      </c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/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/>
      <c r="BJ913" s="4">
        <v>2</v>
      </c>
      <c r="BK913" s="8">
        <v>110</v>
      </c>
      <c r="BL913" s="2" t="s">
        <v>1310</v>
      </c>
      <c r="BM913" s="7"/>
      <c r="BN913" s="7"/>
      <c r="BO913" s="4"/>
      <c r="BP913" s="8"/>
      <c r="BQ913" s="4"/>
      <c r="BR913" s="8"/>
      <c r="BS913" s="7"/>
      <c r="BT913" s="7"/>
      <c r="BU913" s="2" t="s">
        <v>109</v>
      </c>
      <c r="BV913" s="2" t="s">
        <v>97</v>
      </c>
      <c r="BW913" s="2" t="s">
        <v>1159</v>
      </c>
      <c r="BX913" s="2" t="s">
        <v>3193</v>
      </c>
      <c r="BY913" s="2" t="s">
        <v>112</v>
      </c>
      <c r="BZ913" s="2" t="s">
        <v>100</v>
      </c>
    </row>
    <row r="914">
      <c r="A914" s="2" t="s">
        <v>3194</v>
      </c>
      <c r="B914" s="2" t="s">
        <v>87</v>
      </c>
      <c r="C914" s="2" t="s">
        <v>88</v>
      </c>
      <c r="D914" s="2" t="s">
        <v>3079</v>
      </c>
      <c r="E914" s="2" t="s">
        <v>3176</v>
      </c>
      <c r="F914" s="2" t="s">
        <v>1225</v>
      </c>
      <c r="G914" s="2" t="s">
        <v>1226</v>
      </c>
      <c r="H914" s="2" t="s">
        <v>1227</v>
      </c>
      <c r="I914" s="2" t="s">
        <v>3195</v>
      </c>
      <c r="J914" s="2" t="s">
        <v>785</v>
      </c>
      <c r="K914" s="2" t="s">
        <v>771</v>
      </c>
      <c r="L914" s="3">
        <v>33.33</v>
      </c>
      <c r="M914" s="3">
        <v>35</v>
      </c>
      <c r="N914" s="3">
        <v>69.99</v>
      </c>
      <c r="O914" s="2" t="s">
        <v>97</v>
      </c>
      <c r="P914" s="2" t="s">
        <v>98</v>
      </c>
      <c r="Q914" s="2" t="s">
        <v>99</v>
      </c>
      <c r="R914" s="2" t="s">
        <v>100</v>
      </c>
      <c r="S914" s="2" t="s">
        <v>3196</v>
      </c>
      <c r="T914" s="2" t="s">
        <v>100</v>
      </c>
      <c r="U914" s="2" t="s">
        <v>1508</v>
      </c>
      <c r="V914" s="2" t="s">
        <v>645</v>
      </c>
      <c r="W914" s="2" t="s">
        <v>104</v>
      </c>
      <c r="X914" s="2" t="s">
        <v>345</v>
      </c>
      <c r="Y914" s="2" t="s">
        <v>1230</v>
      </c>
      <c r="Z914" s="4">
        <v>246</v>
      </c>
      <c r="AA914" s="4">
        <f>=ROUNDDOWN(35.1428571428571,0)</f>
      </c>
      <c r="AB914" s="5">
        <v>7</v>
      </c>
      <c r="AC914" s="2" t="s">
        <v>194</v>
      </c>
      <c r="AD914" s="4">
        <v>130</v>
      </c>
      <c r="AE914" s="4">
        <v>130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/>
      <c r="BJ914" s="4">
        <v>5</v>
      </c>
      <c r="BK914" s="8">
        <v>197.04</v>
      </c>
      <c r="BL914" s="2" t="s">
        <v>3197</v>
      </c>
      <c r="BM914" s="7"/>
      <c r="BN914" s="7"/>
      <c r="BO914" s="4"/>
      <c r="BP914" s="8"/>
      <c r="BQ914" s="4"/>
      <c r="BR914" s="8"/>
      <c r="BS914" s="7"/>
      <c r="BT914" s="7"/>
      <c r="BU914" s="2" t="s">
        <v>3088</v>
      </c>
      <c r="BV914" s="2" t="s">
        <v>97</v>
      </c>
      <c r="BW914" s="2" t="s">
        <v>100</v>
      </c>
      <c r="BX914" s="2" t="s">
        <v>100</v>
      </c>
      <c r="BY914" s="2" t="s">
        <v>112</v>
      </c>
      <c r="BZ914" s="2" t="s">
        <v>100</v>
      </c>
    </row>
    <row r="915">
      <c r="A915" s="2" t="s">
        <v>3198</v>
      </c>
      <c r="B915" s="2" t="s">
        <v>87</v>
      </c>
      <c r="C915" s="2" t="s">
        <v>88</v>
      </c>
      <c r="D915" s="2" t="s">
        <v>3079</v>
      </c>
      <c r="E915" s="2" t="s">
        <v>3176</v>
      </c>
      <c r="F915" s="2" t="s">
        <v>1225</v>
      </c>
      <c r="G915" s="2" t="s">
        <v>1226</v>
      </c>
      <c r="H915" s="2" t="s">
        <v>1227</v>
      </c>
      <c r="I915" s="2" t="s">
        <v>3195</v>
      </c>
      <c r="J915" s="2" t="s">
        <v>795</v>
      </c>
      <c r="K915" s="2" t="s">
        <v>771</v>
      </c>
      <c r="L915" s="3">
        <v>38.09</v>
      </c>
      <c r="M915" s="3">
        <v>39.99</v>
      </c>
      <c r="N915" s="3">
        <v>79.99</v>
      </c>
      <c r="O915" s="2" t="s">
        <v>97</v>
      </c>
      <c r="P915" s="2" t="s">
        <v>98</v>
      </c>
      <c r="Q915" s="2" t="s">
        <v>99</v>
      </c>
      <c r="R915" s="2" t="s">
        <v>100</v>
      </c>
      <c r="S915" s="2" t="s">
        <v>3196</v>
      </c>
      <c r="T915" s="2" t="s">
        <v>100</v>
      </c>
      <c r="U915" s="2" t="s">
        <v>1508</v>
      </c>
      <c r="V915" s="2" t="s">
        <v>645</v>
      </c>
      <c r="W915" s="2" t="s">
        <v>104</v>
      </c>
      <c r="X915" s="2" t="s">
        <v>345</v>
      </c>
      <c r="Y915" s="2" t="s">
        <v>1230</v>
      </c>
      <c r="Z915" s="4">
        <v>101</v>
      </c>
      <c r="AA915" s="4">
        <f>=ROUNDDOWN(14.4285714285714,0)</f>
      </c>
      <c r="AB915" s="5">
        <v>7</v>
      </c>
      <c r="AC915" s="2" t="s">
        <v>194</v>
      </c>
      <c r="AD915" s="4">
        <v>370</v>
      </c>
      <c r="AE915" s="4">
        <v>370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/>
      <c r="BJ915" s="4">
        <v>3</v>
      </c>
      <c r="BK915" s="8">
        <v>157.17</v>
      </c>
      <c r="BL915" s="2" t="s">
        <v>3197</v>
      </c>
      <c r="BM915" s="7"/>
      <c r="BN915" s="7"/>
      <c r="BO915" s="4"/>
      <c r="BP915" s="8"/>
      <c r="BQ915" s="4"/>
      <c r="BR915" s="8"/>
      <c r="BS915" s="7"/>
      <c r="BT915" s="7"/>
      <c r="BU915" s="2" t="s">
        <v>3088</v>
      </c>
      <c r="BV915" s="2" t="s">
        <v>97</v>
      </c>
      <c r="BW915" s="2" t="s">
        <v>100</v>
      </c>
      <c r="BX915" s="2" t="s">
        <v>100</v>
      </c>
      <c r="BY915" s="2" t="s">
        <v>112</v>
      </c>
      <c r="BZ915" s="2" t="s">
        <v>100</v>
      </c>
    </row>
    <row r="916">
      <c r="A916" s="2" t="s">
        <v>3199</v>
      </c>
      <c r="B916" s="2" t="s">
        <v>87</v>
      </c>
      <c r="C916" s="2" t="s">
        <v>88</v>
      </c>
      <c r="D916" s="2" t="s">
        <v>3079</v>
      </c>
      <c r="E916" s="2" t="s">
        <v>3176</v>
      </c>
      <c r="F916" s="2" t="s">
        <v>2075</v>
      </c>
      <c r="G916" s="2" t="s">
        <v>2076</v>
      </c>
      <c r="H916" s="2" t="s">
        <v>2077</v>
      </c>
      <c r="I916" s="2" t="s">
        <v>3200</v>
      </c>
      <c r="J916" s="2" t="s">
        <v>785</v>
      </c>
      <c r="K916" s="2" t="s">
        <v>1834</v>
      </c>
      <c r="L916" s="3">
        <v>53.9</v>
      </c>
      <c r="M916" s="3">
        <v>56.59</v>
      </c>
      <c r="N916" s="3">
        <v>109.99</v>
      </c>
      <c r="O916" s="2" t="s">
        <v>97</v>
      </c>
      <c r="P916" s="2" t="s">
        <v>98</v>
      </c>
      <c r="Q916" s="2" t="s">
        <v>99</v>
      </c>
      <c r="R916" s="2" t="s">
        <v>100</v>
      </c>
      <c r="S916" s="2" t="s">
        <v>2079</v>
      </c>
      <c r="T916" s="2" t="s">
        <v>100</v>
      </c>
      <c r="U916" s="2" t="s">
        <v>1508</v>
      </c>
      <c r="V916" s="2" t="s">
        <v>551</v>
      </c>
      <c r="W916" s="2" t="s">
        <v>551</v>
      </c>
      <c r="X916" s="2" t="s">
        <v>563</v>
      </c>
      <c r="Y916" s="2" t="s">
        <v>1491</v>
      </c>
      <c r="Z916" s="4">
        <v>187</v>
      </c>
      <c r="AA916" s="4">
        <f>=ROUNDDOWN(17,0)</f>
      </c>
      <c r="AB916" s="5">
        <v>11</v>
      </c>
      <c r="AC916" s="2" t="s">
        <v>2080</v>
      </c>
      <c r="AD916" s="4">
        <v>50</v>
      </c>
      <c r="AE916" s="4">
        <v>370</v>
      </c>
      <c r="AF916" s="6">
        <v>69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100</v>
      </c>
      <c r="AW916" s="8" t="s">
        <v>100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/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/>
      <c r="BJ916" s="4">
        <v>2</v>
      </c>
      <c r="BK916" s="8">
        <v>105.32</v>
      </c>
      <c r="BL916" s="2" t="s">
        <v>887</v>
      </c>
      <c r="BM916" s="7"/>
      <c r="BN916" s="7"/>
      <c r="BO916" s="4"/>
      <c r="BP916" s="8"/>
      <c r="BQ916" s="4"/>
      <c r="BR916" s="8"/>
      <c r="BS916" s="7"/>
      <c r="BT916" s="7"/>
      <c r="BU916" s="2" t="s">
        <v>109</v>
      </c>
      <c r="BV916" s="2" t="s">
        <v>97</v>
      </c>
      <c r="BW916" s="2" t="s">
        <v>270</v>
      </c>
      <c r="BX916" s="2" t="s">
        <v>2339</v>
      </c>
      <c r="BY916" s="2" t="s">
        <v>112</v>
      </c>
      <c r="BZ916" s="2" t="s">
        <v>100</v>
      </c>
    </row>
    <row r="917">
      <c r="A917" s="2" t="s">
        <v>3201</v>
      </c>
      <c r="B917" s="2" t="s">
        <v>87</v>
      </c>
      <c r="C917" s="2" t="s">
        <v>88</v>
      </c>
      <c r="D917" s="2" t="s">
        <v>3079</v>
      </c>
      <c r="E917" s="2" t="s">
        <v>3176</v>
      </c>
      <c r="F917" s="2" t="s">
        <v>2075</v>
      </c>
      <c r="G917" s="2" t="s">
        <v>2076</v>
      </c>
      <c r="H917" s="2" t="s">
        <v>2077</v>
      </c>
      <c r="I917" s="2" t="s">
        <v>3200</v>
      </c>
      <c r="J917" s="2" t="s">
        <v>795</v>
      </c>
      <c r="K917" s="2" t="s">
        <v>1834</v>
      </c>
      <c r="L917" s="3">
        <v>63.7</v>
      </c>
      <c r="M917" s="3">
        <v>66.88</v>
      </c>
      <c r="N917" s="3">
        <v>129.99</v>
      </c>
      <c r="O917" s="2" t="s">
        <v>97</v>
      </c>
      <c r="P917" s="2" t="s">
        <v>98</v>
      </c>
      <c r="Q917" s="2" t="s">
        <v>99</v>
      </c>
      <c r="R917" s="2" t="s">
        <v>100</v>
      </c>
      <c r="S917" s="2" t="s">
        <v>2079</v>
      </c>
      <c r="T917" s="2" t="s">
        <v>100</v>
      </c>
      <c r="U917" s="2" t="s">
        <v>1508</v>
      </c>
      <c r="V917" s="2" t="s">
        <v>551</v>
      </c>
      <c r="W917" s="2" t="s">
        <v>551</v>
      </c>
      <c r="X917" s="2" t="s">
        <v>563</v>
      </c>
      <c r="Y917" s="2" t="s">
        <v>1491</v>
      </c>
      <c r="Z917" s="4">
        <v>240</v>
      </c>
      <c r="AA917" s="4">
        <f>=ROUNDDOWN(21.8181818181818,0)</f>
      </c>
      <c r="AB917" s="5">
        <v>11</v>
      </c>
      <c r="AC917" s="2" t="s">
        <v>2080</v>
      </c>
      <c r="AD917" s="4">
        <v>50</v>
      </c>
      <c r="AE917" s="4">
        <v>370</v>
      </c>
      <c r="AF917" s="6">
        <v>69</v>
      </c>
      <c r="AG917" s="6"/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/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/>
      <c r="BJ917" s="4">
        <v>8</v>
      </c>
      <c r="BK917" s="8">
        <v>520.76</v>
      </c>
      <c r="BL917" s="2" t="s">
        <v>3202</v>
      </c>
      <c r="BM917" s="7"/>
      <c r="BN917" s="7"/>
      <c r="BO917" s="4"/>
      <c r="BP917" s="8"/>
      <c r="BQ917" s="4"/>
      <c r="BR917" s="8"/>
      <c r="BS917" s="7"/>
      <c r="BT917" s="7"/>
      <c r="BU917" s="2" t="s">
        <v>109</v>
      </c>
      <c r="BV917" s="2" t="s">
        <v>97</v>
      </c>
      <c r="BW917" s="2" t="s">
        <v>3203</v>
      </c>
      <c r="BX917" s="2" t="s">
        <v>3204</v>
      </c>
      <c r="BY917" s="2" t="s">
        <v>112</v>
      </c>
      <c r="BZ917" s="2" t="s">
        <v>100</v>
      </c>
    </row>
    <row r="918">
      <c r="A918" s="2" t="s">
        <v>3205</v>
      </c>
      <c r="B918" s="2" t="s">
        <v>87</v>
      </c>
      <c r="C918" s="2" t="s">
        <v>88</v>
      </c>
      <c r="D918" s="2" t="s">
        <v>3079</v>
      </c>
      <c r="E918" s="2" t="s">
        <v>3176</v>
      </c>
      <c r="F918" s="2" t="s">
        <v>2086</v>
      </c>
      <c r="G918" s="2" t="s">
        <v>2087</v>
      </c>
      <c r="H918" s="2" t="s">
        <v>2088</v>
      </c>
      <c r="I918" s="2" t="s">
        <v>3206</v>
      </c>
      <c r="J918" s="2" t="s">
        <v>785</v>
      </c>
      <c r="K918" s="2" t="s">
        <v>253</v>
      </c>
      <c r="L918" s="3">
        <v>32</v>
      </c>
      <c r="M918" s="3">
        <v>33.6</v>
      </c>
      <c r="N918" s="3">
        <v>69.99</v>
      </c>
      <c r="O918" s="2" t="s">
        <v>97</v>
      </c>
      <c r="P918" s="2" t="s">
        <v>1216</v>
      </c>
      <c r="Q918" s="2" t="s">
        <v>99</v>
      </c>
      <c r="R918" s="2" t="s">
        <v>100</v>
      </c>
      <c r="S918" s="2" t="s">
        <v>2090</v>
      </c>
      <c r="T918" s="2" t="s">
        <v>359</v>
      </c>
      <c r="U918" s="2" t="s">
        <v>1508</v>
      </c>
      <c r="V918" s="2" t="s">
        <v>677</v>
      </c>
      <c r="W918" s="2" t="s">
        <v>976</v>
      </c>
      <c r="X918" s="2" t="s">
        <v>788</v>
      </c>
      <c r="Y918" s="2" t="s">
        <v>2091</v>
      </c>
      <c r="Z918" s="4">
        <v>146</v>
      </c>
      <c r="AA918" s="4">
        <f>=ROUNDDOWN(48.6666666666667,0)</f>
      </c>
      <c r="AB918" s="5">
        <v>3</v>
      </c>
      <c r="AC918" s="2" t="s">
        <v>100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/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/>
      <c r="BJ918" s="4"/>
      <c r="BK918" s="8"/>
      <c r="BL918" s="2" t="s">
        <v>100</v>
      </c>
      <c r="BM918" s="7"/>
      <c r="BN918" s="7"/>
      <c r="BO918" s="4"/>
      <c r="BP918" s="8"/>
      <c r="BQ918" s="4"/>
      <c r="BR918" s="8"/>
      <c r="BS918" s="7"/>
      <c r="BT918" s="7"/>
      <c r="BU918" s="2" t="s">
        <v>109</v>
      </c>
      <c r="BV918" s="2" t="s">
        <v>97</v>
      </c>
      <c r="BW918" s="2" t="s">
        <v>1221</v>
      </c>
      <c r="BX918" s="2" t="s">
        <v>900</v>
      </c>
      <c r="BY918" s="2" t="s">
        <v>112</v>
      </c>
      <c r="BZ918" s="2" t="s">
        <v>100</v>
      </c>
    </row>
    <row r="919">
      <c r="A919" s="2" t="s">
        <v>3207</v>
      </c>
      <c r="B919" s="2" t="s">
        <v>87</v>
      </c>
      <c r="C919" s="2" t="s">
        <v>88</v>
      </c>
      <c r="D919" s="2" t="s">
        <v>3079</v>
      </c>
      <c r="E919" s="2" t="s">
        <v>3176</v>
      </c>
      <c r="F919" s="2" t="s">
        <v>2086</v>
      </c>
      <c r="G919" s="2" t="s">
        <v>2087</v>
      </c>
      <c r="H919" s="2" t="s">
        <v>2088</v>
      </c>
      <c r="I919" s="2" t="s">
        <v>3206</v>
      </c>
      <c r="J919" s="2" t="s">
        <v>795</v>
      </c>
      <c r="K919" s="2" t="s">
        <v>253</v>
      </c>
      <c r="L919" s="3">
        <v>36.57</v>
      </c>
      <c r="M919" s="3">
        <v>38.4</v>
      </c>
      <c r="N919" s="3">
        <v>79.99</v>
      </c>
      <c r="O919" s="2" t="s">
        <v>97</v>
      </c>
      <c r="P919" s="2" t="s">
        <v>1216</v>
      </c>
      <c r="Q919" s="2" t="s">
        <v>99</v>
      </c>
      <c r="R919" s="2" t="s">
        <v>100</v>
      </c>
      <c r="S919" s="2" t="s">
        <v>2090</v>
      </c>
      <c r="T919" s="2" t="s">
        <v>359</v>
      </c>
      <c r="U919" s="2" t="s">
        <v>1508</v>
      </c>
      <c r="V919" s="2" t="s">
        <v>677</v>
      </c>
      <c r="W919" s="2" t="s">
        <v>976</v>
      </c>
      <c r="X919" s="2" t="s">
        <v>788</v>
      </c>
      <c r="Y919" s="2" t="s">
        <v>2091</v>
      </c>
      <c r="Z919" s="4">
        <v>174</v>
      </c>
      <c r="AA919" s="4">
        <f>=ROUNDDOWN(58,0)</f>
      </c>
      <c r="AB919" s="5">
        <v>3</v>
      </c>
      <c r="AC919" s="2" t="s">
        <v>100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/>
      <c r="BJ919" s="4">
        <v>1</v>
      </c>
      <c r="BK919" s="8">
        <v>41.47</v>
      </c>
      <c r="BL919" s="2" t="s">
        <v>2115</v>
      </c>
      <c r="BM919" s="7"/>
      <c r="BN919" s="7"/>
      <c r="BO919" s="4"/>
      <c r="BP919" s="8"/>
      <c r="BQ919" s="4"/>
      <c r="BR919" s="8"/>
      <c r="BS919" s="7"/>
      <c r="BT919" s="7"/>
      <c r="BU919" s="2" t="s">
        <v>109</v>
      </c>
      <c r="BV919" s="2" t="s">
        <v>97</v>
      </c>
      <c r="BW919" s="2" t="s">
        <v>1221</v>
      </c>
      <c r="BX919" s="2" t="s">
        <v>100</v>
      </c>
      <c r="BY919" s="2" t="s">
        <v>112</v>
      </c>
      <c r="BZ919" s="2" t="s">
        <v>100</v>
      </c>
    </row>
    <row r="920">
      <c r="A920" s="2" t="s">
        <v>3208</v>
      </c>
      <c r="B920" s="2" t="s">
        <v>87</v>
      </c>
      <c r="C920" s="2" t="s">
        <v>88</v>
      </c>
      <c r="D920" s="2" t="s">
        <v>3079</v>
      </c>
      <c r="E920" s="2" t="s">
        <v>3176</v>
      </c>
      <c r="F920" s="2" t="s">
        <v>893</v>
      </c>
      <c r="G920" s="2" t="s">
        <v>894</v>
      </c>
      <c r="H920" s="2" t="s">
        <v>895</v>
      </c>
      <c r="I920" s="2" t="s">
        <v>3209</v>
      </c>
      <c r="J920" s="2" t="s">
        <v>785</v>
      </c>
      <c r="K920" s="2" t="s">
        <v>163</v>
      </c>
      <c r="L920" s="3">
        <v>32.2</v>
      </c>
      <c r="M920" s="3">
        <v>33.81</v>
      </c>
      <c r="N920" s="3">
        <v>69.99</v>
      </c>
      <c r="O920" s="2" t="s">
        <v>97</v>
      </c>
      <c r="P920" s="2" t="s">
        <v>242</v>
      </c>
      <c r="Q920" s="2" t="s">
        <v>99</v>
      </c>
      <c r="R920" s="2" t="s">
        <v>100</v>
      </c>
      <c r="S920" s="2" t="s">
        <v>3210</v>
      </c>
      <c r="T920" s="2" t="s">
        <v>359</v>
      </c>
      <c r="U920" s="2" t="s">
        <v>1508</v>
      </c>
      <c r="V920" s="2" t="s">
        <v>677</v>
      </c>
      <c r="W920" s="2" t="s">
        <v>646</v>
      </c>
      <c r="X920" s="2" t="s">
        <v>898</v>
      </c>
      <c r="Y920" s="2" t="s">
        <v>899</v>
      </c>
      <c r="Z920" s="4">
        <v>296</v>
      </c>
      <c r="AA920" s="4">
        <f>=ROUNDDOWN(29.6,0)</f>
      </c>
      <c r="AB920" s="5">
        <v>10</v>
      </c>
      <c r="AC920" s="2" t="s">
        <v>593</v>
      </c>
      <c r="AD920" s="4">
        <v>60</v>
      </c>
      <c r="AE920" s="4">
        <v>80</v>
      </c>
      <c r="AF920" s="6">
        <v>65</v>
      </c>
      <c r="AG920" s="6">
        <v>73</v>
      </c>
      <c r="AH920" s="7">
        <v>1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/>
      <c r="BJ920" s="4">
        <v>4</v>
      </c>
      <c r="BK920" s="8">
        <v>132.63</v>
      </c>
      <c r="BL920" s="2" t="s">
        <v>108</v>
      </c>
      <c r="BM920" s="7"/>
      <c r="BN920" s="7"/>
      <c r="BO920" s="4"/>
      <c r="BP920" s="8"/>
      <c r="BQ920" s="4"/>
      <c r="BR920" s="8"/>
      <c r="BS920" s="7"/>
      <c r="BT920" s="7"/>
      <c r="BU920" s="2" t="s">
        <v>109</v>
      </c>
      <c r="BV920" s="2" t="s">
        <v>97</v>
      </c>
      <c r="BW920" s="2" t="s">
        <v>270</v>
      </c>
      <c r="BX920" s="2" t="s">
        <v>274</v>
      </c>
      <c r="BY920" s="2" t="s">
        <v>112</v>
      </c>
      <c r="BZ920" s="2" t="s">
        <v>100</v>
      </c>
    </row>
    <row r="921">
      <c r="A921" s="2" t="s">
        <v>3211</v>
      </c>
      <c r="B921" s="2" t="s">
        <v>87</v>
      </c>
      <c r="C921" s="2" t="s">
        <v>88</v>
      </c>
      <c r="D921" s="2" t="s">
        <v>3079</v>
      </c>
      <c r="E921" s="2" t="s">
        <v>3176</v>
      </c>
      <c r="F921" s="2" t="s">
        <v>893</v>
      </c>
      <c r="G921" s="2" t="s">
        <v>894</v>
      </c>
      <c r="H921" s="2" t="s">
        <v>895</v>
      </c>
      <c r="I921" s="2" t="s">
        <v>3209</v>
      </c>
      <c r="J921" s="2" t="s">
        <v>795</v>
      </c>
      <c r="K921" s="2" t="s">
        <v>163</v>
      </c>
      <c r="L921" s="3">
        <v>36.8</v>
      </c>
      <c r="M921" s="3">
        <v>38.64</v>
      </c>
      <c r="N921" s="3">
        <v>79.99</v>
      </c>
      <c r="O921" s="2" t="s">
        <v>97</v>
      </c>
      <c r="P921" s="2" t="s">
        <v>242</v>
      </c>
      <c r="Q921" s="2" t="s">
        <v>99</v>
      </c>
      <c r="R921" s="2" t="s">
        <v>100</v>
      </c>
      <c r="S921" s="2" t="s">
        <v>3210</v>
      </c>
      <c r="T921" s="2" t="s">
        <v>359</v>
      </c>
      <c r="U921" s="2" t="s">
        <v>1508</v>
      </c>
      <c r="V921" s="2" t="s">
        <v>677</v>
      </c>
      <c r="W921" s="2" t="s">
        <v>646</v>
      </c>
      <c r="X921" s="2" t="s">
        <v>898</v>
      </c>
      <c r="Y921" s="2" t="s">
        <v>899</v>
      </c>
      <c r="Z921" s="4">
        <v>209</v>
      </c>
      <c r="AA921" s="4">
        <f>=ROUNDDOWN(20.9,0)</f>
      </c>
      <c r="AB921" s="5">
        <v>10</v>
      </c>
      <c r="AC921" s="2" t="s">
        <v>2552</v>
      </c>
      <c r="AD921" s="4">
        <v>60</v>
      </c>
      <c r="AE921" s="4">
        <v>170</v>
      </c>
      <c r="AF921" s="6">
        <v>65</v>
      </c>
      <c r="AG921" s="6">
        <v>73</v>
      </c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>
        <v>1</v>
      </c>
      <c r="BK921" s="8">
        <v>36.87</v>
      </c>
      <c r="BL921" s="2" t="s">
        <v>1310</v>
      </c>
      <c r="BM921" s="7"/>
      <c r="BN921" s="7"/>
      <c r="BO921" s="4"/>
      <c r="BP921" s="8"/>
      <c r="BQ921" s="4"/>
      <c r="BR921" s="8"/>
      <c r="BS921" s="7"/>
      <c r="BT921" s="7"/>
      <c r="BU921" s="2" t="s">
        <v>109</v>
      </c>
      <c r="BV921" s="2" t="s">
        <v>97</v>
      </c>
      <c r="BW921" s="2" t="s">
        <v>3212</v>
      </c>
      <c r="BX921" s="2" t="s">
        <v>2005</v>
      </c>
      <c r="BY921" s="2" t="s">
        <v>112</v>
      </c>
      <c r="BZ921" s="2" t="s">
        <v>100</v>
      </c>
    </row>
    <row r="922">
      <c r="A922" s="2" t="s">
        <v>3213</v>
      </c>
      <c r="B922" s="2" t="s">
        <v>87</v>
      </c>
      <c r="C922" s="2" t="s">
        <v>88</v>
      </c>
      <c r="D922" s="2" t="s">
        <v>3079</v>
      </c>
      <c r="E922" s="2" t="s">
        <v>3176</v>
      </c>
      <c r="F922" s="2" t="s">
        <v>1343</v>
      </c>
      <c r="G922" s="2" t="s">
        <v>1344</v>
      </c>
      <c r="H922" s="2" t="s">
        <v>1345</v>
      </c>
      <c r="I922" s="2" t="s">
        <v>3214</v>
      </c>
      <c r="J922" s="2" t="s">
        <v>785</v>
      </c>
      <c r="K922" s="2" t="s">
        <v>253</v>
      </c>
      <c r="L922" s="3">
        <v>32.2</v>
      </c>
      <c r="M922" s="3">
        <v>33.81</v>
      </c>
      <c r="N922" s="3">
        <v>69.99</v>
      </c>
      <c r="O922" s="2" t="s">
        <v>97</v>
      </c>
      <c r="P922" s="2" t="s">
        <v>98</v>
      </c>
      <c r="Q922" s="2" t="s">
        <v>99</v>
      </c>
      <c r="R922" s="2" t="s">
        <v>100</v>
      </c>
      <c r="S922" s="2" t="s">
        <v>3215</v>
      </c>
      <c r="T922" s="2" t="s">
        <v>359</v>
      </c>
      <c r="U922" s="2" t="s">
        <v>1508</v>
      </c>
      <c r="V922" s="2" t="s">
        <v>677</v>
      </c>
      <c r="W922" s="2" t="s">
        <v>646</v>
      </c>
      <c r="X922" s="2" t="s">
        <v>499</v>
      </c>
      <c r="Y922" s="2" t="s">
        <v>3216</v>
      </c>
      <c r="Z922" s="4">
        <v>199</v>
      </c>
      <c r="AA922" s="4">
        <f>=ROUNDDOWN(22.1111111111111,0)</f>
      </c>
      <c r="AB922" s="5">
        <v>9</v>
      </c>
      <c r="AC922" s="2" t="s">
        <v>132</v>
      </c>
      <c r="AD922" s="4">
        <v>30</v>
      </c>
      <c r="AE922" s="4">
        <v>160</v>
      </c>
      <c r="AF922" s="6">
        <v>65</v>
      </c>
      <c r="AG922" s="6">
        <v>73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/>
      <c r="BJ922" s="4">
        <v>5</v>
      </c>
      <c r="BK922" s="8">
        <v>164.6</v>
      </c>
      <c r="BL922" s="2" t="s">
        <v>108</v>
      </c>
      <c r="BM922" s="7"/>
      <c r="BN922" s="7"/>
      <c r="BO922" s="4"/>
      <c r="BP922" s="8"/>
      <c r="BQ922" s="4"/>
      <c r="BR922" s="8"/>
      <c r="BS922" s="7"/>
      <c r="BT922" s="7"/>
      <c r="BU922" s="2" t="s">
        <v>3088</v>
      </c>
      <c r="BV922" s="2" t="s">
        <v>97</v>
      </c>
      <c r="BW922" s="2" t="s">
        <v>100</v>
      </c>
      <c r="BX922" s="2" t="s">
        <v>100</v>
      </c>
      <c r="BY922" s="2" t="s">
        <v>112</v>
      </c>
      <c r="BZ922" s="2" t="s">
        <v>100</v>
      </c>
    </row>
    <row r="923">
      <c r="A923" s="2" t="s">
        <v>3217</v>
      </c>
      <c r="B923" s="2" t="s">
        <v>87</v>
      </c>
      <c r="C923" s="2" t="s">
        <v>88</v>
      </c>
      <c r="D923" s="2" t="s">
        <v>3079</v>
      </c>
      <c r="E923" s="2" t="s">
        <v>3176</v>
      </c>
      <c r="F923" s="2" t="s">
        <v>1343</v>
      </c>
      <c r="G923" s="2" t="s">
        <v>1344</v>
      </c>
      <c r="H923" s="2" t="s">
        <v>1345</v>
      </c>
      <c r="I923" s="2" t="s">
        <v>3214</v>
      </c>
      <c r="J923" s="2" t="s">
        <v>795</v>
      </c>
      <c r="K923" s="2" t="s">
        <v>253</v>
      </c>
      <c r="L923" s="3">
        <v>36.8</v>
      </c>
      <c r="M923" s="3">
        <v>38.64</v>
      </c>
      <c r="N923" s="3">
        <v>79.99</v>
      </c>
      <c r="O923" s="2" t="s">
        <v>97</v>
      </c>
      <c r="P923" s="2" t="s">
        <v>98</v>
      </c>
      <c r="Q923" s="2" t="s">
        <v>99</v>
      </c>
      <c r="R923" s="2" t="s">
        <v>100</v>
      </c>
      <c r="S923" s="2" t="s">
        <v>3215</v>
      </c>
      <c r="T923" s="2" t="s">
        <v>359</v>
      </c>
      <c r="U923" s="2" t="s">
        <v>1508</v>
      </c>
      <c r="V923" s="2" t="s">
        <v>677</v>
      </c>
      <c r="W923" s="2" t="s">
        <v>646</v>
      </c>
      <c r="X923" s="2" t="s">
        <v>499</v>
      </c>
      <c r="Y923" s="2" t="s">
        <v>3216</v>
      </c>
      <c r="Z923" s="4">
        <v>135</v>
      </c>
      <c r="AA923" s="4">
        <f>=ROUNDDOWN(19.2857142857143,0)</f>
      </c>
      <c r="AB923" s="5">
        <v>7</v>
      </c>
      <c r="AC923" s="2" t="s">
        <v>1352</v>
      </c>
      <c r="AD923" s="4">
        <v>130</v>
      </c>
      <c r="AE923" s="4">
        <v>190</v>
      </c>
      <c r="AF923" s="6">
        <v>65</v>
      </c>
      <c r="AG923" s="6">
        <v>73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/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/>
      <c r="BJ923" s="4">
        <v>2</v>
      </c>
      <c r="BK923" s="8">
        <v>81.53</v>
      </c>
      <c r="BL923" s="2" t="s">
        <v>1550</v>
      </c>
      <c r="BM923" s="7"/>
      <c r="BN923" s="7"/>
      <c r="BO923" s="4"/>
      <c r="BP923" s="8"/>
      <c r="BQ923" s="4"/>
      <c r="BR923" s="8"/>
      <c r="BS923" s="7"/>
      <c r="BT923" s="7"/>
      <c r="BU923" s="2" t="s">
        <v>3088</v>
      </c>
      <c r="BV923" s="2" t="s">
        <v>97</v>
      </c>
      <c r="BW923" s="2" t="s">
        <v>100</v>
      </c>
      <c r="BX923" s="2" t="s">
        <v>100</v>
      </c>
      <c r="BY923" s="2" t="s">
        <v>112</v>
      </c>
      <c r="BZ923" s="2" t="s">
        <v>100</v>
      </c>
    </row>
    <row r="924">
      <c r="A924" s="2" t="s">
        <v>3218</v>
      </c>
      <c r="B924" s="2" t="s">
        <v>87</v>
      </c>
      <c r="C924" s="2" t="s">
        <v>88</v>
      </c>
      <c r="D924" s="2" t="s">
        <v>3079</v>
      </c>
      <c r="E924" s="2" t="s">
        <v>3176</v>
      </c>
      <c r="F924" s="2" t="s">
        <v>1343</v>
      </c>
      <c r="G924" s="2" t="s">
        <v>1344</v>
      </c>
      <c r="H924" s="2" t="s">
        <v>1345</v>
      </c>
      <c r="I924" s="2" t="s">
        <v>3214</v>
      </c>
      <c r="J924" s="2" t="s">
        <v>785</v>
      </c>
      <c r="K924" s="2" t="s">
        <v>96</v>
      </c>
      <c r="L924" s="3">
        <v>32.2</v>
      </c>
      <c r="M924" s="3">
        <v>33.81</v>
      </c>
      <c r="N924" s="3">
        <v>69.99</v>
      </c>
      <c r="O924" s="2" t="s">
        <v>97</v>
      </c>
      <c r="P924" s="2" t="s">
        <v>98</v>
      </c>
      <c r="Q924" s="2" t="s">
        <v>99</v>
      </c>
      <c r="R924" s="2" t="s">
        <v>100</v>
      </c>
      <c r="S924" s="2" t="s">
        <v>1359</v>
      </c>
      <c r="T924" s="2" t="s">
        <v>359</v>
      </c>
      <c r="U924" s="2" t="s">
        <v>1508</v>
      </c>
      <c r="V924" s="2" t="s">
        <v>677</v>
      </c>
      <c r="W924" s="2" t="s">
        <v>646</v>
      </c>
      <c r="X924" s="2" t="s">
        <v>499</v>
      </c>
      <c r="Y924" s="2" t="s">
        <v>1491</v>
      </c>
      <c r="Z924" s="4">
        <v>397</v>
      </c>
      <c r="AA924" s="4">
        <f>=ROUNDDOWN(16.5416666666667,0)</f>
      </c>
      <c r="AB924" s="5">
        <v>24</v>
      </c>
      <c r="AC924" s="2" t="s">
        <v>411</v>
      </c>
      <c r="AD924" s="4">
        <v>230</v>
      </c>
      <c r="AE924" s="4">
        <v>760</v>
      </c>
      <c r="AF924" s="6">
        <v>65</v>
      </c>
      <c r="AG924" s="6">
        <v>73</v>
      </c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/>
      <c r="BJ924" s="4">
        <v>17</v>
      </c>
      <c r="BK924" s="8">
        <v>550.04</v>
      </c>
      <c r="BL924" s="2" t="s">
        <v>3219</v>
      </c>
      <c r="BM924" s="7"/>
      <c r="BN924" s="7"/>
      <c r="BO924" s="4"/>
      <c r="BP924" s="8"/>
      <c r="BQ924" s="4"/>
      <c r="BR924" s="8"/>
      <c r="BS924" s="7"/>
      <c r="BT924" s="7"/>
      <c r="BU924" s="2" t="s">
        <v>109</v>
      </c>
      <c r="BV924" s="2" t="s">
        <v>97</v>
      </c>
      <c r="BW924" s="2" t="s">
        <v>1159</v>
      </c>
      <c r="BX924" s="2" t="s">
        <v>1142</v>
      </c>
      <c r="BY924" s="2" t="s">
        <v>112</v>
      </c>
      <c r="BZ924" s="2" t="s">
        <v>100</v>
      </c>
    </row>
    <row r="925">
      <c r="A925" s="2" t="s">
        <v>3220</v>
      </c>
      <c r="B925" s="2" t="s">
        <v>87</v>
      </c>
      <c r="C925" s="2" t="s">
        <v>88</v>
      </c>
      <c r="D925" s="2" t="s">
        <v>3079</v>
      </c>
      <c r="E925" s="2" t="s">
        <v>3176</v>
      </c>
      <c r="F925" s="2" t="s">
        <v>1343</v>
      </c>
      <c r="G925" s="2" t="s">
        <v>1344</v>
      </c>
      <c r="H925" s="2" t="s">
        <v>1345</v>
      </c>
      <c r="I925" s="2" t="s">
        <v>3214</v>
      </c>
      <c r="J925" s="2" t="s">
        <v>795</v>
      </c>
      <c r="K925" s="2" t="s">
        <v>96</v>
      </c>
      <c r="L925" s="3">
        <v>36.8</v>
      </c>
      <c r="M925" s="3">
        <v>38.64</v>
      </c>
      <c r="N925" s="3">
        <v>79.99</v>
      </c>
      <c r="O925" s="2" t="s">
        <v>97</v>
      </c>
      <c r="P925" s="2" t="s">
        <v>98</v>
      </c>
      <c r="Q925" s="2" t="s">
        <v>99</v>
      </c>
      <c r="R925" s="2" t="s">
        <v>100</v>
      </c>
      <c r="S925" s="2" t="s">
        <v>1359</v>
      </c>
      <c r="T925" s="2" t="s">
        <v>359</v>
      </c>
      <c r="U925" s="2" t="s">
        <v>1508</v>
      </c>
      <c r="V925" s="2" t="s">
        <v>677</v>
      </c>
      <c r="W925" s="2" t="s">
        <v>646</v>
      </c>
      <c r="X925" s="2" t="s">
        <v>499</v>
      </c>
      <c r="Y925" s="2" t="s">
        <v>1491</v>
      </c>
      <c r="Z925" s="4">
        <v>296</v>
      </c>
      <c r="AA925" s="4">
        <f>=ROUNDDOWN(14.8,0)</f>
      </c>
      <c r="AB925" s="5">
        <v>20</v>
      </c>
      <c r="AC925" s="2" t="s">
        <v>411</v>
      </c>
      <c r="AD925" s="4">
        <v>140</v>
      </c>
      <c r="AE925" s="4">
        <v>720</v>
      </c>
      <c r="AF925" s="6">
        <v>65</v>
      </c>
      <c r="AG925" s="6">
        <v>73</v>
      </c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/>
      <c r="BJ925" s="4">
        <v>4</v>
      </c>
      <c r="BK925" s="8">
        <v>186.47</v>
      </c>
      <c r="BL925" s="2" t="s">
        <v>3221</v>
      </c>
      <c r="BM925" s="7"/>
      <c r="BN925" s="7"/>
      <c r="BO925" s="4"/>
      <c r="BP925" s="8"/>
      <c r="BQ925" s="4"/>
      <c r="BR925" s="8"/>
      <c r="BS925" s="7"/>
      <c r="BT925" s="7"/>
      <c r="BU925" s="2" t="s">
        <v>109</v>
      </c>
      <c r="BV925" s="2" t="s">
        <v>97</v>
      </c>
      <c r="BW925" s="2" t="s">
        <v>1159</v>
      </c>
      <c r="BX925" s="2" t="s">
        <v>535</v>
      </c>
      <c r="BY925" s="2" t="s">
        <v>112</v>
      </c>
      <c r="BZ925" s="2" t="s">
        <v>100</v>
      </c>
    </row>
    <row r="926">
      <c r="A926" s="2" t="s">
        <v>3222</v>
      </c>
      <c r="B926" s="2" t="s">
        <v>87</v>
      </c>
      <c r="C926" s="2" t="s">
        <v>88</v>
      </c>
      <c r="D926" s="2" t="s">
        <v>3079</v>
      </c>
      <c r="E926" s="2" t="s">
        <v>3176</v>
      </c>
      <c r="F926" s="2" t="s">
        <v>2095</v>
      </c>
      <c r="G926" s="2" t="s">
        <v>2096</v>
      </c>
      <c r="H926" s="2" t="s">
        <v>2097</v>
      </c>
      <c r="I926" s="2" t="s">
        <v>3223</v>
      </c>
      <c r="J926" s="2" t="s">
        <v>785</v>
      </c>
      <c r="K926" s="2" t="s">
        <v>2099</v>
      </c>
      <c r="L926" s="3">
        <v>32</v>
      </c>
      <c r="M926" s="3">
        <v>33.6</v>
      </c>
      <c r="N926" s="3">
        <v>69.99</v>
      </c>
      <c r="O926" s="2" t="s">
        <v>97</v>
      </c>
      <c r="P926" s="2" t="s">
        <v>1216</v>
      </c>
      <c r="Q926" s="2" t="s">
        <v>99</v>
      </c>
      <c r="R926" s="2" t="s">
        <v>100</v>
      </c>
      <c r="S926" s="2" t="s">
        <v>2100</v>
      </c>
      <c r="T926" s="2" t="s">
        <v>359</v>
      </c>
      <c r="U926" s="2" t="s">
        <v>1508</v>
      </c>
      <c r="V926" s="2" t="s">
        <v>677</v>
      </c>
      <c r="W926" s="2" t="s">
        <v>2101</v>
      </c>
      <c r="X926" s="2" t="s">
        <v>105</v>
      </c>
      <c r="Y926" s="2" t="s">
        <v>2102</v>
      </c>
      <c r="Z926" s="4">
        <v>167</v>
      </c>
      <c r="AA926" s="4">
        <f>=ROUNDDOWN(41.75,0)</f>
      </c>
      <c r="AB926" s="5">
        <v>4</v>
      </c>
      <c r="AC926" s="2" t="s">
        <v>100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/>
      <c r="BJ926" s="4">
        <v>2</v>
      </c>
      <c r="BK926" s="8">
        <v>72.08</v>
      </c>
      <c r="BL926" s="2" t="s">
        <v>543</v>
      </c>
      <c r="BM926" s="7"/>
      <c r="BN926" s="7"/>
      <c r="BO926" s="4"/>
      <c r="BP926" s="8"/>
      <c r="BQ926" s="4"/>
      <c r="BR926" s="8"/>
      <c r="BS926" s="7"/>
      <c r="BT926" s="7"/>
      <c r="BU926" s="2" t="s">
        <v>109</v>
      </c>
      <c r="BV926" s="2" t="s">
        <v>97</v>
      </c>
      <c r="BW926" s="2" t="s">
        <v>1221</v>
      </c>
      <c r="BX926" s="2" t="s">
        <v>100</v>
      </c>
      <c r="BY926" s="2" t="s">
        <v>112</v>
      </c>
      <c r="BZ926" s="2" t="s">
        <v>100</v>
      </c>
    </row>
    <row r="927">
      <c r="A927" s="2" t="s">
        <v>3224</v>
      </c>
      <c r="B927" s="2" t="s">
        <v>87</v>
      </c>
      <c r="C927" s="2" t="s">
        <v>88</v>
      </c>
      <c r="D927" s="2" t="s">
        <v>3079</v>
      </c>
      <c r="E927" s="2" t="s">
        <v>3176</v>
      </c>
      <c r="F927" s="2" t="s">
        <v>2095</v>
      </c>
      <c r="G927" s="2" t="s">
        <v>2096</v>
      </c>
      <c r="H927" s="2" t="s">
        <v>2097</v>
      </c>
      <c r="I927" s="2" t="s">
        <v>3223</v>
      </c>
      <c r="J927" s="2" t="s">
        <v>795</v>
      </c>
      <c r="K927" s="2" t="s">
        <v>2099</v>
      </c>
      <c r="L927" s="3">
        <v>36.57</v>
      </c>
      <c r="M927" s="3">
        <v>38.4</v>
      </c>
      <c r="N927" s="3">
        <v>79.99</v>
      </c>
      <c r="O927" s="2" t="s">
        <v>97</v>
      </c>
      <c r="P927" s="2" t="s">
        <v>1216</v>
      </c>
      <c r="Q927" s="2" t="s">
        <v>99</v>
      </c>
      <c r="R927" s="2" t="s">
        <v>100</v>
      </c>
      <c r="S927" s="2" t="s">
        <v>2100</v>
      </c>
      <c r="T927" s="2" t="s">
        <v>359</v>
      </c>
      <c r="U927" s="2" t="s">
        <v>1508</v>
      </c>
      <c r="V927" s="2" t="s">
        <v>677</v>
      </c>
      <c r="W927" s="2" t="s">
        <v>2101</v>
      </c>
      <c r="X927" s="2" t="s">
        <v>105</v>
      </c>
      <c r="Y927" s="2" t="s">
        <v>2102</v>
      </c>
      <c r="Z927" s="4">
        <v>186</v>
      </c>
      <c r="AA927" s="4">
        <f>=ROUNDDOWN(46.5,0)</f>
      </c>
      <c r="AB927" s="5">
        <v>4</v>
      </c>
      <c r="AC927" s="2" t="s">
        <v>100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/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/>
      <c r="BJ927" s="4">
        <v>1</v>
      </c>
      <c r="BK927" s="8">
        <v>42.06</v>
      </c>
      <c r="BL927" s="2" t="s">
        <v>625</v>
      </c>
      <c r="BM927" s="7"/>
      <c r="BN927" s="7"/>
      <c r="BO927" s="4"/>
      <c r="BP927" s="8"/>
      <c r="BQ927" s="4"/>
      <c r="BR927" s="8"/>
      <c r="BS927" s="7"/>
      <c r="BT927" s="7"/>
      <c r="BU927" s="2" t="s">
        <v>109</v>
      </c>
      <c r="BV927" s="2" t="s">
        <v>97</v>
      </c>
      <c r="BW927" s="2" t="s">
        <v>1221</v>
      </c>
      <c r="BX927" s="2" t="s">
        <v>100</v>
      </c>
      <c r="BY927" s="2" t="s">
        <v>112</v>
      </c>
      <c r="BZ927" s="2" t="s">
        <v>100</v>
      </c>
    </row>
    <row r="928">
      <c r="A928" s="2" t="s">
        <v>3225</v>
      </c>
      <c r="B928" s="2" t="s">
        <v>87</v>
      </c>
      <c r="C928" s="2" t="s">
        <v>88</v>
      </c>
      <c r="D928" s="2" t="s">
        <v>3079</v>
      </c>
      <c r="E928" s="2" t="s">
        <v>3176</v>
      </c>
      <c r="F928" s="2" t="s">
        <v>1400</v>
      </c>
      <c r="G928" s="2" t="s">
        <v>1401</v>
      </c>
      <c r="H928" s="2" t="s">
        <v>1402</v>
      </c>
      <c r="I928" s="2" t="s">
        <v>3226</v>
      </c>
      <c r="J928" s="2" t="s">
        <v>785</v>
      </c>
      <c r="K928" s="2" t="s">
        <v>1263</v>
      </c>
      <c r="L928" s="3">
        <v>33.33</v>
      </c>
      <c r="M928" s="3">
        <v>35</v>
      </c>
      <c r="N928" s="3">
        <v>69.99</v>
      </c>
      <c r="O928" s="2" t="s">
        <v>473</v>
      </c>
      <c r="P928" s="2" t="s">
        <v>447</v>
      </c>
      <c r="Q928" s="2" t="s">
        <v>99</v>
      </c>
      <c r="R928" s="2" t="s">
        <v>100</v>
      </c>
      <c r="S928" s="2" t="s">
        <v>3227</v>
      </c>
      <c r="T928" s="2" t="s">
        <v>787</v>
      </c>
      <c r="U928" s="2" t="s">
        <v>1508</v>
      </c>
      <c r="V928" s="2" t="s">
        <v>805</v>
      </c>
      <c r="W928" s="2" t="s">
        <v>1405</v>
      </c>
      <c r="X928" s="2" t="s">
        <v>976</v>
      </c>
      <c r="Y928" s="2" t="s">
        <v>1208</v>
      </c>
      <c r="Z928" s="4">
        <v>147</v>
      </c>
      <c r="AA928" s="4">
        <f>=ROUNDDOWN(49,0)</f>
      </c>
      <c r="AB928" s="5">
        <v>3</v>
      </c>
      <c r="AC928" s="2" t="s">
        <v>100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/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/>
      <c r="BJ928" s="4">
        <v>1</v>
      </c>
      <c r="BK928" s="8">
        <v>19.6</v>
      </c>
      <c r="BL928" s="2" t="s">
        <v>1310</v>
      </c>
      <c r="BM928" s="7"/>
      <c r="BN928" s="7"/>
      <c r="BO928" s="4"/>
      <c r="BP928" s="8"/>
      <c r="BQ928" s="4"/>
      <c r="BR928" s="8"/>
      <c r="BS928" s="7"/>
      <c r="BT928" s="7"/>
      <c r="BU928" s="2" t="s">
        <v>3088</v>
      </c>
      <c r="BV928" s="2" t="s">
        <v>97</v>
      </c>
      <c r="BW928" s="2" t="s">
        <v>100</v>
      </c>
      <c r="BX928" s="2" t="s">
        <v>100</v>
      </c>
      <c r="BY928" s="2" t="s">
        <v>112</v>
      </c>
      <c r="BZ928" s="2" t="s">
        <v>100</v>
      </c>
    </row>
    <row r="929">
      <c r="A929" s="2" t="s">
        <v>3228</v>
      </c>
      <c r="B929" s="2" t="s">
        <v>87</v>
      </c>
      <c r="C929" s="2" t="s">
        <v>88</v>
      </c>
      <c r="D929" s="2" t="s">
        <v>3079</v>
      </c>
      <c r="E929" s="2" t="s">
        <v>3176</v>
      </c>
      <c r="F929" s="2" t="s">
        <v>1400</v>
      </c>
      <c r="G929" s="2" t="s">
        <v>1401</v>
      </c>
      <c r="H929" s="2" t="s">
        <v>1402</v>
      </c>
      <c r="I929" s="2" t="s">
        <v>3226</v>
      </c>
      <c r="J929" s="2" t="s">
        <v>795</v>
      </c>
      <c r="K929" s="2" t="s">
        <v>1263</v>
      </c>
      <c r="L929" s="3">
        <v>38.09</v>
      </c>
      <c r="M929" s="3">
        <v>39.99</v>
      </c>
      <c r="N929" s="3">
        <v>79.99</v>
      </c>
      <c r="O929" s="2" t="s">
        <v>473</v>
      </c>
      <c r="P929" s="2" t="s">
        <v>447</v>
      </c>
      <c r="Q929" s="2" t="s">
        <v>99</v>
      </c>
      <c r="R929" s="2" t="s">
        <v>100</v>
      </c>
      <c r="S929" s="2" t="s">
        <v>3227</v>
      </c>
      <c r="T929" s="2" t="s">
        <v>787</v>
      </c>
      <c r="U929" s="2" t="s">
        <v>1508</v>
      </c>
      <c r="V929" s="2" t="s">
        <v>805</v>
      </c>
      <c r="W929" s="2" t="s">
        <v>1405</v>
      </c>
      <c r="X929" s="2" t="s">
        <v>976</v>
      </c>
      <c r="Y929" s="2" t="s">
        <v>1208</v>
      </c>
      <c r="Z929" s="4">
        <v>128</v>
      </c>
      <c r="AA929" s="4">
        <f>=ROUNDDOWN(32,0)</f>
      </c>
      <c r="AB929" s="5">
        <v>4</v>
      </c>
      <c r="AC929" s="2" t="s">
        <v>100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/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/>
      <c r="BJ929" s="4">
        <v>1</v>
      </c>
      <c r="BK929" s="8">
        <v>25.91</v>
      </c>
      <c r="BL929" s="2" t="s">
        <v>715</v>
      </c>
      <c r="BM929" s="7"/>
      <c r="BN929" s="7"/>
      <c r="BO929" s="4"/>
      <c r="BP929" s="8"/>
      <c r="BQ929" s="4"/>
      <c r="BR929" s="8"/>
      <c r="BS929" s="7"/>
      <c r="BT929" s="7"/>
      <c r="BU929" s="2" t="s">
        <v>3088</v>
      </c>
      <c r="BV929" s="2" t="s">
        <v>97</v>
      </c>
      <c r="BW929" s="2" t="s">
        <v>100</v>
      </c>
      <c r="BX929" s="2" t="s">
        <v>100</v>
      </c>
      <c r="BY929" s="2" t="s">
        <v>112</v>
      </c>
      <c r="BZ929" s="2" t="s">
        <v>100</v>
      </c>
    </row>
    <row r="930">
      <c r="A930" s="2" t="s">
        <v>3229</v>
      </c>
      <c r="B930" s="2" t="s">
        <v>87</v>
      </c>
      <c r="C930" s="2" t="s">
        <v>88</v>
      </c>
      <c r="D930" s="2" t="s">
        <v>3079</v>
      </c>
      <c r="E930" s="2" t="s">
        <v>3176</v>
      </c>
      <c r="F930" s="2" t="s">
        <v>1513</v>
      </c>
      <c r="G930" s="2" t="s">
        <v>2121</v>
      </c>
      <c r="H930" s="2" t="s">
        <v>2122</v>
      </c>
      <c r="I930" s="2" t="s">
        <v>3230</v>
      </c>
      <c r="J930" s="2" t="s">
        <v>785</v>
      </c>
      <c r="K930" s="2" t="s">
        <v>2124</v>
      </c>
      <c r="L930" s="3">
        <v>27.42</v>
      </c>
      <c r="M930" s="3">
        <v>28.79</v>
      </c>
      <c r="N930" s="3">
        <v>59.99</v>
      </c>
      <c r="O930" s="2" t="s">
        <v>97</v>
      </c>
      <c r="P930" s="2" t="s">
        <v>1216</v>
      </c>
      <c r="Q930" s="2" t="s">
        <v>99</v>
      </c>
      <c r="R930" s="2" t="s">
        <v>100</v>
      </c>
      <c r="S930" s="2" t="s">
        <v>2125</v>
      </c>
      <c r="T930" s="2" t="s">
        <v>1218</v>
      </c>
      <c r="U930" s="2" t="s">
        <v>1508</v>
      </c>
      <c r="V930" s="2" t="s">
        <v>608</v>
      </c>
      <c r="W930" s="2" t="s">
        <v>646</v>
      </c>
      <c r="X930" s="2" t="s">
        <v>788</v>
      </c>
      <c r="Y930" s="2" t="s">
        <v>2126</v>
      </c>
      <c r="Z930" s="4">
        <v>93</v>
      </c>
      <c r="AA930" s="4">
        <f>=ROUNDDOWN(46.5,0)</f>
      </c>
      <c r="AB930" s="5">
        <v>2</v>
      </c>
      <c r="AC930" s="2" t="s">
        <v>100</v>
      </c>
      <c r="AD930" s="4"/>
      <c r="AE930" s="4"/>
      <c r="AF930" s="6">
        <v>64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/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/>
      <c r="BJ930" s="4">
        <v>2</v>
      </c>
      <c r="BK930" s="8">
        <v>63.62</v>
      </c>
      <c r="BL930" s="2" t="s">
        <v>3231</v>
      </c>
      <c r="BM930" s="7"/>
      <c r="BN930" s="7"/>
      <c r="BO930" s="4"/>
      <c r="BP930" s="8"/>
      <c r="BQ930" s="4"/>
      <c r="BR930" s="8"/>
      <c r="BS930" s="7"/>
      <c r="BT930" s="7"/>
      <c r="BU930" s="2" t="s">
        <v>109</v>
      </c>
      <c r="BV930" s="2" t="s">
        <v>97</v>
      </c>
      <c r="BW930" s="2" t="s">
        <v>1221</v>
      </c>
      <c r="BX930" s="2" t="s">
        <v>100</v>
      </c>
      <c r="BY930" s="2" t="s">
        <v>112</v>
      </c>
      <c r="BZ930" s="2" t="s">
        <v>100</v>
      </c>
    </row>
    <row r="931">
      <c r="A931" s="2" t="s">
        <v>3232</v>
      </c>
      <c r="B931" s="2" t="s">
        <v>87</v>
      </c>
      <c r="C931" s="2" t="s">
        <v>88</v>
      </c>
      <c r="D931" s="2" t="s">
        <v>3079</v>
      </c>
      <c r="E931" s="2" t="s">
        <v>3176</v>
      </c>
      <c r="F931" s="2" t="s">
        <v>1513</v>
      </c>
      <c r="G931" s="2" t="s">
        <v>2121</v>
      </c>
      <c r="H931" s="2" t="s">
        <v>2122</v>
      </c>
      <c r="I931" s="2" t="s">
        <v>3230</v>
      </c>
      <c r="J931" s="2" t="s">
        <v>795</v>
      </c>
      <c r="K931" s="2" t="s">
        <v>2124</v>
      </c>
      <c r="L931" s="3">
        <v>32</v>
      </c>
      <c r="M931" s="3">
        <v>33.6</v>
      </c>
      <c r="N931" s="3">
        <v>69.99</v>
      </c>
      <c r="O931" s="2" t="s">
        <v>97</v>
      </c>
      <c r="P931" s="2" t="s">
        <v>1216</v>
      </c>
      <c r="Q931" s="2" t="s">
        <v>99</v>
      </c>
      <c r="R931" s="2" t="s">
        <v>100</v>
      </c>
      <c r="S931" s="2" t="s">
        <v>2125</v>
      </c>
      <c r="T931" s="2" t="s">
        <v>1218</v>
      </c>
      <c r="U931" s="2" t="s">
        <v>1508</v>
      </c>
      <c r="V931" s="2" t="s">
        <v>608</v>
      </c>
      <c r="W931" s="2" t="s">
        <v>646</v>
      </c>
      <c r="X931" s="2" t="s">
        <v>788</v>
      </c>
      <c r="Y931" s="2" t="s">
        <v>2129</v>
      </c>
      <c r="Z931" s="4">
        <v>162</v>
      </c>
      <c r="AA931" s="4">
        <f>=ROUNDDOWN(54,0)</f>
      </c>
      <c r="AB931" s="5">
        <v>3</v>
      </c>
      <c r="AC931" s="2" t="s">
        <v>100</v>
      </c>
      <c r="AD931" s="4"/>
      <c r="AE931" s="4"/>
      <c r="AF931" s="6">
        <v>64</v>
      </c>
      <c r="AG931" s="6"/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/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/>
      <c r="BJ931" s="4">
        <v>1</v>
      </c>
      <c r="BK931" s="8">
        <v>36.29</v>
      </c>
      <c r="BL931" s="2" t="s">
        <v>715</v>
      </c>
      <c r="BM931" s="7"/>
      <c r="BN931" s="7"/>
      <c r="BO931" s="4"/>
      <c r="BP931" s="8"/>
      <c r="BQ931" s="4"/>
      <c r="BR931" s="8"/>
      <c r="BS931" s="7"/>
      <c r="BT931" s="7"/>
      <c r="BU931" s="2" t="s">
        <v>109</v>
      </c>
      <c r="BV931" s="2" t="s">
        <v>97</v>
      </c>
      <c r="BW931" s="2" t="s">
        <v>1221</v>
      </c>
      <c r="BX931" s="2" t="s">
        <v>100</v>
      </c>
      <c r="BY931" s="2" t="s">
        <v>112</v>
      </c>
      <c r="BZ931" s="2" t="s">
        <v>100</v>
      </c>
    </row>
    <row r="932">
      <c r="A932" s="2" t="s">
        <v>3233</v>
      </c>
      <c r="B932" s="2" t="s">
        <v>87</v>
      </c>
      <c r="C932" s="2" t="s">
        <v>88</v>
      </c>
      <c r="D932" s="2" t="s">
        <v>3079</v>
      </c>
      <c r="E932" s="2" t="s">
        <v>3176</v>
      </c>
      <c r="F932" s="2" t="s">
        <v>2031</v>
      </c>
      <c r="G932" s="2" t="s">
        <v>2032</v>
      </c>
      <c r="H932" s="2" t="s">
        <v>2033</v>
      </c>
      <c r="I932" s="2" t="s">
        <v>3234</v>
      </c>
      <c r="J932" s="2" t="s">
        <v>785</v>
      </c>
      <c r="K932" s="2" t="s">
        <v>213</v>
      </c>
      <c r="L932" s="3">
        <v>58.8</v>
      </c>
      <c r="M932" s="3">
        <v>61.73</v>
      </c>
      <c r="N932" s="3">
        <v>119.99</v>
      </c>
      <c r="O932" s="2" t="s">
        <v>97</v>
      </c>
      <c r="P932" s="2" t="s">
        <v>98</v>
      </c>
      <c r="Q932" s="2" t="s">
        <v>99</v>
      </c>
      <c r="R932" s="2" t="s">
        <v>100</v>
      </c>
      <c r="S932" s="2" t="s">
        <v>2035</v>
      </c>
      <c r="T932" s="2" t="s">
        <v>100</v>
      </c>
      <c r="U932" s="2" t="s">
        <v>1508</v>
      </c>
      <c r="V932" s="2" t="s">
        <v>645</v>
      </c>
      <c r="W932" s="2" t="s">
        <v>976</v>
      </c>
      <c r="X932" s="2" t="s">
        <v>1205</v>
      </c>
      <c r="Y932" s="2" t="s">
        <v>2036</v>
      </c>
      <c r="Z932" s="4">
        <v>191</v>
      </c>
      <c r="AA932" s="4">
        <f>=ROUNDDOWN(27.2857142857143,0)</f>
      </c>
      <c r="AB932" s="5">
        <v>7</v>
      </c>
      <c r="AC932" s="2" t="s">
        <v>100</v>
      </c>
      <c r="AD932" s="4"/>
      <c r="AE932" s="4"/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/>
      <c r="BJ932" s="4">
        <v>4</v>
      </c>
      <c r="BK932" s="8">
        <v>238.36</v>
      </c>
      <c r="BL932" s="2" t="s">
        <v>3235</v>
      </c>
      <c r="BM932" s="7"/>
      <c r="BN932" s="7"/>
      <c r="BO932" s="4"/>
      <c r="BP932" s="8"/>
      <c r="BQ932" s="4"/>
      <c r="BR932" s="8"/>
      <c r="BS932" s="7"/>
      <c r="BT932" s="7"/>
      <c r="BU932" s="2" t="s">
        <v>109</v>
      </c>
      <c r="BV932" s="2" t="s">
        <v>97</v>
      </c>
      <c r="BW932" s="2" t="s">
        <v>326</v>
      </c>
      <c r="BX932" s="2" t="s">
        <v>3236</v>
      </c>
      <c r="BY932" s="2" t="s">
        <v>112</v>
      </c>
      <c r="BZ932" s="2" t="s">
        <v>100</v>
      </c>
    </row>
    <row r="933">
      <c r="A933" s="2" t="s">
        <v>3237</v>
      </c>
      <c r="B933" s="2" t="s">
        <v>87</v>
      </c>
      <c r="C933" s="2" t="s">
        <v>88</v>
      </c>
      <c r="D933" s="2" t="s">
        <v>3079</v>
      </c>
      <c r="E933" s="2" t="s">
        <v>3176</v>
      </c>
      <c r="F933" s="2" t="s">
        <v>2031</v>
      </c>
      <c r="G933" s="2" t="s">
        <v>2032</v>
      </c>
      <c r="H933" s="2" t="s">
        <v>2033</v>
      </c>
      <c r="I933" s="2" t="s">
        <v>3234</v>
      </c>
      <c r="J933" s="2" t="s">
        <v>795</v>
      </c>
      <c r="K933" s="2" t="s">
        <v>213</v>
      </c>
      <c r="L933" s="3">
        <v>68.6</v>
      </c>
      <c r="M933" s="3">
        <v>72.02</v>
      </c>
      <c r="N933" s="3">
        <v>139.99</v>
      </c>
      <c r="O933" s="2" t="s">
        <v>97</v>
      </c>
      <c r="P933" s="2" t="s">
        <v>98</v>
      </c>
      <c r="Q933" s="2" t="s">
        <v>99</v>
      </c>
      <c r="R933" s="2" t="s">
        <v>100</v>
      </c>
      <c r="S933" s="2" t="s">
        <v>2035</v>
      </c>
      <c r="T933" s="2" t="s">
        <v>100</v>
      </c>
      <c r="U933" s="2" t="s">
        <v>1508</v>
      </c>
      <c r="V933" s="2" t="s">
        <v>645</v>
      </c>
      <c r="W933" s="2" t="s">
        <v>976</v>
      </c>
      <c r="X933" s="2" t="s">
        <v>1205</v>
      </c>
      <c r="Y933" s="2" t="s">
        <v>2036</v>
      </c>
      <c r="Z933" s="4">
        <v>158</v>
      </c>
      <c r="AA933" s="4">
        <f>=ROUNDDOWN(22.5714285714286,0)</f>
      </c>
      <c r="AB933" s="5">
        <v>7</v>
      </c>
      <c r="AC933" s="2" t="s">
        <v>100</v>
      </c>
      <c r="AD933" s="4"/>
      <c r="AE933" s="4"/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/>
      <c r="BJ933" s="4">
        <v>4</v>
      </c>
      <c r="BK933" s="8">
        <v>288.81</v>
      </c>
      <c r="BL933" s="2" t="s">
        <v>501</v>
      </c>
      <c r="BM933" s="7"/>
      <c r="BN933" s="7"/>
      <c r="BO933" s="4"/>
      <c r="BP933" s="8"/>
      <c r="BQ933" s="4"/>
      <c r="BR933" s="8"/>
      <c r="BS933" s="7"/>
      <c r="BT933" s="7"/>
      <c r="BU933" s="2" t="s">
        <v>109</v>
      </c>
      <c r="BV933" s="2" t="s">
        <v>97</v>
      </c>
      <c r="BW933" s="2" t="s">
        <v>326</v>
      </c>
      <c r="BX933" s="2" t="s">
        <v>1931</v>
      </c>
      <c r="BY933" s="2" t="s">
        <v>112</v>
      </c>
      <c r="BZ933" s="2" t="s">
        <v>100</v>
      </c>
    </row>
    <row r="934">
      <c r="A934" s="2" t="s">
        <v>3238</v>
      </c>
      <c r="B934" s="2" t="s">
        <v>87</v>
      </c>
      <c r="C934" s="2" t="s">
        <v>88</v>
      </c>
      <c r="D934" s="2" t="s">
        <v>3079</v>
      </c>
      <c r="E934" s="2" t="s">
        <v>3176</v>
      </c>
      <c r="F934" s="2" t="s">
        <v>1453</v>
      </c>
      <c r="G934" s="2" t="s">
        <v>1454</v>
      </c>
      <c r="H934" s="2" t="s">
        <v>1455</v>
      </c>
      <c r="I934" s="2" t="s">
        <v>3239</v>
      </c>
      <c r="J934" s="2" t="s">
        <v>785</v>
      </c>
      <c r="K934" s="2" t="s">
        <v>1457</v>
      </c>
      <c r="L934" s="3">
        <v>33.33</v>
      </c>
      <c r="M934" s="3">
        <v>35</v>
      </c>
      <c r="N934" s="3">
        <v>69.99</v>
      </c>
      <c r="O934" s="2" t="s">
        <v>97</v>
      </c>
      <c r="P934" s="2" t="s">
        <v>1216</v>
      </c>
      <c r="Q934" s="2" t="s">
        <v>99</v>
      </c>
      <c r="R934" s="2" t="s">
        <v>100</v>
      </c>
      <c r="S934" s="2" t="s">
        <v>1458</v>
      </c>
      <c r="T934" s="2" t="s">
        <v>100</v>
      </c>
      <c r="U934" s="2" t="s">
        <v>1508</v>
      </c>
      <c r="V934" s="2" t="s">
        <v>677</v>
      </c>
      <c r="W934" s="2" t="s">
        <v>345</v>
      </c>
      <c r="X934" s="2" t="s">
        <v>788</v>
      </c>
      <c r="Y934" s="2" t="s">
        <v>3240</v>
      </c>
      <c r="Z934" s="4">
        <v>19</v>
      </c>
      <c r="AA934" s="4">
        <f>=ROUNDDOWN(9.5,0)</f>
      </c>
      <c r="AB934" s="5">
        <v>2</v>
      </c>
      <c r="AC934" s="2" t="s">
        <v>100</v>
      </c>
      <c r="AD934" s="4"/>
      <c r="AE934" s="4"/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/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/>
      <c r="BJ934" s="4">
        <v>2</v>
      </c>
      <c r="BK934" s="8">
        <v>67.53</v>
      </c>
      <c r="BL934" s="2" t="s">
        <v>1896</v>
      </c>
      <c r="BM934" s="7"/>
      <c r="BN934" s="7"/>
      <c r="BO934" s="4"/>
      <c r="BP934" s="8"/>
      <c r="BQ934" s="4"/>
      <c r="BR934" s="8"/>
      <c r="BS934" s="7"/>
      <c r="BT934" s="7"/>
      <c r="BU934" s="2" t="s">
        <v>109</v>
      </c>
      <c r="BV934" s="2" t="s">
        <v>97</v>
      </c>
      <c r="BW934" s="2" t="s">
        <v>1221</v>
      </c>
      <c r="BX934" s="2" t="s">
        <v>100</v>
      </c>
      <c r="BY934" s="2" t="s">
        <v>112</v>
      </c>
      <c r="BZ934" s="2" t="s">
        <v>100</v>
      </c>
    </row>
    <row r="935">
      <c r="A935" s="2" t="s">
        <v>3241</v>
      </c>
      <c r="B935" s="2" t="s">
        <v>87</v>
      </c>
      <c r="C935" s="2" t="s">
        <v>88</v>
      </c>
      <c r="D935" s="2" t="s">
        <v>3079</v>
      </c>
      <c r="E935" s="2" t="s">
        <v>3176</v>
      </c>
      <c r="F935" s="2" t="s">
        <v>1453</v>
      </c>
      <c r="G935" s="2" t="s">
        <v>1454</v>
      </c>
      <c r="H935" s="2" t="s">
        <v>1455</v>
      </c>
      <c r="I935" s="2" t="s">
        <v>3239</v>
      </c>
      <c r="J935" s="2" t="s">
        <v>795</v>
      </c>
      <c r="K935" s="2" t="s">
        <v>1457</v>
      </c>
      <c r="L935" s="3">
        <v>38.09</v>
      </c>
      <c r="M935" s="3">
        <v>39.99</v>
      </c>
      <c r="N935" s="3">
        <v>79.99</v>
      </c>
      <c r="O935" s="2" t="s">
        <v>97</v>
      </c>
      <c r="P935" s="2" t="s">
        <v>1216</v>
      </c>
      <c r="Q935" s="2" t="s">
        <v>99</v>
      </c>
      <c r="R935" s="2" t="s">
        <v>100</v>
      </c>
      <c r="S935" s="2" t="s">
        <v>1458</v>
      </c>
      <c r="T935" s="2" t="s">
        <v>100</v>
      </c>
      <c r="U935" s="2" t="s">
        <v>1508</v>
      </c>
      <c r="V935" s="2" t="s">
        <v>677</v>
      </c>
      <c r="W935" s="2" t="s">
        <v>345</v>
      </c>
      <c r="X935" s="2" t="s">
        <v>788</v>
      </c>
      <c r="Y935" s="2" t="s">
        <v>3240</v>
      </c>
      <c r="Z935" s="4">
        <v>31</v>
      </c>
      <c r="AA935" s="4">
        <f>=ROUNDDOWN(15.5,0)</f>
      </c>
      <c r="AB935" s="5">
        <v>2</v>
      </c>
      <c r="AC935" s="2" t="s">
        <v>100</v>
      </c>
      <c r="AD935" s="4"/>
      <c r="AE935" s="4"/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/>
      <c r="BJ935" s="4"/>
      <c r="BK935" s="8"/>
      <c r="BL935" s="2" t="s">
        <v>100</v>
      </c>
      <c r="BM935" s="7"/>
      <c r="BN935" s="7"/>
      <c r="BO935" s="4"/>
      <c r="BP935" s="8"/>
      <c r="BQ935" s="4"/>
      <c r="BR935" s="8"/>
      <c r="BS935" s="7"/>
      <c r="BT935" s="7"/>
      <c r="BU935" s="2" t="s">
        <v>109</v>
      </c>
      <c r="BV935" s="2" t="s">
        <v>97</v>
      </c>
      <c r="BW935" s="2" t="s">
        <v>1221</v>
      </c>
      <c r="BX935" s="2" t="s">
        <v>100</v>
      </c>
      <c r="BY935" s="2" t="s">
        <v>112</v>
      </c>
      <c r="BZ935" s="2" t="s">
        <v>100</v>
      </c>
    </row>
    <row r="936">
      <c r="A936" s="2" t="s">
        <v>3242</v>
      </c>
      <c r="B936" s="2" t="s">
        <v>87</v>
      </c>
      <c r="C936" s="2" t="s">
        <v>88</v>
      </c>
      <c r="D936" s="2" t="s">
        <v>3079</v>
      </c>
      <c r="E936" s="2" t="s">
        <v>3176</v>
      </c>
      <c r="F936" s="2" t="s">
        <v>1502</v>
      </c>
      <c r="G936" s="2" t="s">
        <v>1503</v>
      </c>
      <c r="H936" s="2" t="s">
        <v>1504</v>
      </c>
      <c r="I936" s="2" t="s">
        <v>3209</v>
      </c>
      <c r="J936" s="2" t="s">
        <v>785</v>
      </c>
      <c r="K936" s="2" t="s">
        <v>1506</v>
      </c>
      <c r="L936" s="3">
        <v>32</v>
      </c>
      <c r="M936" s="3">
        <v>33.6</v>
      </c>
      <c r="N936" s="3">
        <v>69.99</v>
      </c>
      <c r="O936" s="2" t="s">
        <v>97</v>
      </c>
      <c r="P936" s="2" t="s">
        <v>1335</v>
      </c>
      <c r="Q936" s="2" t="s">
        <v>99</v>
      </c>
      <c r="R936" s="2" t="s">
        <v>100</v>
      </c>
      <c r="S936" s="2" t="s">
        <v>1507</v>
      </c>
      <c r="T936" s="2" t="s">
        <v>359</v>
      </c>
      <c r="U936" s="2" t="s">
        <v>1508</v>
      </c>
      <c r="V936" s="2" t="s">
        <v>677</v>
      </c>
      <c r="W936" s="2" t="s">
        <v>646</v>
      </c>
      <c r="X936" s="2" t="s">
        <v>898</v>
      </c>
      <c r="Y936" s="2" t="s">
        <v>100</v>
      </c>
      <c r="Z936" s="4"/>
      <c r="AA936" s="4">
        <f>=ROUNDDOWN({0},0)</f>
      </c>
      <c r="AB936" s="5"/>
      <c r="AC936" s="2" t="s">
        <v>615</v>
      </c>
      <c r="AD936" s="4">
        <v>110</v>
      </c>
      <c r="AE936" s="4">
        <v>220</v>
      </c>
      <c r="AF936" s="6">
        <v>65</v>
      </c>
      <c r="AG936" s="6"/>
      <c r="AH936" s="7">
        <v>0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/>
      <c r="BJ936" s="4"/>
      <c r="BK936" s="8"/>
      <c r="BL936" s="2" t="s">
        <v>100</v>
      </c>
      <c r="BM936" s="7"/>
      <c r="BN936" s="7"/>
      <c r="BO936" s="4"/>
      <c r="BP936" s="8"/>
      <c r="BQ936" s="4"/>
      <c r="BR936" s="8"/>
      <c r="BS936" s="7"/>
      <c r="BT936" s="7"/>
      <c r="BU936" s="2" t="s">
        <v>1338</v>
      </c>
      <c r="BV936" s="2" t="s">
        <v>97</v>
      </c>
      <c r="BW936" s="2" t="s">
        <v>100</v>
      </c>
      <c r="BX936" s="2" t="s">
        <v>100</v>
      </c>
      <c r="BY936" s="2" t="s">
        <v>112</v>
      </c>
      <c r="BZ936" s="2" t="s">
        <v>100</v>
      </c>
    </row>
    <row r="937">
      <c r="A937" s="2" t="s">
        <v>3243</v>
      </c>
      <c r="B937" s="2" t="s">
        <v>87</v>
      </c>
      <c r="C937" s="2" t="s">
        <v>88</v>
      </c>
      <c r="D937" s="2" t="s">
        <v>3079</v>
      </c>
      <c r="E937" s="2" t="s">
        <v>3176</v>
      </c>
      <c r="F937" s="2" t="s">
        <v>1502</v>
      </c>
      <c r="G937" s="2" t="s">
        <v>1503</v>
      </c>
      <c r="H937" s="2" t="s">
        <v>1504</v>
      </c>
      <c r="I937" s="2" t="s">
        <v>3209</v>
      </c>
      <c r="J937" s="2" t="s">
        <v>795</v>
      </c>
      <c r="K937" s="2" t="s">
        <v>1506</v>
      </c>
      <c r="L937" s="3">
        <v>36.57</v>
      </c>
      <c r="M937" s="3">
        <v>38.4</v>
      </c>
      <c r="N937" s="3">
        <v>79.99</v>
      </c>
      <c r="O937" s="2" t="s">
        <v>97</v>
      </c>
      <c r="P937" s="2" t="s">
        <v>1335</v>
      </c>
      <c r="Q937" s="2" t="s">
        <v>99</v>
      </c>
      <c r="R937" s="2" t="s">
        <v>100</v>
      </c>
      <c r="S937" s="2" t="s">
        <v>1507</v>
      </c>
      <c r="T937" s="2" t="s">
        <v>359</v>
      </c>
      <c r="U937" s="2" t="s">
        <v>1508</v>
      </c>
      <c r="V937" s="2" t="s">
        <v>677</v>
      </c>
      <c r="W937" s="2" t="s">
        <v>646</v>
      </c>
      <c r="X937" s="2" t="s">
        <v>898</v>
      </c>
      <c r="Y937" s="2" t="s">
        <v>100</v>
      </c>
      <c r="Z937" s="4"/>
      <c r="AA937" s="4">
        <f>=ROUNDDOWN({0},0)</f>
      </c>
      <c r="AB937" s="5"/>
      <c r="AC937" s="2" t="s">
        <v>615</v>
      </c>
      <c r="AD937" s="4">
        <v>105</v>
      </c>
      <c r="AE937" s="4">
        <v>210</v>
      </c>
      <c r="AF937" s="6">
        <v>65</v>
      </c>
      <c r="AG937" s="6"/>
      <c r="AH937" s="7">
        <v>0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/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/>
      <c r="BJ937" s="4"/>
      <c r="BK937" s="8"/>
      <c r="BL937" s="2" t="s">
        <v>100</v>
      </c>
      <c r="BM937" s="7"/>
      <c r="BN937" s="7"/>
      <c r="BO937" s="4"/>
      <c r="BP937" s="8"/>
      <c r="BQ937" s="4"/>
      <c r="BR937" s="8"/>
      <c r="BS937" s="7"/>
      <c r="BT937" s="7"/>
      <c r="BU937" s="2" t="s">
        <v>1338</v>
      </c>
      <c r="BV937" s="2" t="s">
        <v>97</v>
      </c>
      <c r="BW937" s="2" t="s">
        <v>100</v>
      </c>
      <c r="BX937" s="2" t="s">
        <v>100</v>
      </c>
      <c r="BY937" s="2" t="s">
        <v>112</v>
      </c>
      <c r="BZ937" s="2" t="s">
        <v>100</v>
      </c>
    </row>
    <row r="938">
      <c r="A938" s="2" t="s">
        <v>3244</v>
      </c>
      <c r="B938" s="2" t="s">
        <v>87</v>
      </c>
      <c r="C938" s="2" t="s">
        <v>88</v>
      </c>
      <c r="D938" s="2" t="s">
        <v>3079</v>
      </c>
      <c r="E938" s="2" t="s">
        <v>3176</v>
      </c>
      <c r="F938" s="2" t="s">
        <v>2132</v>
      </c>
      <c r="G938" s="2" t="s">
        <v>2133</v>
      </c>
      <c r="H938" s="2" t="s">
        <v>2134</v>
      </c>
      <c r="I938" s="2" t="s">
        <v>3245</v>
      </c>
      <c r="J938" s="2" t="s">
        <v>785</v>
      </c>
      <c r="K938" s="2" t="s">
        <v>96</v>
      </c>
      <c r="L938" s="3">
        <v>53.9</v>
      </c>
      <c r="M938" s="3">
        <v>56.59</v>
      </c>
      <c r="N938" s="3">
        <v>109.99</v>
      </c>
      <c r="O938" s="2" t="s">
        <v>97</v>
      </c>
      <c r="P938" s="2" t="s">
        <v>98</v>
      </c>
      <c r="Q938" s="2" t="s">
        <v>99</v>
      </c>
      <c r="R938" s="2" t="s">
        <v>100</v>
      </c>
      <c r="S938" s="2" t="s">
        <v>2136</v>
      </c>
      <c r="T938" s="2" t="s">
        <v>359</v>
      </c>
      <c r="U938" s="2" t="s">
        <v>1508</v>
      </c>
      <c r="V938" s="2" t="s">
        <v>608</v>
      </c>
      <c r="W938" s="2" t="s">
        <v>646</v>
      </c>
      <c r="X938" s="2" t="s">
        <v>2137</v>
      </c>
      <c r="Y938" s="2" t="s">
        <v>2138</v>
      </c>
      <c r="Z938" s="4">
        <v>254</v>
      </c>
      <c r="AA938" s="4">
        <f>=ROUNDDOWN(36.2857142857143,0)</f>
      </c>
      <c r="AB938" s="5">
        <v>7</v>
      </c>
      <c r="AC938" s="2" t="s">
        <v>2080</v>
      </c>
      <c r="AD938" s="4">
        <v>110</v>
      </c>
      <c r="AE938" s="4">
        <v>160</v>
      </c>
      <c r="AF938" s="6">
        <v>71</v>
      </c>
      <c r="AG938" s="6">
        <v>79</v>
      </c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/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/>
      <c r="BJ938" s="4">
        <v>4</v>
      </c>
      <c r="BK938" s="8">
        <v>218.56</v>
      </c>
      <c r="BL938" s="2" t="s">
        <v>523</v>
      </c>
      <c r="BM938" s="7"/>
      <c r="BN938" s="7"/>
      <c r="BO938" s="4"/>
      <c r="BP938" s="8"/>
      <c r="BQ938" s="4"/>
      <c r="BR938" s="8"/>
      <c r="BS938" s="7"/>
      <c r="BT938" s="7"/>
      <c r="BU938" s="2" t="s">
        <v>109</v>
      </c>
      <c r="BV938" s="2" t="s">
        <v>97</v>
      </c>
      <c r="BW938" s="2" t="s">
        <v>326</v>
      </c>
      <c r="BX938" s="2" t="s">
        <v>1931</v>
      </c>
      <c r="BY938" s="2" t="s">
        <v>112</v>
      </c>
      <c r="BZ938" s="2" t="s">
        <v>100</v>
      </c>
    </row>
    <row r="939">
      <c r="A939" s="2" t="s">
        <v>3246</v>
      </c>
      <c r="B939" s="2" t="s">
        <v>87</v>
      </c>
      <c r="C939" s="2" t="s">
        <v>88</v>
      </c>
      <c r="D939" s="2" t="s">
        <v>3079</v>
      </c>
      <c r="E939" s="2" t="s">
        <v>3176</v>
      </c>
      <c r="F939" s="2" t="s">
        <v>2132</v>
      </c>
      <c r="G939" s="2" t="s">
        <v>2133</v>
      </c>
      <c r="H939" s="2" t="s">
        <v>2134</v>
      </c>
      <c r="I939" s="2" t="s">
        <v>3245</v>
      </c>
      <c r="J939" s="2" t="s">
        <v>795</v>
      </c>
      <c r="K939" s="2" t="s">
        <v>96</v>
      </c>
      <c r="L939" s="3">
        <v>63.7</v>
      </c>
      <c r="M939" s="3">
        <v>66.88</v>
      </c>
      <c r="N939" s="3">
        <v>129.99</v>
      </c>
      <c r="O939" s="2" t="s">
        <v>97</v>
      </c>
      <c r="P939" s="2" t="s">
        <v>98</v>
      </c>
      <c r="Q939" s="2" t="s">
        <v>99</v>
      </c>
      <c r="R939" s="2" t="s">
        <v>100</v>
      </c>
      <c r="S939" s="2" t="s">
        <v>2136</v>
      </c>
      <c r="T939" s="2" t="s">
        <v>359</v>
      </c>
      <c r="U939" s="2" t="s">
        <v>1508</v>
      </c>
      <c r="V939" s="2" t="s">
        <v>608</v>
      </c>
      <c r="W939" s="2" t="s">
        <v>646</v>
      </c>
      <c r="X939" s="2" t="s">
        <v>2137</v>
      </c>
      <c r="Y939" s="2" t="s">
        <v>2138</v>
      </c>
      <c r="Z939" s="4">
        <v>286</v>
      </c>
      <c r="AA939" s="4">
        <f>=ROUNDDOWN(95.3333333333333,0)</f>
      </c>
      <c r="AB939" s="5">
        <v>3</v>
      </c>
      <c r="AC939" s="2" t="s">
        <v>100</v>
      </c>
      <c r="AD939" s="4"/>
      <c r="AE939" s="4"/>
      <c r="AF939" s="6">
        <v>71</v>
      </c>
      <c r="AG939" s="6">
        <v>79</v>
      </c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/>
      <c r="BJ939" s="4">
        <v>2</v>
      </c>
      <c r="BK939" s="8">
        <v>134.71</v>
      </c>
      <c r="BL939" s="2" t="s">
        <v>543</v>
      </c>
      <c r="BM939" s="7"/>
      <c r="BN939" s="7"/>
      <c r="BO939" s="4"/>
      <c r="BP939" s="8"/>
      <c r="BQ939" s="4"/>
      <c r="BR939" s="8"/>
      <c r="BS939" s="7"/>
      <c r="BT939" s="7"/>
      <c r="BU939" s="2" t="s">
        <v>109</v>
      </c>
      <c r="BV939" s="2" t="s">
        <v>97</v>
      </c>
      <c r="BW939" s="2" t="s">
        <v>326</v>
      </c>
      <c r="BX939" s="2" t="s">
        <v>3247</v>
      </c>
      <c r="BY939" s="2" t="s">
        <v>112</v>
      </c>
      <c r="BZ939" s="2" t="s">
        <v>100</v>
      </c>
    </row>
    <row r="940">
      <c r="A940" s="2" t="s">
        <v>3248</v>
      </c>
      <c r="B940" s="2" t="s">
        <v>87</v>
      </c>
      <c r="C940" s="2" t="s">
        <v>88</v>
      </c>
      <c r="D940" s="2" t="s">
        <v>3079</v>
      </c>
      <c r="E940" s="2" t="s">
        <v>3176</v>
      </c>
      <c r="F940" s="2" t="s">
        <v>2132</v>
      </c>
      <c r="G940" s="2" t="s">
        <v>2133</v>
      </c>
      <c r="H940" s="2" t="s">
        <v>2134</v>
      </c>
      <c r="I940" s="2" t="s">
        <v>3245</v>
      </c>
      <c r="J940" s="2" t="s">
        <v>785</v>
      </c>
      <c r="K940" s="2" t="s">
        <v>146</v>
      </c>
      <c r="L940" s="3">
        <v>53.9</v>
      </c>
      <c r="M940" s="3">
        <v>56.59</v>
      </c>
      <c r="N940" s="3">
        <v>109.99</v>
      </c>
      <c r="O940" s="2" t="s">
        <v>97</v>
      </c>
      <c r="P940" s="2" t="s">
        <v>98</v>
      </c>
      <c r="Q940" s="2" t="s">
        <v>99</v>
      </c>
      <c r="R940" s="2" t="s">
        <v>100</v>
      </c>
      <c r="S940" s="2" t="s">
        <v>2145</v>
      </c>
      <c r="T940" s="2" t="s">
        <v>359</v>
      </c>
      <c r="U940" s="2" t="s">
        <v>1508</v>
      </c>
      <c r="V940" s="2" t="s">
        <v>608</v>
      </c>
      <c r="W940" s="2" t="s">
        <v>646</v>
      </c>
      <c r="X940" s="2" t="s">
        <v>2137</v>
      </c>
      <c r="Y940" s="2" t="s">
        <v>2138</v>
      </c>
      <c r="Z940" s="4">
        <v>308</v>
      </c>
      <c r="AA940" s="4">
        <f>=ROUNDDOWN(102.666666666667,0)</f>
      </c>
      <c r="AB940" s="5">
        <v>3</v>
      </c>
      <c r="AC940" s="2" t="s">
        <v>100</v>
      </c>
      <c r="AD940" s="4"/>
      <c r="AE940" s="4"/>
      <c r="AF940" s="6">
        <v>71</v>
      </c>
      <c r="AG940" s="6">
        <v>79</v>
      </c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/>
      <c r="BJ940" s="4"/>
      <c r="BK940" s="8"/>
      <c r="BL940" s="2" t="s">
        <v>100</v>
      </c>
      <c r="BM940" s="7"/>
      <c r="BN940" s="7"/>
      <c r="BO940" s="4"/>
      <c r="BP940" s="8"/>
      <c r="BQ940" s="4"/>
      <c r="BR940" s="8"/>
      <c r="BS940" s="7"/>
      <c r="BT940" s="7"/>
      <c r="BU940" s="2" t="s">
        <v>109</v>
      </c>
      <c r="BV940" s="2" t="s">
        <v>97</v>
      </c>
      <c r="BW940" s="2" t="s">
        <v>326</v>
      </c>
      <c r="BX940" s="2" t="s">
        <v>1931</v>
      </c>
      <c r="BY940" s="2" t="s">
        <v>112</v>
      </c>
      <c r="BZ940" s="2" t="s">
        <v>100</v>
      </c>
    </row>
    <row r="941">
      <c r="A941" s="2" t="s">
        <v>3249</v>
      </c>
      <c r="B941" s="2" t="s">
        <v>87</v>
      </c>
      <c r="C941" s="2" t="s">
        <v>88</v>
      </c>
      <c r="D941" s="2" t="s">
        <v>3079</v>
      </c>
      <c r="E941" s="2" t="s">
        <v>3176</v>
      </c>
      <c r="F941" s="2" t="s">
        <v>2132</v>
      </c>
      <c r="G941" s="2" t="s">
        <v>2133</v>
      </c>
      <c r="H941" s="2" t="s">
        <v>2134</v>
      </c>
      <c r="I941" s="2" t="s">
        <v>3245</v>
      </c>
      <c r="J941" s="2" t="s">
        <v>795</v>
      </c>
      <c r="K941" s="2" t="s">
        <v>146</v>
      </c>
      <c r="L941" s="3">
        <v>63.7</v>
      </c>
      <c r="M941" s="3">
        <v>66.88</v>
      </c>
      <c r="N941" s="3">
        <v>129.99</v>
      </c>
      <c r="O941" s="2" t="s">
        <v>97</v>
      </c>
      <c r="P941" s="2" t="s">
        <v>98</v>
      </c>
      <c r="Q941" s="2" t="s">
        <v>99</v>
      </c>
      <c r="R941" s="2" t="s">
        <v>100</v>
      </c>
      <c r="S941" s="2" t="s">
        <v>2145</v>
      </c>
      <c r="T941" s="2" t="s">
        <v>359</v>
      </c>
      <c r="U941" s="2" t="s">
        <v>1508</v>
      </c>
      <c r="V941" s="2" t="s">
        <v>608</v>
      </c>
      <c r="W941" s="2" t="s">
        <v>646</v>
      </c>
      <c r="X941" s="2" t="s">
        <v>2137</v>
      </c>
      <c r="Y941" s="2" t="s">
        <v>2138</v>
      </c>
      <c r="Z941" s="4">
        <v>443</v>
      </c>
      <c r="AA941" s="4">
        <f>=ROUNDDOWN(88.6,0)</f>
      </c>
      <c r="AB941" s="5">
        <v>5</v>
      </c>
      <c r="AC941" s="2" t="s">
        <v>2139</v>
      </c>
      <c r="AD941" s="4">
        <v>30</v>
      </c>
      <c r="AE941" s="4">
        <v>80</v>
      </c>
      <c r="AF941" s="6">
        <v>71</v>
      </c>
      <c r="AG941" s="6">
        <v>79</v>
      </c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/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/>
      <c r="BJ941" s="4">
        <v>5</v>
      </c>
      <c r="BK941" s="8">
        <v>348.12</v>
      </c>
      <c r="BL941" s="2" t="s">
        <v>2869</v>
      </c>
      <c r="BM941" s="7"/>
      <c r="BN941" s="7"/>
      <c r="BO941" s="4"/>
      <c r="BP941" s="8"/>
      <c r="BQ941" s="4"/>
      <c r="BR941" s="8"/>
      <c r="BS941" s="7"/>
      <c r="BT941" s="7"/>
      <c r="BU941" s="2" t="s">
        <v>109</v>
      </c>
      <c r="BV941" s="2" t="s">
        <v>97</v>
      </c>
      <c r="BW941" s="2" t="s">
        <v>326</v>
      </c>
      <c r="BX941" s="2" t="s">
        <v>2473</v>
      </c>
      <c r="BY941" s="2" t="s">
        <v>112</v>
      </c>
      <c r="BZ941" s="2" t="s">
        <v>100</v>
      </c>
    </row>
    <row r="942">
      <c r="A942" s="2" t="s">
        <v>3250</v>
      </c>
      <c r="B942" s="2" t="s">
        <v>87</v>
      </c>
      <c r="C942" s="2" t="s">
        <v>88</v>
      </c>
      <c r="D942" s="2" t="s">
        <v>3079</v>
      </c>
      <c r="E942" s="2" t="s">
        <v>3176</v>
      </c>
      <c r="F942" s="2" t="s">
        <v>2132</v>
      </c>
      <c r="G942" s="2" t="s">
        <v>2133</v>
      </c>
      <c r="H942" s="2" t="s">
        <v>2134</v>
      </c>
      <c r="I942" s="2" t="s">
        <v>3245</v>
      </c>
      <c r="J942" s="2" t="s">
        <v>785</v>
      </c>
      <c r="K942" s="2" t="s">
        <v>1834</v>
      </c>
      <c r="L942" s="3">
        <v>53.9</v>
      </c>
      <c r="M942" s="3">
        <v>56.59</v>
      </c>
      <c r="N942" s="3">
        <v>109.99</v>
      </c>
      <c r="O942" s="2" t="s">
        <v>97</v>
      </c>
      <c r="P942" s="2" t="s">
        <v>98</v>
      </c>
      <c r="Q942" s="2" t="s">
        <v>99</v>
      </c>
      <c r="R942" s="2" t="s">
        <v>100</v>
      </c>
      <c r="S942" s="2" t="s">
        <v>2149</v>
      </c>
      <c r="T942" s="2" t="s">
        <v>359</v>
      </c>
      <c r="U942" s="2" t="s">
        <v>1508</v>
      </c>
      <c r="V942" s="2" t="s">
        <v>608</v>
      </c>
      <c r="W942" s="2" t="s">
        <v>646</v>
      </c>
      <c r="X942" s="2" t="s">
        <v>2137</v>
      </c>
      <c r="Y942" s="2" t="s">
        <v>2138</v>
      </c>
      <c r="Z942" s="4">
        <v>778</v>
      </c>
      <c r="AA942" s="4">
        <f>=ROUNDDOWN(70.7272727272727,0)</f>
      </c>
      <c r="AB942" s="5">
        <v>11</v>
      </c>
      <c r="AC942" s="2" t="s">
        <v>100</v>
      </c>
      <c r="AD942" s="4"/>
      <c r="AE942" s="4"/>
      <c r="AF942" s="6">
        <v>71</v>
      </c>
      <c r="AG942" s="6">
        <v>79</v>
      </c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/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/>
      <c r="BJ942" s="4">
        <v>8</v>
      </c>
      <c r="BK942" s="8">
        <v>449.93</v>
      </c>
      <c r="BL942" s="2" t="s">
        <v>1963</v>
      </c>
      <c r="BM942" s="7"/>
      <c r="BN942" s="7"/>
      <c r="BO942" s="4"/>
      <c r="BP942" s="8"/>
      <c r="BQ942" s="4"/>
      <c r="BR942" s="8"/>
      <c r="BS942" s="7"/>
      <c r="BT942" s="7"/>
      <c r="BU942" s="2" t="s">
        <v>109</v>
      </c>
      <c r="BV942" s="2" t="s">
        <v>97</v>
      </c>
      <c r="BW942" s="2" t="s">
        <v>326</v>
      </c>
      <c r="BX942" s="2" t="s">
        <v>1931</v>
      </c>
      <c r="BY942" s="2" t="s">
        <v>112</v>
      </c>
      <c r="BZ942" s="2" t="s">
        <v>100</v>
      </c>
    </row>
    <row r="943">
      <c r="A943" s="2" t="s">
        <v>3251</v>
      </c>
      <c r="B943" s="2" t="s">
        <v>87</v>
      </c>
      <c r="C943" s="2" t="s">
        <v>88</v>
      </c>
      <c r="D943" s="2" t="s">
        <v>3079</v>
      </c>
      <c r="E943" s="2" t="s">
        <v>3176</v>
      </c>
      <c r="F943" s="2" t="s">
        <v>2132</v>
      </c>
      <c r="G943" s="2" t="s">
        <v>2133</v>
      </c>
      <c r="H943" s="2" t="s">
        <v>2134</v>
      </c>
      <c r="I943" s="2" t="s">
        <v>3245</v>
      </c>
      <c r="J943" s="2" t="s">
        <v>795</v>
      </c>
      <c r="K943" s="2" t="s">
        <v>1834</v>
      </c>
      <c r="L943" s="3">
        <v>63.7</v>
      </c>
      <c r="M943" s="3">
        <v>66.88</v>
      </c>
      <c r="N943" s="3">
        <v>129.99</v>
      </c>
      <c r="O943" s="2" t="s">
        <v>97</v>
      </c>
      <c r="P943" s="2" t="s">
        <v>98</v>
      </c>
      <c r="Q943" s="2" t="s">
        <v>99</v>
      </c>
      <c r="R943" s="2" t="s">
        <v>100</v>
      </c>
      <c r="S943" s="2" t="s">
        <v>2149</v>
      </c>
      <c r="T943" s="2" t="s">
        <v>359</v>
      </c>
      <c r="U943" s="2" t="s">
        <v>1508</v>
      </c>
      <c r="V943" s="2" t="s">
        <v>608</v>
      </c>
      <c r="W943" s="2" t="s">
        <v>646</v>
      </c>
      <c r="X943" s="2" t="s">
        <v>2137</v>
      </c>
      <c r="Y943" s="2" t="s">
        <v>2138</v>
      </c>
      <c r="Z943" s="4">
        <v>870</v>
      </c>
      <c r="AA943" s="4">
        <f>=ROUNDDOWN(79.0909090909091,0)</f>
      </c>
      <c r="AB943" s="5">
        <v>11</v>
      </c>
      <c r="AC943" s="2" t="s">
        <v>100</v>
      </c>
      <c r="AD943" s="4"/>
      <c r="AE943" s="4"/>
      <c r="AF943" s="6">
        <v>71</v>
      </c>
      <c r="AG943" s="6">
        <v>79</v>
      </c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/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/>
      <c r="BJ943" s="4">
        <v>12</v>
      </c>
      <c r="BK943" s="8">
        <v>771.41</v>
      </c>
      <c r="BL943" s="2" t="s">
        <v>720</v>
      </c>
      <c r="BM943" s="7"/>
      <c r="BN943" s="7"/>
      <c r="BO943" s="4"/>
      <c r="BP943" s="8"/>
      <c r="BQ943" s="4"/>
      <c r="BR943" s="8"/>
      <c r="BS943" s="7"/>
      <c r="BT943" s="7"/>
      <c r="BU943" s="2" t="s">
        <v>109</v>
      </c>
      <c r="BV943" s="2" t="s">
        <v>97</v>
      </c>
      <c r="BW943" s="2" t="s">
        <v>326</v>
      </c>
      <c r="BX943" s="2" t="s">
        <v>3252</v>
      </c>
      <c r="BY943" s="2" t="s">
        <v>112</v>
      </c>
      <c r="BZ943" s="2" t="s">
        <v>100</v>
      </c>
    </row>
    <row r="944">
      <c r="A944" s="2" t="s">
        <v>3253</v>
      </c>
      <c r="B944" s="2" t="s">
        <v>87</v>
      </c>
      <c r="C944" s="2" t="s">
        <v>88</v>
      </c>
      <c r="D944" s="2" t="s">
        <v>3079</v>
      </c>
      <c r="E944" s="2" t="s">
        <v>3176</v>
      </c>
      <c r="F944" s="2" t="s">
        <v>2132</v>
      </c>
      <c r="G944" s="2" t="s">
        <v>2133</v>
      </c>
      <c r="H944" s="2" t="s">
        <v>2134</v>
      </c>
      <c r="I944" s="2" t="s">
        <v>3254</v>
      </c>
      <c r="J944" s="2" t="s">
        <v>785</v>
      </c>
      <c r="K944" s="2" t="s">
        <v>175</v>
      </c>
      <c r="L944" s="3">
        <v>53.9</v>
      </c>
      <c r="M944" s="3">
        <v>56.59</v>
      </c>
      <c r="N944" s="3">
        <v>109.99</v>
      </c>
      <c r="O944" s="2" t="s">
        <v>97</v>
      </c>
      <c r="P944" s="2" t="s">
        <v>242</v>
      </c>
      <c r="Q944" s="2" t="s">
        <v>99</v>
      </c>
      <c r="R944" s="2" t="s">
        <v>100</v>
      </c>
      <c r="S944" s="2" t="s">
        <v>2157</v>
      </c>
      <c r="T944" s="2" t="s">
        <v>100</v>
      </c>
      <c r="U944" s="2" t="s">
        <v>1508</v>
      </c>
      <c r="V944" s="2" t="s">
        <v>608</v>
      </c>
      <c r="W944" s="2" t="s">
        <v>646</v>
      </c>
      <c r="X944" s="2" t="s">
        <v>2137</v>
      </c>
      <c r="Y944" s="2" t="s">
        <v>2217</v>
      </c>
      <c r="Z944" s="4">
        <v>353</v>
      </c>
      <c r="AA944" s="4">
        <f>=ROUNDDOWN(70.6,0)</f>
      </c>
      <c r="AB944" s="5">
        <v>5</v>
      </c>
      <c r="AC944" s="2" t="s">
        <v>2563</v>
      </c>
      <c r="AD944" s="4">
        <v>60</v>
      </c>
      <c r="AE944" s="4">
        <v>60</v>
      </c>
      <c r="AF944" s="6">
        <v>71</v>
      </c>
      <c r="AG944" s="6">
        <v>79</v>
      </c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/>
      <c r="BJ944" s="4">
        <v>1</v>
      </c>
      <c r="BK944" s="8">
        <v>46.81</v>
      </c>
      <c r="BL944" s="2" t="s">
        <v>133</v>
      </c>
      <c r="BM944" s="7"/>
      <c r="BN944" s="7"/>
      <c r="BO944" s="4"/>
      <c r="BP944" s="8"/>
      <c r="BQ944" s="4"/>
      <c r="BR944" s="8"/>
      <c r="BS944" s="7"/>
      <c r="BT944" s="7"/>
      <c r="BU944" s="2" t="s">
        <v>109</v>
      </c>
      <c r="BV944" s="2" t="s">
        <v>97</v>
      </c>
      <c r="BW944" s="2" t="s">
        <v>270</v>
      </c>
      <c r="BX944" s="2" t="s">
        <v>1780</v>
      </c>
      <c r="BY944" s="2" t="s">
        <v>112</v>
      </c>
      <c r="BZ944" s="2" t="s">
        <v>100</v>
      </c>
    </row>
    <row r="945">
      <c r="A945" s="2" t="s">
        <v>3255</v>
      </c>
      <c r="B945" s="2" t="s">
        <v>87</v>
      </c>
      <c r="C945" s="2" t="s">
        <v>88</v>
      </c>
      <c r="D945" s="2" t="s">
        <v>3079</v>
      </c>
      <c r="E945" s="2" t="s">
        <v>3176</v>
      </c>
      <c r="F945" s="2" t="s">
        <v>2132</v>
      </c>
      <c r="G945" s="2" t="s">
        <v>2133</v>
      </c>
      <c r="H945" s="2" t="s">
        <v>2134</v>
      </c>
      <c r="I945" s="2" t="s">
        <v>3254</v>
      </c>
      <c r="J945" s="2" t="s">
        <v>795</v>
      </c>
      <c r="K945" s="2" t="s">
        <v>175</v>
      </c>
      <c r="L945" s="3">
        <v>63.7</v>
      </c>
      <c r="M945" s="3">
        <v>66.88</v>
      </c>
      <c r="N945" s="3">
        <v>129.99</v>
      </c>
      <c r="O945" s="2" t="s">
        <v>97</v>
      </c>
      <c r="P945" s="2" t="s">
        <v>242</v>
      </c>
      <c r="Q945" s="2" t="s">
        <v>99</v>
      </c>
      <c r="R945" s="2" t="s">
        <v>100</v>
      </c>
      <c r="S945" s="2" t="s">
        <v>2157</v>
      </c>
      <c r="T945" s="2" t="s">
        <v>100</v>
      </c>
      <c r="U945" s="2" t="s">
        <v>1508</v>
      </c>
      <c r="V945" s="2" t="s">
        <v>608</v>
      </c>
      <c r="W945" s="2" t="s">
        <v>646</v>
      </c>
      <c r="X945" s="2" t="s">
        <v>2137</v>
      </c>
      <c r="Y945" s="2" t="s">
        <v>2331</v>
      </c>
      <c r="Z945" s="4">
        <v>452</v>
      </c>
      <c r="AA945" s="4">
        <f>=ROUNDDOWN(64.5714285714286,0)</f>
      </c>
      <c r="AB945" s="5">
        <v>7</v>
      </c>
      <c r="AC945" s="2" t="s">
        <v>680</v>
      </c>
      <c r="AD945" s="4">
        <v>40</v>
      </c>
      <c r="AE945" s="4">
        <v>90</v>
      </c>
      <c r="AF945" s="6">
        <v>71</v>
      </c>
      <c r="AG945" s="6">
        <v>79</v>
      </c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/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/>
      <c r="BJ945" s="4">
        <v>1</v>
      </c>
      <c r="BK945" s="8">
        <v>70.22</v>
      </c>
      <c r="BL945" s="2" t="s">
        <v>2115</v>
      </c>
      <c r="BM945" s="7"/>
      <c r="BN945" s="7"/>
      <c r="BO945" s="4"/>
      <c r="BP945" s="8"/>
      <c r="BQ945" s="4"/>
      <c r="BR945" s="8"/>
      <c r="BS945" s="7"/>
      <c r="BT945" s="7"/>
      <c r="BU945" s="2" t="s">
        <v>109</v>
      </c>
      <c r="BV945" s="2" t="s">
        <v>97</v>
      </c>
      <c r="BW945" s="2" t="s">
        <v>270</v>
      </c>
      <c r="BX945" s="2" t="s">
        <v>508</v>
      </c>
      <c r="BY945" s="2" t="s">
        <v>112</v>
      </c>
      <c r="BZ945" s="2" t="s">
        <v>100</v>
      </c>
    </row>
    <row r="946">
      <c r="A946" s="2" t="s">
        <v>3256</v>
      </c>
      <c r="B946" s="2" t="s">
        <v>87</v>
      </c>
      <c r="C946" s="2" t="s">
        <v>88</v>
      </c>
      <c r="D946" s="2" t="s">
        <v>3079</v>
      </c>
      <c r="E946" s="2" t="s">
        <v>3176</v>
      </c>
      <c r="F946" s="2" t="s">
        <v>1552</v>
      </c>
      <c r="G946" s="2" t="s">
        <v>1552</v>
      </c>
      <c r="H946" s="2" t="s">
        <v>1553</v>
      </c>
      <c r="I946" s="2" t="s">
        <v>3257</v>
      </c>
      <c r="J946" s="2" t="s">
        <v>785</v>
      </c>
      <c r="K946" s="2" t="s">
        <v>1555</v>
      </c>
      <c r="L946" s="3">
        <v>33.33</v>
      </c>
      <c r="M946" s="3">
        <v>35</v>
      </c>
      <c r="N946" s="3">
        <v>69.99</v>
      </c>
      <c r="O946" s="2" t="s">
        <v>473</v>
      </c>
      <c r="P946" s="2" t="s">
        <v>447</v>
      </c>
      <c r="Q946" s="2" t="s">
        <v>99</v>
      </c>
      <c r="R946" s="2" t="s">
        <v>100</v>
      </c>
      <c r="S946" s="2" t="s">
        <v>3258</v>
      </c>
      <c r="T946" s="2" t="s">
        <v>787</v>
      </c>
      <c r="U946" s="2" t="s">
        <v>1508</v>
      </c>
      <c r="V946" s="2" t="s">
        <v>805</v>
      </c>
      <c r="W946" s="2" t="s">
        <v>1064</v>
      </c>
      <c r="X946" s="2" t="s">
        <v>976</v>
      </c>
      <c r="Y946" s="2" t="s">
        <v>1557</v>
      </c>
      <c r="Z946" s="4">
        <v>58</v>
      </c>
      <c r="AA946" s="4">
        <f>=ROUNDDOWN(52.7272727272727,0)</f>
      </c>
      <c r="AB946" s="5">
        <v>1.1</v>
      </c>
      <c r="AC946" s="2" t="s">
        <v>100</v>
      </c>
      <c r="AD946" s="4"/>
      <c r="AE946" s="4"/>
      <c r="AF946" s="6">
        <v>68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/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/>
      <c r="BJ946" s="4"/>
      <c r="BK946" s="8"/>
      <c r="BL946" s="2" t="s">
        <v>100</v>
      </c>
      <c r="BM946" s="7"/>
      <c r="BN946" s="7"/>
      <c r="BO946" s="4"/>
      <c r="BP946" s="8"/>
      <c r="BQ946" s="4"/>
      <c r="BR946" s="8"/>
      <c r="BS946" s="7"/>
      <c r="BT946" s="7"/>
      <c r="BU946" s="2" t="s">
        <v>3088</v>
      </c>
      <c r="BV946" s="2" t="s">
        <v>97</v>
      </c>
      <c r="BW946" s="2" t="s">
        <v>100</v>
      </c>
      <c r="BX946" s="2" t="s">
        <v>100</v>
      </c>
      <c r="BY946" s="2" t="s">
        <v>112</v>
      </c>
      <c r="BZ946" s="2" t="s">
        <v>100</v>
      </c>
    </row>
    <row r="947">
      <c r="A947" s="2" t="s">
        <v>3259</v>
      </c>
      <c r="B947" s="2" t="s">
        <v>87</v>
      </c>
      <c r="C947" s="2" t="s">
        <v>88</v>
      </c>
      <c r="D947" s="2" t="s">
        <v>3079</v>
      </c>
      <c r="E947" s="2" t="s">
        <v>3176</v>
      </c>
      <c r="F947" s="2" t="s">
        <v>1552</v>
      </c>
      <c r="G947" s="2" t="s">
        <v>1552</v>
      </c>
      <c r="H947" s="2" t="s">
        <v>1553</v>
      </c>
      <c r="I947" s="2" t="s">
        <v>3257</v>
      </c>
      <c r="J947" s="2" t="s">
        <v>795</v>
      </c>
      <c r="K947" s="2" t="s">
        <v>1555</v>
      </c>
      <c r="L947" s="3">
        <v>38.09</v>
      </c>
      <c r="M947" s="3">
        <v>39.99</v>
      </c>
      <c r="N947" s="3">
        <v>79.99</v>
      </c>
      <c r="O947" s="2" t="s">
        <v>473</v>
      </c>
      <c r="P947" s="2" t="s">
        <v>447</v>
      </c>
      <c r="Q947" s="2" t="s">
        <v>99</v>
      </c>
      <c r="R947" s="2" t="s">
        <v>100</v>
      </c>
      <c r="S947" s="2" t="s">
        <v>3258</v>
      </c>
      <c r="T947" s="2" t="s">
        <v>787</v>
      </c>
      <c r="U947" s="2" t="s">
        <v>1508</v>
      </c>
      <c r="V947" s="2" t="s">
        <v>805</v>
      </c>
      <c r="W947" s="2" t="s">
        <v>1064</v>
      </c>
      <c r="X947" s="2" t="s">
        <v>976</v>
      </c>
      <c r="Y947" s="2" t="s">
        <v>1557</v>
      </c>
      <c r="Z947" s="4">
        <v>149</v>
      </c>
      <c r="AA947" s="4">
        <f>=ROUNDDOWN(149,0)</f>
      </c>
      <c r="AB947" s="5">
        <v>1</v>
      </c>
      <c r="AC947" s="2" t="s">
        <v>100</v>
      </c>
      <c r="AD947" s="4"/>
      <c r="AE947" s="4"/>
      <c r="AF947" s="6">
        <v>68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/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/>
      <c r="BJ947" s="4"/>
      <c r="BK947" s="8"/>
      <c r="BL947" s="2" t="s">
        <v>100</v>
      </c>
      <c r="BM947" s="7"/>
      <c r="BN947" s="7"/>
      <c r="BO947" s="4"/>
      <c r="BP947" s="8"/>
      <c r="BQ947" s="4"/>
      <c r="BR947" s="8"/>
      <c r="BS947" s="7"/>
      <c r="BT947" s="7"/>
      <c r="BU947" s="2" t="s">
        <v>3088</v>
      </c>
      <c r="BV947" s="2" t="s">
        <v>97</v>
      </c>
      <c r="BW947" s="2" t="s">
        <v>100</v>
      </c>
      <c r="BX947" s="2" t="s">
        <v>100</v>
      </c>
      <c r="BY947" s="2" t="s">
        <v>112</v>
      </c>
      <c r="BZ947" s="2" t="s">
        <v>100</v>
      </c>
    </row>
    <row r="948">
      <c r="A948" s="2" t="s">
        <v>3260</v>
      </c>
      <c r="B948" s="2" t="s">
        <v>87</v>
      </c>
      <c r="C948" s="2" t="s">
        <v>88</v>
      </c>
      <c r="D948" s="2" t="s">
        <v>3079</v>
      </c>
      <c r="E948" s="2" t="s">
        <v>3176</v>
      </c>
      <c r="F948" s="2" t="s">
        <v>1300</v>
      </c>
      <c r="G948" s="2" t="s">
        <v>3261</v>
      </c>
      <c r="H948" s="2" t="s">
        <v>3262</v>
      </c>
      <c r="I948" s="2" t="s">
        <v>3263</v>
      </c>
      <c r="J948" s="2" t="s">
        <v>785</v>
      </c>
      <c r="K948" s="2" t="s">
        <v>198</v>
      </c>
      <c r="L948" s="3">
        <v>49.35</v>
      </c>
      <c r="M948" s="3">
        <v>51.81</v>
      </c>
      <c r="N948" s="3">
        <v>104.99</v>
      </c>
      <c r="O948" s="2" t="s">
        <v>473</v>
      </c>
      <c r="P948" s="2" t="s">
        <v>447</v>
      </c>
      <c r="Q948" s="2" t="s">
        <v>99</v>
      </c>
      <c r="R948" s="2" t="s">
        <v>100</v>
      </c>
      <c r="S948" s="2" t="s">
        <v>3264</v>
      </c>
      <c r="T948" s="2" t="s">
        <v>100</v>
      </c>
      <c r="U948" s="2" t="s">
        <v>1508</v>
      </c>
      <c r="V948" s="2" t="s">
        <v>645</v>
      </c>
      <c r="W948" s="2" t="s">
        <v>976</v>
      </c>
      <c r="X948" s="2" t="s">
        <v>1483</v>
      </c>
      <c r="Y948" s="2" t="s">
        <v>2036</v>
      </c>
      <c r="Z948" s="4">
        <v>1269</v>
      </c>
      <c r="AA948" s="4">
        <f>=ROUNDDOWN(144.204545454545,0)</f>
      </c>
      <c r="AB948" s="5">
        <v>8.8</v>
      </c>
      <c r="AC948" s="2" t="s">
        <v>100</v>
      </c>
      <c r="AD948" s="4"/>
      <c r="AE948" s="4"/>
      <c r="AF948" s="6">
        <v>64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/>
      <c r="BD948" s="8"/>
      <c r="BE948" s="4"/>
      <c r="BF948" s="8"/>
      <c r="BG948" s="7"/>
      <c r="BH948" s="7"/>
      <c r="BI948" s="7"/>
      <c r="BJ948" s="4">
        <v>10</v>
      </c>
      <c r="BK948" s="8">
        <v>360.94</v>
      </c>
      <c r="BL948" s="2" t="s">
        <v>3265</v>
      </c>
      <c r="BM948" s="7"/>
      <c r="BN948" s="7"/>
      <c r="BO948" s="4"/>
      <c r="BP948" s="8"/>
      <c r="BQ948" s="4"/>
      <c r="BR948" s="8"/>
      <c r="BS948" s="7"/>
      <c r="BT948" s="7"/>
      <c r="BU948" s="2" t="s">
        <v>109</v>
      </c>
      <c r="BV948" s="2" t="s">
        <v>97</v>
      </c>
      <c r="BW948" s="2" t="s">
        <v>326</v>
      </c>
      <c r="BX948" s="2" t="s">
        <v>1931</v>
      </c>
      <c r="BY948" s="2" t="s">
        <v>112</v>
      </c>
      <c r="BZ948" s="2" t="s">
        <v>100</v>
      </c>
    </row>
    <row r="949">
      <c r="A949" s="2" t="s">
        <v>3266</v>
      </c>
      <c r="B949" s="2" t="s">
        <v>87</v>
      </c>
      <c r="C949" s="2" t="s">
        <v>88</v>
      </c>
      <c r="D949" s="2" t="s">
        <v>3079</v>
      </c>
      <c r="E949" s="2" t="s">
        <v>3176</v>
      </c>
      <c r="F949" s="2" t="s">
        <v>1648</v>
      </c>
      <c r="G949" s="2" t="s">
        <v>1649</v>
      </c>
      <c r="H949" s="2" t="s">
        <v>1650</v>
      </c>
      <c r="I949" s="2" t="s">
        <v>3267</v>
      </c>
      <c r="J949" s="2" t="s">
        <v>785</v>
      </c>
      <c r="K949" s="2" t="s">
        <v>163</v>
      </c>
      <c r="L949" s="3">
        <v>22.85</v>
      </c>
      <c r="M949" s="3">
        <v>23.99</v>
      </c>
      <c r="N949" s="3">
        <v>49.99</v>
      </c>
      <c r="O949" s="2" t="s">
        <v>97</v>
      </c>
      <c r="P949" s="2" t="s">
        <v>1216</v>
      </c>
      <c r="Q949" s="2" t="s">
        <v>99</v>
      </c>
      <c r="R949" s="2" t="s">
        <v>100</v>
      </c>
      <c r="S949" s="2" t="s">
        <v>1652</v>
      </c>
      <c r="T949" s="2" t="s">
        <v>787</v>
      </c>
      <c r="U949" s="2" t="s">
        <v>1508</v>
      </c>
      <c r="V949" s="2" t="s">
        <v>677</v>
      </c>
      <c r="W949" s="2" t="s">
        <v>788</v>
      </c>
      <c r="X949" s="2" t="s">
        <v>976</v>
      </c>
      <c r="Y949" s="2" t="s">
        <v>1653</v>
      </c>
      <c r="Z949" s="4">
        <v>125</v>
      </c>
      <c r="AA949" s="4">
        <f>=ROUNDDOWN(156.25,0)</f>
      </c>
      <c r="AB949" s="5">
        <v>0.8</v>
      </c>
      <c r="AC949" s="2" t="s">
        <v>100</v>
      </c>
      <c r="AD949" s="4"/>
      <c r="AE949" s="4"/>
      <c r="AF949" s="6">
        <v>64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/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/>
      <c r="BJ949" s="4"/>
      <c r="BK949" s="8"/>
      <c r="BL949" s="2" t="s">
        <v>100</v>
      </c>
      <c r="BM949" s="7"/>
      <c r="BN949" s="7"/>
      <c r="BO949" s="4"/>
      <c r="BP949" s="8"/>
      <c r="BQ949" s="4"/>
      <c r="BR949" s="8"/>
      <c r="BS949" s="7"/>
      <c r="BT949" s="7"/>
      <c r="BU949" s="2" t="s">
        <v>109</v>
      </c>
      <c r="BV949" s="2" t="s">
        <v>97</v>
      </c>
      <c r="BW949" s="2" t="s">
        <v>1221</v>
      </c>
      <c r="BX949" s="2" t="s">
        <v>100</v>
      </c>
      <c r="BY949" s="2" t="s">
        <v>112</v>
      </c>
      <c r="BZ949" s="2" t="s">
        <v>100</v>
      </c>
    </row>
    <row r="950">
      <c r="A950" s="2" t="s">
        <v>3268</v>
      </c>
      <c r="B950" s="2" t="s">
        <v>87</v>
      </c>
      <c r="C950" s="2" t="s">
        <v>88</v>
      </c>
      <c r="D950" s="2" t="s">
        <v>3079</v>
      </c>
      <c r="E950" s="2" t="s">
        <v>3176</v>
      </c>
      <c r="F950" s="2" t="s">
        <v>1648</v>
      </c>
      <c r="G950" s="2" t="s">
        <v>1649</v>
      </c>
      <c r="H950" s="2" t="s">
        <v>1650</v>
      </c>
      <c r="I950" s="2" t="s">
        <v>3267</v>
      </c>
      <c r="J950" s="2" t="s">
        <v>795</v>
      </c>
      <c r="K950" s="2" t="s">
        <v>163</v>
      </c>
      <c r="L950" s="3">
        <v>27.42</v>
      </c>
      <c r="M950" s="3">
        <v>28.79</v>
      </c>
      <c r="N950" s="3">
        <v>59.99</v>
      </c>
      <c r="O950" s="2" t="s">
        <v>97</v>
      </c>
      <c r="P950" s="2" t="s">
        <v>1216</v>
      </c>
      <c r="Q950" s="2" t="s">
        <v>99</v>
      </c>
      <c r="R950" s="2" t="s">
        <v>100</v>
      </c>
      <c r="S950" s="2" t="s">
        <v>1652</v>
      </c>
      <c r="T950" s="2" t="s">
        <v>787</v>
      </c>
      <c r="U950" s="2" t="s">
        <v>1508</v>
      </c>
      <c r="V950" s="2" t="s">
        <v>677</v>
      </c>
      <c r="W950" s="2" t="s">
        <v>788</v>
      </c>
      <c r="X950" s="2" t="s">
        <v>976</v>
      </c>
      <c r="Y950" s="2" t="s">
        <v>1653</v>
      </c>
      <c r="Z950" s="4">
        <v>127</v>
      </c>
      <c r="AA950" s="4">
        <f>=ROUNDDOWN({0},0)</f>
      </c>
      <c r="AB950" s="5"/>
      <c r="AC950" s="2" t="s">
        <v>100</v>
      </c>
      <c r="AD950" s="4"/>
      <c r="AE950" s="4"/>
      <c r="AF950" s="6">
        <v>64</v>
      </c>
      <c r="AG950" s="6"/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/>
      <c r="BJ950" s="4"/>
      <c r="BK950" s="8"/>
      <c r="BL950" s="2" t="s">
        <v>100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97</v>
      </c>
      <c r="BW950" s="2" t="s">
        <v>1221</v>
      </c>
      <c r="BX950" s="2" t="s">
        <v>100</v>
      </c>
      <c r="BY950" s="2" t="s">
        <v>112</v>
      </c>
      <c r="BZ950" s="2" t="s">
        <v>100</v>
      </c>
    </row>
    <row r="951">
      <c r="A951" s="2" t="s">
        <v>3269</v>
      </c>
      <c r="B951" s="2" t="s">
        <v>87</v>
      </c>
      <c r="C951" s="2" t="s">
        <v>88</v>
      </c>
      <c r="D951" s="2" t="s">
        <v>3079</v>
      </c>
      <c r="E951" s="2" t="s">
        <v>3176</v>
      </c>
      <c r="F951" s="2" t="s">
        <v>2052</v>
      </c>
      <c r="G951" s="2" t="s">
        <v>2053</v>
      </c>
      <c r="H951" s="2" t="s">
        <v>669</v>
      </c>
      <c r="I951" s="2" t="s">
        <v>3209</v>
      </c>
      <c r="J951" s="2" t="s">
        <v>785</v>
      </c>
      <c r="K951" s="2" t="s">
        <v>1834</v>
      </c>
      <c r="L951" s="3">
        <v>55.78</v>
      </c>
      <c r="M951" s="3">
        <v>58.57</v>
      </c>
      <c r="N951" s="3">
        <v>124.99</v>
      </c>
      <c r="O951" s="2" t="s">
        <v>473</v>
      </c>
      <c r="P951" s="2" t="s">
        <v>447</v>
      </c>
      <c r="Q951" s="2" t="s">
        <v>99</v>
      </c>
      <c r="R951" s="2" t="s">
        <v>100</v>
      </c>
      <c r="S951" s="2" t="s">
        <v>3270</v>
      </c>
      <c r="T951" s="2" t="s">
        <v>359</v>
      </c>
      <c r="U951" s="2" t="s">
        <v>1508</v>
      </c>
      <c r="V951" s="2" t="s">
        <v>645</v>
      </c>
      <c r="W951" s="2" t="s">
        <v>646</v>
      </c>
      <c r="X951" s="2" t="s">
        <v>898</v>
      </c>
      <c r="Y951" s="2" t="s">
        <v>2056</v>
      </c>
      <c r="Z951" s="4">
        <v>192</v>
      </c>
      <c r="AA951" s="4">
        <f>=ROUNDDOWN(61.9354838709677,0)</f>
      </c>
      <c r="AB951" s="5">
        <v>3.1</v>
      </c>
      <c r="AC951" s="2" t="s">
        <v>100</v>
      </c>
      <c r="AD951" s="4"/>
      <c r="AE951" s="4"/>
      <c r="AF951" s="6">
        <v>69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/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/>
      <c r="BJ951" s="4">
        <v>3</v>
      </c>
      <c r="BK951" s="8">
        <v>125.96</v>
      </c>
      <c r="BL951" s="2" t="s">
        <v>3271</v>
      </c>
      <c r="BM951" s="7"/>
      <c r="BN951" s="7"/>
      <c r="BO951" s="4"/>
      <c r="BP951" s="8"/>
      <c r="BQ951" s="4"/>
      <c r="BR951" s="8"/>
      <c r="BS951" s="7"/>
      <c r="BT951" s="7"/>
      <c r="BU951" s="2" t="s">
        <v>109</v>
      </c>
      <c r="BV951" s="2" t="s">
        <v>97</v>
      </c>
      <c r="BW951" s="2" t="s">
        <v>270</v>
      </c>
      <c r="BX951" s="2" t="s">
        <v>3272</v>
      </c>
      <c r="BY951" s="2" t="s">
        <v>112</v>
      </c>
      <c r="BZ951" s="2" t="s">
        <v>100</v>
      </c>
    </row>
    <row r="952">
      <c r="A952" s="2" t="s">
        <v>3273</v>
      </c>
      <c r="B952" s="2" t="s">
        <v>87</v>
      </c>
      <c r="C952" s="2" t="s">
        <v>88</v>
      </c>
      <c r="D952" s="2" t="s">
        <v>3079</v>
      </c>
      <c r="E952" s="2" t="s">
        <v>3176</v>
      </c>
      <c r="F952" s="2" t="s">
        <v>2052</v>
      </c>
      <c r="G952" s="2" t="s">
        <v>2053</v>
      </c>
      <c r="H952" s="2" t="s">
        <v>669</v>
      </c>
      <c r="I952" s="2" t="s">
        <v>3209</v>
      </c>
      <c r="J952" s="2" t="s">
        <v>795</v>
      </c>
      <c r="K952" s="2" t="s">
        <v>1834</v>
      </c>
      <c r="L952" s="3">
        <v>60.85</v>
      </c>
      <c r="M952" s="3">
        <v>63.9</v>
      </c>
      <c r="N952" s="3">
        <v>134.99</v>
      </c>
      <c r="O952" s="2" t="s">
        <v>473</v>
      </c>
      <c r="P952" s="2" t="s">
        <v>447</v>
      </c>
      <c r="Q952" s="2" t="s">
        <v>99</v>
      </c>
      <c r="R952" s="2" t="s">
        <v>100</v>
      </c>
      <c r="S952" s="2" t="s">
        <v>3270</v>
      </c>
      <c r="T952" s="2" t="s">
        <v>359</v>
      </c>
      <c r="U952" s="2" t="s">
        <v>1508</v>
      </c>
      <c r="V952" s="2" t="s">
        <v>645</v>
      </c>
      <c r="W952" s="2" t="s">
        <v>646</v>
      </c>
      <c r="X952" s="2" t="s">
        <v>898</v>
      </c>
      <c r="Y952" s="2" t="s">
        <v>2056</v>
      </c>
      <c r="Z952" s="4">
        <v>130</v>
      </c>
      <c r="AA952" s="4">
        <f>=ROUNDDOWN(52,0)</f>
      </c>
      <c r="AB952" s="5">
        <v>2.5</v>
      </c>
      <c r="AC952" s="2" t="s">
        <v>100</v>
      </c>
      <c r="AD952" s="4"/>
      <c r="AE952" s="4"/>
      <c r="AF952" s="6">
        <v>69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/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/>
      <c r="BJ952" s="4">
        <v>2</v>
      </c>
      <c r="BK952" s="8">
        <v>67.1</v>
      </c>
      <c r="BL952" s="2" t="s">
        <v>133</v>
      </c>
      <c r="BM952" s="7"/>
      <c r="BN952" s="7"/>
      <c r="BO952" s="4"/>
      <c r="BP952" s="8"/>
      <c r="BQ952" s="4"/>
      <c r="BR952" s="8"/>
      <c r="BS952" s="7"/>
      <c r="BT952" s="7"/>
      <c r="BU952" s="2" t="s">
        <v>109</v>
      </c>
      <c r="BV952" s="2" t="s">
        <v>97</v>
      </c>
      <c r="BW952" s="2" t="s">
        <v>270</v>
      </c>
      <c r="BX952" s="2" t="s">
        <v>3274</v>
      </c>
      <c r="BY952" s="2" t="s">
        <v>112</v>
      </c>
      <c r="BZ952" s="2" t="s">
        <v>100</v>
      </c>
    </row>
    <row r="953">
      <c r="A953" s="2" t="s">
        <v>3275</v>
      </c>
      <c r="B953" s="2" t="s">
        <v>87</v>
      </c>
      <c r="C953" s="2" t="s">
        <v>88</v>
      </c>
      <c r="D953" s="2" t="s">
        <v>3079</v>
      </c>
      <c r="E953" s="2" t="s">
        <v>3176</v>
      </c>
      <c r="F953" s="2" t="s">
        <v>1656</v>
      </c>
      <c r="G953" s="2" t="s">
        <v>1657</v>
      </c>
      <c r="H953" s="2" t="s">
        <v>1658</v>
      </c>
      <c r="I953" s="2" t="s">
        <v>3276</v>
      </c>
      <c r="J953" s="2" t="s">
        <v>785</v>
      </c>
      <c r="K953" s="2" t="s">
        <v>1659</v>
      </c>
      <c r="L953" s="3">
        <v>32.2</v>
      </c>
      <c r="M953" s="3">
        <v>33.81</v>
      </c>
      <c r="N953" s="3">
        <v>69.99</v>
      </c>
      <c r="O953" s="2" t="s">
        <v>97</v>
      </c>
      <c r="P953" s="2" t="s">
        <v>98</v>
      </c>
      <c r="Q953" s="2" t="s">
        <v>99</v>
      </c>
      <c r="R953" s="2" t="s">
        <v>100</v>
      </c>
      <c r="S953" s="2" t="s">
        <v>1660</v>
      </c>
      <c r="T953" s="2" t="s">
        <v>100</v>
      </c>
      <c r="U953" s="2" t="s">
        <v>1508</v>
      </c>
      <c r="V953" s="2" t="s">
        <v>677</v>
      </c>
      <c r="W953" s="2" t="s">
        <v>104</v>
      </c>
      <c r="X953" s="2" t="s">
        <v>499</v>
      </c>
      <c r="Y953" s="2" t="s">
        <v>1661</v>
      </c>
      <c r="Z953" s="4">
        <v>344</v>
      </c>
      <c r="AA953" s="4">
        <f>=ROUNDDOWN(40.952380952381,0)</f>
      </c>
      <c r="AB953" s="5">
        <v>8.4</v>
      </c>
      <c r="AC953" s="2" t="s">
        <v>100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/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/>
      <c r="BJ953" s="4">
        <v>11</v>
      </c>
      <c r="BK953" s="8">
        <v>401.19</v>
      </c>
      <c r="BL953" s="2" t="s">
        <v>3277</v>
      </c>
      <c r="BM953" s="7"/>
      <c r="BN953" s="7"/>
      <c r="BO953" s="4"/>
      <c r="BP953" s="8"/>
      <c r="BQ953" s="4"/>
      <c r="BR953" s="8"/>
      <c r="BS953" s="7"/>
      <c r="BT953" s="7"/>
      <c r="BU953" s="2" t="s">
        <v>109</v>
      </c>
      <c r="BV953" s="2" t="s">
        <v>97</v>
      </c>
      <c r="BW953" s="2" t="s">
        <v>270</v>
      </c>
      <c r="BX953" s="2" t="s">
        <v>508</v>
      </c>
      <c r="BY953" s="2" t="s">
        <v>112</v>
      </c>
      <c r="BZ953" s="2" t="s">
        <v>100</v>
      </c>
    </row>
    <row r="954">
      <c r="A954" s="2" t="s">
        <v>3278</v>
      </c>
      <c r="B954" s="2" t="s">
        <v>87</v>
      </c>
      <c r="C954" s="2" t="s">
        <v>88</v>
      </c>
      <c r="D954" s="2" t="s">
        <v>3079</v>
      </c>
      <c r="E954" s="2" t="s">
        <v>3176</v>
      </c>
      <c r="F954" s="2" t="s">
        <v>1656</v>
      </c>
      <c r="G954" s="2" t="s">
        <v>1657</v>
      </c>
      <c r="H954" s="2" t="s">
        <v>1658</v>
      </c>
      <c r="I954" s="2" t="s">
        <v>3276</v>
      </c>
      <c r="J954" s="2" t="s">
        <v>795</v>
      </c>
      <c r="K954" s="2" t="s">
        <v>1659</v>
      </c>
      <c r="L954" s="3">
        <v>36.8</v>
      </c>
      <c r="M954" s="3">
        <v>38.64</v>
      </c>
      <c r="N954" s="3">
        <v>79.99</v>
      </c>
      <c r="O954" s="2" t="s">
        <v>97</v>
      </c>
      <c r="P954" s="2" t="s">
        <v>98</v>
      </c>
      <c r="Q954" s="2" t="s">
        <v>99</v>
      </c>
      <c r="R954" s="2" t="s">
        <v>100</v>
      </c>
      <c r="S954" s="2" t="s">
        <v>1660</v>
      </c>
      <c r="T954" s="2" t="s">
        <v>100</v>
      </c>
      <c r="U954" s="2" t="s">
        <v>1508</v>
      </c>
      <c r="V954" s="2" t="s">
        <v>677</v>
      </c>
      <c r="W954" s="2" t="s">
        <v>104</v>
      </c>
      <c r="X954" s="2" t="s">
        <v>499</v>
      </c>
      <c r="Y954" s="2" t="s">
        <v>1661</v>
      </c>
      <c r="Z954" s="4">
        <v>490</v>
      </c>
      <c r="AA954" s="4">
        <f>=ROUNDDOWN(81.6666666666667,0)</f>
      </c>
      <c r="AB954" s="5">
        <v>6</v>
      </c>
      <c r="AC954" s="2" t="s">
        <v>100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/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/>
      <c r="BJ954" s="4">
        <v>6</v>
      </c>
      <c r="BK954" s="8">
        <v>246.54</v>
      </c>
      <c r="BL954" s="2" t="s">
        <v>1820</v>
      </c>
      <c r="BM954" s="7"/>
      <c r="BN954" s="7"/>
      <c r="BO954" s="4"/>
      <c r="BP954" s="8"/>
      <c r="BQ954" s="4"/>
      <c r="BR954" s="8"/>
      <c r="BS954" s="7"/>
      <c r="BT954" s="7"/>
      <c r="BU954" s="2" t="s">
        <v>109</v>
      </c>
      <c r="BV954" s="2" t="s">
        <v>97</v>
      </c>
      <c r="BW954" s="2" t="s">
        <v>270</v>
      </c>
      <c r="BX954" s="2" t="s">
        <v>2783</v>
      </c>
      <c r="BY954" s="2" t="s">
        <v>112</v>
      </c>
      <c r="BZ954" s="2" t="s">
        <v>100</v>
      </c>
    </row>
    <row r="955">
      <c r="A955" s="2" t="s">
        <v>3279</v>
      </c>
      <c r="B955" s="2" t="s">
        <v>87</v>
      </c>
      <c r="C955" s="2" t="s">
        <v>88</v>
      </c>
      <c r="D955" s="2" t="s">
        <v>3079</v>
      </c>
      <c r="E955" s="2" t="s">
        <v>3176</v>
      </c>
      <c r="F955" s="2" t="s">
        <v>2164</v>
      </c>
      <c r="G955" s="2" t="s">
        <v>2165</v>
      </c>
      <c r="H955" s="2" t="s">
        <v>2166</v>
      </c>
      <c r="I955" s="2" t="s">
        <v>3280</v>
      </c>
      <c r="J955" s="2" t="s">
        <v>785</v>
      </c>
      <c r="K955" s="2" t="s">
        <v>2168</v>
      </c>
      <c r="L955" s="3">
        <v>27.42</v>
      </c>
      <c r="M955" s="3">
        <v>28.79</v>
      </c>
      <c r="N955" s="3">
        <v>59.99</v>
      </c>
      <c r="O955" s="2" t="s">
        <v>97</v>
      </c>
      <c r="P955" s="2" t="s">
        <v>1216</v>
      </c>
      <c r="Q955" s="2" t="s">
        <v>99</v>
      </c>
      <c r="R955" s="2" t="s">
        <v>100</v>
      </c>
      <c r="S955" s="2" t="s">
        <v>2169</v>
      </c>
      <c r="T955" s="2" t="s">
        <v>359</v>
      </c>
      <c r="U955" s="2" t="s">
        <v>1508</v>
      </c>
      <c r="V955" s="2" t="s">
        <v>677</v>
      </c>
      <c r="W955" s="2" t="s">
        <v>646</v>
      </c>
      <c r="X955" s="2" t="s">
        <v>105</v>
      </c>
      <c r="Y955" s="2" t="s">
        <v>2173</v>
      </c>
      <c r="Z955" s="4">
        <v>155</v>
      </c>
      <c r="AA955" s="4">
        <f>=ROUNDDOWN(77.5,0)</f>
      </c>
      <c r="AB955" s="5">
        <v>2</v>
      </c>
      <c r="AC955" s="2" t="s">
        <v>100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/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/>
      <c r="BJ955" s="4">
        <v>3</v>
      </c>
      <c r="BK955" s="8">
        <v>93.27</v>
      </c>
      <c r="BL955" s="2" t="s">
        <v>813</v>
      </c>
      <c r="BM955" s="7"/>
      <c r="BN955" s="7"/>
      <c r="BO955" s="4"/>
      <c r="BP955" s="8"/>
      <c r="BQ955" s="4"/>
      <c r="BR955" s="8"/>
      <c r="BS955" s="7"/>
      <c r="BT955" s="7"/>
      <c r="BU955" s="2" t="s">
        <v>109</v>
      </c>
      <c r="BV955" s="2" t="s">
        <v>97</v>
      </c>
      <c r="BW955" s="2" t="s">
        <v>1221</v>
      </c>
      <c r="BX955" s="2" t="s">
        <v>100</v>
      </c>
      <c r="BY955" s="2" t="s">
        <v>112</v>
      </c>
      <c r="BZ955" s="2" t="s">
        <v>100</v>
      </c>
    </row>
    <row r="956">
      <c r="A956" s="2" t="s">
        <v>3281</v>
      </c>
      <c r="B956" s="2" t="s">
        <v>87</v>
      </c>
      <c r="C956" s="2" t="s">
        <v>88</v>
      </c>
      <c r="D956" s="2" t="s">
        <v>3079</v>
      </c>
      <c r="E956" s="2" t="s">
        <v>3176</v>
      </c>
      <c r="F956" s="2" t="s">
        <v>2164</v>
      </c>
      <c r="G956" s="2" t="s">
        <v>2165</v>
      </c>
      <c r="H956" s="2" t="s">
        <v>2166</v>
      </c>
      <c r="I956" s="2" t="s">
        <v>3280</v>
      </c>
      <c r="J956" s="2" t="s">
        <v>795</v>
      </c>
      <c r="K956" s="2" t="s">
        <v>2168</v>
      </c>
      <c r="L956" s="3">
        <v>32</v>
      </c>
      <c r="M956" s="3">
        <v>33.6</v>
      </c>
      <c r="N956" s="3">
        <v>69.99</v>
      </c>
      <c r="O956" s="2" t="s">
        <v>97</v>
      </c>
      <c r="P956" s="2" t="s">
        <v>1216</v>
      </c>
      <c r="Q956" s="2" t="s">
        <v>99</v>
      </c>
      <c r="R956" s="2" t="s">
        <v>100</v>
      </c>
      <c r="S956" s="2" t="s">
        <v>2169</v>
      </c>
      <c r="T956" s="2" t="s">
        <v>359</v>
      </c>
      <c r="U956" s="2" t="s">
        <v>1508</v>
      </c>
      <c r="V956" s="2" t="s">
        <v>677</v>
      </c>
      <c r="W956" s="2" t="s">
        <v>646</v>
      </c>
      <c r="X956" s="2" t="s">
        <v>105</v>
      </c>
      <c r="Y956" s="2" t="s">
        <v>2173</v>
      </c>
      <c r="Z956" s="4">
        <v>130</v>
      </c>
      <c r="AA956" s="4">
        <f>=ROUNDDOWN(65,0)</f>
      </c>
      <c r="AB956" s="5">
        <v>2</v>
      </c>
      <c r="AC956" s="2" t="s">
        <v>100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100</v>
      </c>
      <c r="AW956" s="8" t="s">
        <v>100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/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/>
      <c r="BJ956" s="4">
        <v>1</v>
      </c>
      <c r="BK956" s="8">
        <v>36.29</v>
      </c>
      <c r="BL956" s="2" t="s">
        <v>2115</v>
      </c>
      <c r="BM956" s="7"/>
      <c r="BN956" s="7"/>
      <c r="BO956" s="4"/>
      <c r="BP956" s="8"/>
      <c r="BQ956" s="4"/>
      <c r="BR956" s="8"/>
      <c r="BS956" s="7"/>
      <c r="BT956" s="7"/>
      <c r="BU956" s="2" t="s">
        <v>109</v>
      </c>
      <c r="BV956" s="2" t="s">
        <v>97</v>
      </c>
      <c r="BW956" s="2" t="s">
        <v>1221</v>
      </c>
      <c r="BX956" s="2" t="s">
        <v>100</v>
      </c>
      <c r="BY956" s="2" t="s">
        <v>112</v>
      </c>
      <c r="BZ956" s="2" t="s">
        <v>100</v>
      </c>
    </row>
    <row r="957">
      <c r="A957" s="2" t="s">
        <v>3282</v>
      </c>
      <c r="B957" s="2" t="s">
        <v>87</v>
      </c>
      <c r="C957" s="2" t="s">
        <v>88</v>
      </c>
      <c r="D957" s="2" t="s">
        <v>3079</v>
      </c>
      <c r="E957" s="2" t="s">
        <v>3176</v>
      </c>
      <c r="F957" s="2" t="s">
        <v>2042</v>
      </c>
      <c r="G957" s="2" t="s">
        <v>2043</v>
      </c>
      <c r="H957" s="2" t="s">
        <v>2044</v>
      </c>
      <c r="I957" s="2" t="s">
        <v>3283</v>
      </c>
      <c r="J957" s="2" t="s">
        <v>785</v>
      </c>
      <c r="K957" s="2" t="s">
        <v>1834</v>
      </c>
      <c r="L957" s="3">
        <v>53.9</v>
      </c>
      <c r="M957" s="3">
        <v>56.59</v>
      </c>
      <c r="N957" s="3">
        <v>109.99</v>
      </c>
      <c r="O957" s="2" t="s">
        <v>97</v>
      </c>
      <c r="P957" s="2" t="s">
        <v>98</v>
      </c>
      <c r="Q957" s="2" t="s">
        <v>99</v>
      </c>
      <c r="R957" s="2" t="s">
        <v>100</v>
      </c>
      <c r="S957" s="2" t="s">
        <v>2046</v>
      </c>
      <c r="T957" s="2" t="s">
        <v>100</v>
      </c>
      <c r="U957" s="2" t="s">
        <v>1508</v>
      </c>
      <c r="V957" s="2" t="s">
        <v>734</v>
      </c>
      <c r="W957" s="2" t="s">
        <v>646</v>
      </c>
      <c r="X957" s="2" t="s">
        <v>647</v>
      </c>
      <c r="Y957" s="2" t="s">
        <v>2047</v>
      </c>
      <c r="Z957" s="4">
        <v>185</v>
      </c>
      <c r="AA957" s="4">
        <f>=ROUNDDOWN(16.8181818181818,0)</f>
      </c>
      <c r="AB957" s="5">
        <v>11</v>
      </c>
      <c r="AC957" s="2" t="s">
        <v>559</v>
      </c>
      <c r="AD957" s="4">
        <v>170</v>
      </c>
      <c r="AE957" s="4">
        <v>220</v>
      </c>
      <c r="AF957" s="6">
        <v>69</v>
      </c>
      <c r="AG957" s="6">
        <v>77</v>
      </c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/>
      <c r="AQ957" s="8"/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/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/>
      <c r="BJ957" s="4">
        <v>4</v>
      </c>
      <c r="BK957" s="8">
        <v>231.39</v>
      </c>
      <c r="BL957" s="2" t="s">
        <v>3284</v>
      </c>
      <c r="BM957" s="7"/>
      <c r="BN957" s="7"/>
      <c r="BO957" s="4"/>
      <c r="BP957" s="8"/>
      <c r="BQ957" s="4"/>
      <c r="BR957" s="8"/>
      <c r="BS957" s="7"/>
      <c r="BT957" s="7"/>
      <c r="BU957" s="2" t="s">
        <v>109</v>
      </c>
      <c r="BV957" s="2" t="s">
        <v>97</v>
      </c>
      <c r="BW957" s="2" t="s">
        <v>326</v>
      </c>
      <c r="BX957" s="2" t="s">
        <v>2514</v>
      </c>
      <c r="BY957" s="2" t="s">
        <v>112</v>
      </c>
      <c r="BZ957" s="2" t="s">
        <v>100</v>
      </c>
    </row>
    <row r="958">
      <c r="A958" s="2" t="s">
        <v>3285</v>
      </c>
      <c r="B958" s="2" t="s">
        <v>87</v>
      </c>
      <c r="C958" s="2" t="s">
        <v>88</v>
      </c>
      <c r="D958" s="2" t="s">
        <v>3079</v>
      </c>
      <c r="E958" s="2" t="s">
        <v>3176</v>
      </c>
      <c r="F958" s="2" t="s">
        <v>2042</v>
      </c>
      <c r="G958" s="2" t="s">
        <v>2043</v>
      </c>
      <c r="H958" s="2" t="s">
        <v>2044</v>
      </c>
      <c r="I958" s="2" t="s">
        <v>3283</v>
      </c>
      <c r="J958" s="2" t="s">
        <v>795</v>
      </c>
      <c r="K958" s="2" t="s">
        <v>1834</v>
      </c>
      <c r="L958" s="3">
        <v>63.7</v>
      </c>
      <c r="M958" s="3">
        <v>66.88</v>
      </c>
      <c r="N958" s="3">
        <v>129.99</v>
      </c>
      <c r="O958" s="2" t="s">
        <v>97</v>
      </c>
      <c r="P958" s="2" t="s">
        <v>98</v>
      </c>
      <c r="Q958" s="2" t="s">
        <v>99</v>
      </c>
      <c r="R958" s="2" t="s">
        <v>100</v>
      </c>
      <c r="S958" s="2" t="s">
        <v>2046</v>
      </c>
      <c r="T958" s="2" t="s">
        <v>100</v>
      </c>
      <c r="U958" s="2" t="s">
        <v>1508</v>
      </c>
      <c r="V958" s="2" t="s">
        <v>734</v>
      </c>
      <c r="W958" s="2" t="s">
        <v>646</v>
      </c>
      <c r="X958" s="2" t="s">
        <v>647</v>
      </c>
      <c r="Y958" s="2" t="s">
        <v>2047</v>
      </c>
      <c r="Z958" s="4">
        <v>261</v>
      </c>
      <c r="AA958" s="4">
        <f>=ROUNDDOWN(32.625,0)</f>
      </c>
      <c r="AB958" s="5">
        <v>8</v>
      </c>
      <c r="AC958" s="2" t="s">
        <v>559</v>
      </c>
      <c r="AD958" s="4">
        <v>50</v>
      </c>
      <c r="AE958" s="4">
        <v>70</v>
      </c>
      <c r="AF958" s="6">
        <v>69</v>
      </c>
      <c r="AG958" s="6">
        <v>77</v>
      </c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/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/>
      <c r="BJ958" s="4">
        <v>6</v>
      </c>
      <c r="BK958" s="8">
        <v>371.65</v>
      </c>
      <c r="BL958" s="2" t="s">
        <v>720</v>
      </c>
      <c r="BM958" s="7"/>
      <c r="BN958" s="7"/>
      <c r="BO958" s="4"/>
      <c r="BP958" s="8"/>
      <c r="BQ958" s="4"/>
      <c r="BR958" s="8"/>
      <c r="BS958" s="7"/>
      <c r="BT958" s="7"/>
      <c r="BU958" s="2" t="s">
        <v>109</v>
      </c>
      <c r="BV958" s="2" t="s">
        <v>97</v>
      </c>
      <c r="BW958" s="2" t="s">
        <v>326</v>
      </c>
      <c r="BX958" s="2" t="s">
        <v>3286</v>
      </c>
      <c r="BY958" s="2" t="s">
        <v>112</v>
      </c>
      <c r="BZ958" s="2" t="s">
        <v>100</v>
      </c>
    </row>
    <row r="959">
      <c r="A959" s="2" t="s">
        <v>3287</v>
      </c>
      <c r="B959" s="2" t="s">
        <v>87</v>
      </c>
      <c r="C959" s="2" t="s">
        <v>88</v>
      </c>
      <c r="D959" s="2" t="s">
        <v>3079</v>
      </c>
      <c r="E959" s="2" t="s">
        <v>3176</v>
      </c>
      <c r="F959" s="2" t="s">
        <v>1796</v>
      </c>
      <c r="G959" s="2" t="s">
        <v>1797</v>
      </c>
      <c r="H959" s="2" t="s">
        <v>1798</v>
      </c>
      <c r="I959" s="2" t="s">
        <v>3288</v>
      </c>
      <c r="J959" s="2" t="s">
        <v>785</v>
      </c>
      <c r="K959" s="2" t="s">
        <v>1800</v>
      </c>
      <c r="L959" s="3">
        <v>27.42</v>
      </c>
      <c r="M959" s="3">
        <v>28.79</v>
      </c>
      <c r="N959" s="3">
        <v>59.99</v>
      </c>
      <c r="O959" s="2" t="s">
        <v>97</v>
      </c>
      <c r="P959" s="2" t="s">
        <v>1216</v>
      </c>
      <c r="Q959" s="2" t="s">
        <v>99</v>
      </c>
      <c r="R959" s="2" t="s">
        <v>100</v>
      </c>
      <c r="S959" s="2" t="s">
        <v>1801</v>
      </c>
      <c r="T959" s="2" t="s">
        <v>359</v>
      </c>
      <c r="U959" s="2" t="s">
        <v>1508</v>
      </c>
      <c r="V959" s="2" t="s">
        <v>805</v>
      </c>
      <c r="W959" s="2" t="s">
        <v>788</v>
      </c>
      <c r="X959" s="2" t="s">
        <v>105</v>
      </c>
      <c r="Y959" s="2" t="s">
        <v>1802</v>
      </c>
      <c r="Z959" s="4">
        <v>94</v>
      </c>
      <c r="AA959" s="4">
        <f>=ROUNDDOWN(47,0)</f>
      </c>
      <c r="AB959" s="5">
        <v>2</v>
      </c>
      <c r="AC959" s="2" t="s">
        <v>100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 t="s">
        <v>100</v>
      </c>
      <c r="AW959" s="8" t="s">
        <v>100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/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/>
      <c r="BJ959" s="4"/>
      <c r="BK959" s="8"/>
      <c r="BL959" s="2" t="s">
        <v>100</v>
      </c>
      <c r="BM959" s="7"/>
      <c r="BN959" s="7"/>
      <c r="BO959" s="4"/>
      <c r="BP959" s="8"/>
      <c r="BQ959" s="4"/>
      <c r="BR959" s="8"/>
      <c r="BS959" s="7"/>
      <c r="BT959" s="7"/>
      <c r="BU959" s="2" t="s">
        <v>109</v>
      </c>
      <c r="BV959" s="2" t="s">
        <v>97</v>
      </c>
      <c r="BW959" s="2" t="s">
        <v>1221</v>
      </c>
      <c r="BX959" s="2" t="s">
        <v>100</v>
      </c>
      <c r="BY959" s="2" t="s">
        <v>112</v>
      </c>
      <c r="BZ959" s="2" t="s">
        <v>100</v>
      </c>
    </row>
    <row r="960">
      <c r="A960" s="2" t="s">
        <v>3289</v>
      </c>
      <c r="B960" s="2" t="s">
        <v>87</v>
      </c>
      <c r="C960" s="2" t="s">
        <v>88</v>
      </c>
      <c r="D960" s="2" t="s">
        <v>3079</v>
      </c>
      <c r="E960" s="2" t="s">
        <v>3176</v>
      </c>
      <c r="F960" s="2" t="s">
        <v>1796</v>
      </c>
      <c r="G960" s="2" t="s">
        <v>1797</v>
      </c>
      <c r="H960" s="2" t="s">
        <v>1798</v>
      </c>
      <c r="I960" s="2" t="s">
        <v>3288</v>
      </c>
      <c r="J960" s="2" t="s">
        <v>795</v>
      </c>
      <c r="K960" s="2" t="s">
        <v>1800</v>
      </c>
      <c r="L960" s="3">
        <v>32</v>
      </c>
      <c r="M960" s="3">
        <v>33.6</v>
      </c>
      <c r="N960" s="3">
        <v>69.99</v>
      </c>
      <c r="O960" s="2" t="s">
        <v>97</v>
      </c>
      <c r="P960" s="2" t="s">
        <v>1216</v>
      </c>
      <c r="Q960" s="2" t="s">
        <v>99</v>
      </c>
      <c r="R960" s="2" t="s">
        <v>100</v>
      </c>
      <c r="S960" s="2" t="s">
        <v>1801</v>
      </c>
      <c r="T960" s="2" t="s">
        <v>359</v>
      </c>
      <c r="U960" s="2" t="s">
        <v>1508</v>
      </c>
      <c r="V960" s="2" t="s">
        <v>805</v>
      </c>
      <c r="W960" s="2" t="s">
        <v>788</v>
      </c>
      <c r="X960" s="2" t="s">
        <v>105</v>
      </c>
      <c r="Y960" s="2" t="s">
        <v>1802</v>
      </c>
      <c r="Z960" s="4">
        <v>90</v>
      </c>
      <c r="AA960" s="4">
        <f>=ROUNDDOWN(45,0)</f>
      </c>
      <c r="AB960" s="5">
        <v>2</v>
      </c>
      <c r="AC960" s="2" t="s">
        <v>100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/>
      <c r="BJ960" s="4">
        <v>1</v>
      </c>
      <c r="BK960" s="8">
        <v>36.29</v>
      </c>
      <c r="BL960" s="2" t="s">
        <v>715</v>
      </c>
      <c r="BM960" s="7"/>
      <c r="BN960" s="7"/>
      <c r="BO960" s="4"/>
      <c r="BP960" s="8"/>
      <c r="BQ960" s="4"/>
      <c r="BR960" s="8"/>
      <c r="BS960" s="7"/>
      <c r="BT960" s="7"/>
      <c r="BU960" s="2" t="s">
        <v>109</v>
      </c>
      <c r="BV960" s="2" t="s">
        <v>97</v>
      </c>
      <c r="BW960" s="2" t="s">
        <v>1221</v>
      </c>
      <c r="BX960" s="2" t="s">
        <v>100</v>
      </c>
      <c r="BY960" s="2" t="s">
        <v>112</v>
      </c>
      <c r="BZ960" s="2" t="s">
        <v>100</v>
      </c>
    </row>
    <row r="961">
      <c r="A961" s="2" t="s">
        <v>3290</v>
      </c>
      <c r="B961" s="2" t="s">
        <v>87</v>
      </c>
      <c r="C961" s="2" t="s">
        <v>88</v>
      </c>
      <c r="D961" s="2" t="s">
        <v>3079</v>
      </c>
      <c r="E961" s="2" t="s">
        <v>3176</v>
      </c>
      <c r="F961" s="2" t="s">
        <v>1830</v>
      </c>
      <c r="G961" s="2" t="s">
        <v>1831</v>
      </c>
      <c r="H961" s="2" t="s">
        <v>1832</v>
      </c>
      <c r="I961" s="2" t="s">
        <v>3291</v>
      </c>
      <c r="J961" s="2" t="s">
        <v>785</v>
      </c>
      <c r="K961" s="2" t="s">
        <v>1834</v>
      </c>
      <c r="L961" s="3">
        <v>53.9</v>
      </c>
      <c r="M961" s="3">
        <v>56.59</v>
      </c>
      <c r="N961" s="3">
        <v>109.99</v>
      </c>
      <c r="O961" s="2" t="s">
        <v>97</v>
      </c>
      <c r="P961" s="2" t="s">
        <v>98</v>
      </c>
      <c r="Q961" s="2" t="s">
        <v>99</v>
      </c>
      <c r="R961" s="2" t="s">
        <v>100</v>
      </c>
      <c r="S961" s="2" t="s">
        <v>2323</v>
      </c>
      <c r="T961" s="2" t="s">
        <v>100</v>
      </c>
      <c r="U961" s="2" t="s">
        <v>1508</v>
      </c>
      <c r="V961" s="2" t="s">
        <v>608</v>
      </c>
      <c r="W961" s="2" t="s">
        <v>646</v>
      </c>
      <c r="X961" s="2" t="s">
        <v>647</v>
      </c>
      <c r="Y961" s="2" t="s">
        <v>1857</v>
      </c>
      <c r="Z961" s="4">
        <v>119</v>
      </c>
      <c r="AA961" s="4">
        <f>=ROUNDDOWN(29.75,0)</f>
      </c>
      <c r="AB961" s="5">
        <v>4</v>
      </c>
      <c r="AC961" s="2" t="s">
        <v>615</v>
      </c>
      <c r="AD961" s="4">
        <v>30</v>
      </c>
      <c r="AE961" s="4">
        <v>30</v>
      </c>
      <c r="AF961" s="6">
        <v>69</v>
      </c>
      <c r="AG961" s="6"/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/>
      <c r="BJ961" s="4">
        <v>4</v>
      </c>
      <c r="BK961" s="8">
        <v>219.74</v>
      </c>
      <c r="BL961" s="2" t="s">
        <v>2746</v>
      </c>
      <c r="BM961" s="7"/>
      <c r="BN961" s="7"/>
      <c r="BO961" s="4"/>
      <c r="BP961" s="8"/>
      <c r="BQ961" s="4"/>
      <c r="BR961" s="8"/>
      <c r="BS961" s="7"/>
      <c r="BT961" s="7"/>
      <c r="BU961" s="2" t="s">
        <v>109</v>
      </c>
      <c r="BV961" s="2" t="s">
        <v>97</v>
      </c>
      <c r="BW961" s="2" t="s">
        <v>1159</v>
      </c>
      <c r="BX961" s="2" t="s">
        <v>1144</v>
      </c>
      <c r="BY961" s="2" t="s">
        <v>112</v>
      </c>
      <c r="BZ961" s="2" t="s">
        <v>100</v>
      </c>
    </row>
    <row r="962">
      <c r="A962" s="2" t="s">
        <v>3292</v>
      </c>
      <c r="B962" s="2" t="s">
        <v>87</v>
      </c>
      <c r="C962" s="2" t="s">
        <v>88</v>
      </c>
      <c r="D962" s="2" t="s">
        <v>3079</v>
      </c>
      <c r="E962" s="2" t="s">
        <v>3176</v>
      </c>
      <c r="F962" s="2" t="s">
        <v>1830</v>
      </c>
      <c r="G962" s="2" t="s">
        <v>1831</v>
      </c>
      <c r="H962" s="2" t="s">
        <v>1832</v>
      </c>
      <c r="I962" s="2" t="s">
        <v>3291</v>
      </c>
      <c r="J962" s="2" t="s">
        <v>795</v>
      </c>
      <c r="K962" s="2" t="s">
        <v>1834</v>
      </c>
      <c r="L962" s="3">
        <v>63.7</v>
      </c>
      <c r="M962" s="3">
        <v>66.88</v>
      </c>
      <c r="N962" s="3">
        <v>129.99</v>
      </c>
      <c r="O962" s="2" t="s">
        <v>97</v>
      </c>
      <c r="P962" s="2" t="s">
        <v>98</v>
      </c>
      <c r="Q962" s="2" t="s">
        <v>99</v>
      </c>
      <c r="R962" s="2" t="s">
        <v>100</v>
      </c>
      <c r="S962" s="2" t="s">
        <v>2323</v>
      </c>
      <c r="T962" s="2" t="s">
        <v>100</v>
      </c>
      <c r="U962" s="2" t="s">
        <v>1508</v>
      </c>
      <c r="V962" s="2" t="s">
        <v>608</v>
      </c>
      <c r="W962" s="2" t="s">
        <v>646</v>
      </c>
      <c r="X962" s="2" t="s">
        <v>647</v>
      </c>
      <c r="Y962" s="2" t="s">
        <v>1857</v>
      </c>
      <c r="Z962" s="4">
        <v>93</v>
      </c>
      <c r="AA962" s="4">
        <f>=ROUNDDOWN(31,0)</f>
      </c>
      <c r="AB962" s="5">
        <v>3</v>
      </c>
      <c r="AC962" s="2" t="s">
        <v>1377</v>
      </c>
      <c r="AD962" s="4">
        <v>30</v>
      </c>
      <c r="AE962" s="4">
        <v>60</v>
      </c>
      <c r="AF962" s="6">
        <v>69</v>
      </c>
      <c r="AG962" s="6"/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/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/>
      <c r="BJ962" s="4"/>
      <c r="BK962" s="8"/>
      <c r="BL962" s="2" t="s">
        <v>100</v>
      </c>
      <c r="BM962" s="7"/>
      <c r="BN962" s="7"/>
      <c r="BO962" s="4"/>
      <c r="BP962" s="8"/>
      <c r="BQ962" s="4"/>
      <c r="BR962" s="8"/>
      <c r="BS962" s="7"/>
      <c r="BT962" s="7"/>
      <c r="BU962" s="2" t="s">
        <v>109</v>
      </c>
      <c r="BV962" s="2" t="s">
        <v>97</v>
      </c>
      <c r="BW962" s="2" t="s">
        <v>1159</v>
      </c>
      <c r="BX962" s="2" t="s">
        <v>3293</v>
      </c>
      <c r="BY962" s="2" t="s">
        <v>112</v>
      </c>
      <c r="BZ962" s="2" t="s">
        <v>100</v>
      </c>
    </row>
    <row r="963">
      <c r="A963" s="2" t="s">
        <v>3294</v>
      </c>
      <c r="B963" s="2" t="s">
        <v>87</v>
      </c>
      <c r="C963" s="2" t="s">
        <v>88</v>
      </c>
      <c r="D963" s="2" t="s">
        <v>3079</v>
      </c>
      <c r="E963" s="2" t="s">
        <v>3176</v>
      </c>
      <c r="F963" s="2" t="s">
        <v>1864</v>
      </c>
      <c r="G963" s="2" t="s">
        <v>1865</v>
      </c>
      <c r="H963" s="2" t="s">
        <v>1866</v>
      </c>
      <c r="I963" s="2" t="s">
        <v>3226</v>
      </c>
      <c r="J963" s="2" t="s">
        <v>785</v>
      </c>
      <c r="K963" s="2" t="s">
        <v>521</v>
      </c>
      <c r="L963" s="3">
        <v>23.8</v>
      </c>
      <c r="M963" s="3">
        <v>24.99</v>
      </c>
      <c r="N963" s="3">
        <v>49.99</v>
      </c>
      <c r="O963" s="2" t="s">
        <v>97</v>
      </c>
      <c r="P963" s="2" t="s">
        <v>587</v>
      </c>
      <c r="Q963" s="2" t="s">
        <v>99</v>
      </c>
      <c r="R963" s="2" t="s">
        <v>100</v>
      </c>
      <c r="S963" s="2" t="s">
        <v>3295</v>
      </c>
      <c r="T963" s="2" t="s">
        <v>100</v>
      </c>
      <c r="U963" s="2" t="s">
        <v>1508</v>
      </c>
      <c r="V963" s="2" t="s">
        <v>805</v>
      </c>
      <c r="W963" s="2" t="s">
        <v>788</v>
      </c>
      <c r="X963" s="2" t="s">
        <v>976</v>
      </c>
      <c r="Y963" s="2" t="s">
        <v>1868</v>
      </c>
      <c r="Z963" s="4">
        <v>141</v>
      </c>
      <c r="AA963" s="4">
        <f>=ROUNDDOWN(35.25,0)</f>
      </c>
      <c r="AB963" s="5">
        <v>4</v>
      </c>
      <c r="AC963" s="2" t="s">
        <v>100</v>
      </c>
      <c r="AD963" s="4"/>
      <c r="AE963" s="4"/>
      <c r="AF963" s="6">
        <v>66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/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/>
      <c r="BJ963" s="4">
        <v>1</v>
      </c>
      <c r="BK963" s="8">
        <v>26.24</v>
      </c>
      <c r="BL963" s="2" t="s">
        <v>210</v>
      </c>
      <c r="BM963" s="7"/>
      <c r="BN963" s="7"/>
      <c r="BO963" s="4"/>
      <c r="BP963" s="8"/>
      <c r="BQ963" s="4"/>
      <c r="BR963" s="8"/>
      <c r="BS963" s="7"/>
      <c r="BT963" s="7"/>
      <c r="BU963" s="2" t="s">
        <v>3088</v>
      </c>
      <c r="BV963" s="2" t="s">
        <v>97</v>
      </c>
      <c r="BW963" s="2" t="s">
        <v>100</v>
      </c>
      <c r="BX963" s="2" t="s">
        <v>100</v>
      </c>
      <c r="BY963" s="2" t="s">
        <v>112</v>
      </c>
      <c r="BZ963" s="2" t="s">
        <v>100</v>
      </c>
    </row>
    <row r="964">
      <c r="A964" s="2" t="s">
        <v>3296</v>
      </c>
      <c r="B964" s="2" t="s">
        <v>87</v>
      </c>
      <c r="C964" s="2" t="s">
        <v>88</v>
      </c>
      <c r="D964" s="2" t="s">
        <v>3079</v>
      </c>
      <c r="E964" s="2" t="s">
        <v>3176</v>
      </c>
      <c r="F964" s="2" t="s">
        <v>1864</v>
      </c>
      <c r="G964" s="2" t="s">
        <v>1865</v>
      </c>
      <c r="H964" s="2" t="s">
        <v>1866</v>
      </c>
      <c r="I964" s="2" t="s">
        <v>3226</v>
      </c>
      <c r="J964" s="2" t="s">
        <v>795</v>
      </c>
      <c r="K964" s="2" t="s">
        <v>521</v>
      </c>
      <c r="L964" s="3">
        <v>28.57</v>
      </c>
      <c r="M964" s="3">
        <v>30</v>
      </c>
      <c r="N964" s="3">
        <v>59.99</v>
      </c>
      <c r="O964" s="2" t="s">
        <v>97</v>
      </c>
      <c r="P964" s="2" t="s">
        <v>587</v>
      </c>
      <c r="Q964" s="2" t="s">
        <v>99</v>
      </c>
      <c r="R964" s="2" t="s">
        <v>100</v>
      </c>
      <c r="S964" s="2" t="s">
        <v>3295</v>
      </c>
      <c r="T964" s="2" t="s">
        <v>100</v>
      </c>
      <c r="U964" s="2" t="s">
        <v>1508</v>
      </c>
      <c r="V964" s="2" t="s">
        <v>805</v>
      </c>
      <c r="W964" s="2" t="s">
        <v>788</v>
      </c>
      <c r="X964" s="2" t="s">
        <v>976</v>
      </c>
      <c r="Y964" s="2" t="s">
        <v>1868</v>
      </c>
      <c r="Z964" s="4">
        <v>211</v>
      </c>
      <c r="AA964" s="4">
        <f>=ROUNDDOWN(52.75,0)</f>
      </c>
      <c r="AB964" s="5">
        <v>4</v>
      </c>
      <c r="AC964" s="2" t="s">
        <v>100</v>
      </c>
      <c r="AD964" s="4"/>
      <c r="AE964" s="4"/>
      <c r="AF964" s="6">
        <v>66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 t="s">
        <v>100</v>
      </c>
      <c r="AW964" s="8" t="s">
        <v>100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/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/>
      <c r="BJ964" s="4">
        <v>4</v>
      </c>
      <c r="BK964" s="8">
        <v>131.7</v>
      </c>
      <c r="BL964" s="2" t="s">
        <v>3297</v>
      </c>
      <c r="BM964" s="7"/>
      <c r="BN964" s="7"/>
      <c r="BO964" s="4"/>
      <c r="BP964" s="8"/>
      <c r="BQ964" s="4"/>
      <c r="BR964" s="8"/>
      <c r="BS964" s="7"/>
      <c r="BT964" s="7"/>
      <c r="BU964" s="2" t="s">
        <v>3088</v>
      </c>
      <c r="BV964" s="2" t="s">
        <v>97</v>
      </c>
      <c r="BW964" s="2" t="s">
        <v>100</v>
      </c>
      <c r="BX964" s="2" t="s">
        <v>100</v>
      </c>
      <c r="BY964" s="2" t="s">
        <v>112</v>
      </c>
      <c r="BZ964" s="2" t="s">
        <v>100</v>
      </c>
    </row>
    <row r="965">
      <c r="A965" s="2" t="s">
        <v>3298</v>
      </c>
      <c r="B965" s="2" t="s">
        <v>87</v>
      </c>
      <c r="C965" s="2" t="s">
        <v>88</v>
      </c>
      <c r="D965" s="2" t="s">
        <v>3079</v>
      </c>
      <c r="E965" s="2" t="s">
        <v>3176</v>
      </c>
      <c r="F965" s="2" t="s">
        <v>2186</v>
      </c>
      <c r="G965" s="2" t="s">
        <v>2187</v>
      </c>
      <c r="H965" s="2" t="s">
        <v>2188</v>
      </c>
      <c r="I965" s="2" t="s">
        <v>3299</v>
      </c>
      <c r="J965" s="2" t="s">
        <v>785</v>
      </c>
      <c r="K965" s="2" t="s">
        <v>1834</v>
      </c>
      <c r="L965" s="3">
        <v>53.9</v>
      </c>
      <c r="M965" s="3">
        <v>56.6</v>
      </c>
      <c r="N965" s="3">
        <v>109.99</v>
      </c>
      <c r="O965" s="2" t="s">
        <v>97</v>
      </c>
      <c r="P965" s="2" t="s">
        <v>98</v>
      </c>
      <c r="Q965" s="2" t="s">
        <v>99</v>
      </c>
      <c r="R965" s="2" t="s">
        <v>100</v>
      </c>
      <c r="S965" s="2" t="s">
        <v>3300</v>
      </c>
      <c r="T965" s="2" t="s">
        <v>359</v>
      </c>
      <c r="U965" s="2" t="s">
        <v>1508</v>
      </c>
      <c r="V965" s="2" t="s">
        <v>677</v>
      </c>
      <c r="W965" s="2" t="s">
        <v>646</v>
      </c>
      <c r="X965" s="2" t="s">
        <v>2191</v>
      </c>
      <c r="Y965" s="2" t="s">
        <v>2192</v>
      </c>
      <c r="Z965" s="4">
        <v>59</v>
      </c>
      <c r="AA965" s="4">
        <f>=ROUNDDOWN(8.30985915492958,0)</f>
      </c>
      <c r="AB965" s="5">
        <v>7.1</v>
      </c>
      <c r="AC965" s="2" t="s">
        <v>860</v>
      </c>
      <c r="AD965" s="4">
        <v>240</v>
      </c>
      <c r="AE965" s="4">
        <v>240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/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/>
      <c r="BJ965" s="4">
        <v>8</v>
      </c>
      <c r="BK965" s="8">
        <v>461.41</v>
      </c>
      <c r="BL965" s="2" t="s">
        <v>3301</v>
      </c>
      <c r="BM965" s="7"/>
      <c r="BN965" s="7"/>
      <c r="BO965" s="4"/>
      <c r="BP965" s="8"/>
      <c r="BQ965" s="4"/>
      <c r="BR965" s="8"/>
      <c r="BS965" s="7"/>
      <c r="BT965" s="7"/>
      <c r="BU965" s="2" t="s">
        <v>3088</v>
      </c>
      <c r="BV965" s="2" t="s">
        <v>97</v>
      </c>
      <c r="BW965" s="2" t="s">
        <v>100</v>
      </c>
      <c r="BX965" s="2" t="s">
        <v>100</v>
      </c>
      <c r="BY965" s="2" t="s">
        <v>112</v>
      </c>
      <c r="BZ965" s="2" t="s">
        <v>100</v>
      </c>
    </row>
    <row r="966">
      <c r="A966" s="2" t="s">
        <v>3302</v>
      </c>
      <c r="B966" s="2" t="s">
        <v>87</v>
      </c>
      <c r="C966" s="2" t="s">
        <v>88</v>
      </c>
      <c r="D966" s="2" t="s">
        <v>3079</v>
      </c>
      <c r="E966" s="2" t="s">
        <v>3176</v>
      </c>
      <c r="F966" s="2" t="s">
        <v>2186</v>
      </c>
      <c r="G966" s="2" t="s">
        <v>2187</v>
      </c>
      <c r="H966" s="2" t="s">
        <v>2188</v>
      </c>
      <c r="I966" s="2" t="s">
        <v>3299</v>
      </c>
      <c r="J966" s="2" t="s">
        <v>795</v>
      </c>
      <c r="K966" s="2" t="s">
        <v>1834</v>
      </c>
      <c r="L966" s="3">
        <v>63.7</v>
      </c>
      <c r="M966" s="3">
        <v>66.89</v>
      </c>
      <c r="N966" s="3">
        <v>129.99</v>
      </c>
      <c r="O966" s="2" t="s">
        <v>97</v>
      </c>
      <c r="P966" s="2" t="s">
        <v>98</v>
      </c>
      <c r="Q966" s="2" t="s">
        <v>99</v>
      </c>
      <c r="R966" s="2" t="s">
        <v>100</v>
      </c>
      <c r="S966" s="2" t="s">
        <v>3300</v>
      </c>
      <c r="T966" s="2" t="s">
        <v>359</v>
      </c>
      <c r="U966" s="2" t="s">
        <v>1508</v>
      </c>
      <c r="V966" s="2" t="s">
        <v>677</v>
      </c>
      <c r="W966" s="2" t="s">
        <v>646</v>
      </c>
      <c r="X966" s="2" t="s">
        <v>2191</v>
      </c>
      <c r="Y966" s="2" t="s">
        <v>2192</v>
      </c>
      <c r="Z966" s="4">
        <v>96</v>
      </c>
      <c r="AA966" s="4">
        <f>=ROUNDDOWN(12,0)</f>
      </c>
      <c r="AB966" s="5">
        <v>8</v>
      </c>
      <c r="AC966" s="2" t="s">
        <v>860</v>
      </c>
      <c r="AD966" s="4">
        <v>180</v>
      </c>
      <c r="AE966" s="4">
        <v>180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/>
      <c r="BJ966" s="4">
        <v>3</v>
      </c>
      <c r="BK966" s="8">
        <v>196.61</v>
      </c>
      <c r="BL966" s="2" t="s">
        <v>887</v>
      </c>
      <c r="BM966" s="7"/>
      <c r="BN966" s="7"/>
      <c r="BO966" s="4"/>
      <c r="BP966" s="8"/>
      <c r="BQ966" s="4"/>
      <c r="BR966" s="8"/>
      <c r="BS966" s="7"/>
      <c r="BT966" s="7"/>
      <c r="BU966" s="2" t="s">
        <v>3088</v>
      </c>
      <c r="BV966" s="2" t="s">
        <v>97</v>
      </c>
      <c r="BW966" s="2" t="s">
        <v>100</v>
      </c>
      <c r="BX966" s="2" t="s">
        <v>100</v>
      </c>
      <c r="BY966" s="2" t="s">
        <v>112</v>
      </c>
      <c r="BZ966" s="2" t="s">
        <v>100</v>
      </c>
    </row>
    <row r="967">
      <c r="A967" s="2" t="s">
        <v>3303</v>
      </c>
      <c r="B967" s="2" t="s">
        <v>87</v>
      </c>
      <c r="C967" s="2" t="s">
        <v>88</v>
      </c>
      <c r="D967" s="2" t="s">
        <v>3079</v>
      </c>
      <c r="E967" s="2" t="s">
        <v>3176</v>
      </c>
      <c r="F967" s="2" t="s">
        <v>2186</v>
      </c>
      <c r="G967" s="2" t="s">
        <v>2187</v>
      </c>
      <c r="H967" s="2" t="s">
        <v>2188</v>
      </c>
      <c r="I967" s="2" t="s">
        <v>3299</v>
      </c>
      <c r="J967" s="2" t="s">
        <v>785</v>
      </c>
      <c r="K967" s="2" t="s">
        <v>2198</v>
      </c>
      <c r="L967" s="3">
        <v>53.9</v>
      </c>
      <c r="M967" s="3">
        <v>56.59</v>
      </c>
      <c r="N967" s="3">
        <v>109.99</v>
      </c>
      <c r="O967" s="2" t="s">
        <v>97</v>
      </c>
      <c r="P967" s="2" t="s">
        <v>98</v>
      </c>
      <c r="Q967" s="2" t="s">
        <v>99</v>
      </c>
      <c r="R967" s="2" t="s">
        <v>100</v>
      </c>
      <c r="S967" s="2" t="s">
        <v>2199</v>
      </c>
      <c r="T967" s="2" t="s">
        <v>359</v>
      </c>
      <c r="U967" s="2" t="s">
        <v>1508</v>
      </c>
      <c r="V967" s="2" t="s">
        <v>677</v>
      </c>
      <c r="W967" s="2" t="s">
        <v>646</v>
      </c>
      <c r="X967" s="2" t="s">
        <v>2191</v>
      </c>
      <c r="Y967" s="2" t="s">
        <v>334</v>
      </c>
      <c r="Z967" s="4">
        <v>246</v>
      </c>
      <c r="AA967" s="4">
        <f>=ROUNDDOWN(35.1428571428571,0)</f>
      </c>
      <c r="AB967" s="5">
        <v>7</v>
      </c>
      <c r="AC967" s="2" t="s">
        <v>100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/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/>
      <c r="BJ967" s="4">
        <v>4</v>
      </c>
      <c r="BK967" s="8">
        <v>195.43</v>
      </c>
      <c r="BL967" s="2" t="s">
        <v>224</v>
      </c>
      <c r="BM967" s="7"/>
      <c r="BN967" s="7"/>
      <c r="BO967" s="4"/>
      <c r="BP967" s="8"/>
      <c r="BQ967" s="4"/>
      <c r="BR967" s="8"/>
      <c r="BS967" s="7"/>
      <c r="BT967" s="7"/>
      <c r="BU967" s="2" t="s">
        <v>109</v>
      </c>
      <c r="BV967" s="2" t="s">
        <v>97</v>
      </c>
      <c r="BW967" s="2" t="s">
        <v>270</v>
      </c>
      <c r="BX967" s="2" t="s">
        <v>2339</v>
      </c>
      <c r="BY967" s="2" t="s">
        <v>112</v>
      </c>
      <c r="BZ967" s="2" t="s">
        <v>100</v>
      </c>
    </row>
    <row r="968">
      <c r="A968" s="2" t="s">
        <v>3304</v>
      </c>
      <c r="B968" s="2" t="s">
        <v>87</v>
      </c>
      <c r="C968" s="2" t="s">
        <v>88</v>
      </c>
      <c r="D968" s="2" t="s">
        <v>3079</v>
      </c>
      <c r="E968" s="2" t="s">
        <v>3176</v>
      </c>
      <c r="F968" s="2" t="s">
        <v>2186</v>
      </c>
      <c r="G968" s="2" t="s">
        <v>2187</v>
      </c>
      <c r="H968" s="2" t="s">
        <v>2188</v>
      </c>
      <c r="I968" s="2" t="s">
        <v>3299</v>
      </c>
      <c r="J968" s="2" t="s">
        <v>795</v>
      </c>
      <c r="K968" s="2" t="s">
        <v>2198</v>
      </c>
      <c r="L968" s="3">
        <v>63.7</v>
      </c>
      <c r="M968" s="3">
        <v>66.88</v>
      </c>
      <c r="N968" s="3">
        <v>129.99</v>
      </c>
      <c r="O968" s="2" t="s">
        <v>97</v>
      </c>
      <c r="P968" s="2" t="s">
        <v>98</v>
      </c>
      <c r="Q968" s="2" t="s">
        <v>99</v>
      </c>
      <c r="R968" s="2" t="s">
        <v>100</v>
      </c>
      <c r="S968" s="2" t="s">
        <v>2199</v>
      </c>
      <c r="T968" s="2" t="s">
        <v>359</v>
      </c>
      <c r="U968" s="2" t="s">
        <v>1508</v>
      </c>
      <c r="V968" s="2" t="s">
        <v>677</v>
      </c>
      <c r="W968" s="2" t="s">
        <v>646</v>
      </c>
      <c r="X968" s="2" t="s">
        <v>2191</v>
      </c>
      <c r="Y968" s="2" t="s">
        <v>334</v>
      </c>
      <c r="Z968" s="4">
        <v>140</v>
      </c>
      <c r="AA968" s="4">
        <f>=ROUNDDOWN(15.5555555555556,0)</f>
      </c>
      <c r="AB968" s="5">
        <v>9</v>
      </c>
      <c r="AC968" s="2" t="s">
        <v>860</v>
      </c>
      <c r="AD968" s="4">
        <v>200</v>
      </c>
      <c r="AE968" s="4">
        <v>200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100</v>
      </c>
      <c r="AW968" s="8" t="s">
        <v>100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/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/>
      <c r="BJ968" s="4">
        <v>6</v>
      </c>
      <c r="BK968" s="8">
        <v>359.91</v>
      </c>
      <c r="BL968" s="2" t="s">
        <v>108</v>
      </c>
      <c r="BM968" s="7"/>
      <c r="BN968" s="7"/>
      <c r="BO968" s="4"/>
      <c r="BP968" s="8"/>
      <c r="BQ968" s="4"/>
      <c r="BR968" s="8"/>
      <c r="BS968" s="7"/>
      <c r="BT968" s="7"/>
      <c r="BU968" s="2" t="s">
        <v>109</v>
      </c>
      <c r="BV968" s="2" t="s">
        <v>97</v>
      </c>
      <c r="BW968" s="2" t="s">
        <v>270</v>
      </c>
      <c r="BX968" s="2" t="s">
        <v>862</v>
      </c>
      <c r="BY968" s="2" t="s">
        <v>112</v>
      </c>
      <c r="BZ968" s="2" t="s">
        <v>100</v>
      </c>
    </row>
    <row r="969">
      <c r="A969" s="2" t="s">
        <v>3305</v>
      </c>
      <c r="B969" s="2" t="s">
        <v>87</v>
      </c>
      <c r="C969" s="2" t="s">
        <v>88</v>
      </c>
      <c r="D969" s="2" t="s">
        <v>3079</v>
      </c>
      <c r="E969" s="2" t="s">
        <v>3176</v>
      </c>
      <c r="F969" s="2" t="s">
        <v>2204</v>
      </c>
      <c r="G969" s="2" t="s">
        <v>2205</v>
      </c>
      <c r="H969" s="2" t="s">
        <v>2206</v>
      </c>
      <c r="I969" s="2" t="s">
        <v>3306</v>
      </c>
      <c r="J969" s="2" t="s">
        <v>785</v>
      </c>
      <c r="K969" s="2" t="s">
        <v>1834</v>
      </c>
      <c r="L969" s="3">
        <v>51.2</v>
      </c>
      <c r="M969" s="3">
        <v>53.76</v>
      </c>
      <c r="N969" s="3">
        <v>99.99</v>
      </c>
      <c r="O969" s="2" t="s">
        <v>97</v>
      </c>
      <c r="P969" s="2" t="s">
        <v>341</v>
      </c>
      <c r="Q969" s="2" t="s">
        <v>99</v>
      </c>
      <c r="R969" s="2" t="s">
        <v>100</v>
      </c>
      <c r="S969" s="2" t="s">
        <v>2208</v>
      </c>
      <c r="T969" s="2" t="s">
        <v>359</v>
      </c>
      <c r="U969" s="2" t="s">
        <v>1508</v>
      </c>
      <c r="V969" s="2" t="s">
        <v>284</v>
      </c>
      <c r="W969" s="2" t="s">
        <v>646</v>
      </c>
      <c r="X969" s="2" t="s">
        <v>647</v>
      </c>
      <c r="Y969" s="2" t="s">
        <v>1754</v>
      </c>
      <c r="Z969" s="4">
        <v>1764</v>
      </c>
      <c r="AA969" s="4">
        <f>=ROUNDDOWN(76.695652173913,0)</f>
      </c>
      <c r="AB969" s="5">
        <v>23</v>
      </c>
      <c r="AC969" s="2" t="s">
        <v>680</v>
      </c>
      <c r="AD969" s="4">
        <v>233</v>
      </c>
      <c r="AE969" s="4">
        <v>1305</v>
      </c>
      <c r="AF969" s="6">
        <v>71</v>
      </c>
      <c r="AG969" s="6">
        <v>79</v>
      </c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/>
      <c r="BJ969" s="4">
        <v>2</v>
      </c>
      <c r="BK969" s="8">
        <v>109.03</v>
      </c>
      <c r="BL969" s="2" t="s">
        <v>1643</v>
      </c>
      <c r="BM969" s="7"/>
      <c r="BN969" s="7"/>
      <c r="BO969" s="4"/>
      <c r="BP969" s="8"/>
      <c r="BQ969" s="4"/>
      <c r="BR969" s="8"/>
      <c r="BS969" s="7"/>
      <c r="BT969" s="7"/>
      <c r="BU969" s="2" t="s">
        <v>109</v>
      </c>
      <c r="BV969" s="2" t="s">
        <v>97</v>
      </c>
      <c r="BW969" s="2" t="s">
        <v>2742</v>
      </c>
      <c r="BX969" s="2" t="s">
        <v>230</v>
      </c>
      <c r="BY969" s="2" t="s">
        <v>112</v>
      </c>
      <c r="BZ969" s="2" t="s">
        <v>100</v>
      </c>
    </row>
    <row r="970">
      <c r="A970" s="2" t="s">
        <v>3307</v>
      </c>
      <c r="B970" s="2" t="s">
        <v>87</v>
      </c>
      <c r="C970" s="2" t="s">
        <v>88</v>
      </c>
      <c r="D970" s="2" t="s">
        <v>3079</v>
      </c>
      <c r="E970" s="2" t="s">
        <v>3176</v>
      </c>
      <c r="F970" s="2" t="s">
        <v>2204</v>
      </c>
      <c r="G970" s="2" t="s">
        <v>2205</v>
      </c>
      <c r="H970" s="2" t="s">
        <v>2206</v>
      </c>
      <c r="I970" s="2" t="s">
        <v>3306</v>
      </c>
      <c r="J970" s="2" t="s">
        <v>795</v>
      </c>
      <c r="K970" s="2" t="s">
        <v>1834</v>
      </c>
      <c r="L970" s="3">
        <v>60.51</v>
      </c>
      <c r="M970" s="3">
        <v>63.54</v>
      </c>
      <c r="N970" s="3">
        <v>119.99</v>
      </c>
      <c r="O970" s="2" t="s">
        <v>97</v>
      </c>
      <c r="P970" s="2" t="s">
        <v>341</v>
      </c>
      <c r="Q970" s="2" t="s">
        <v>99</v>
      </c>
      <c r="R970" s="2" t="s">
        <v>100</v>
      </c>
      <c r="S970" s="2" t="s">
        <v>2208</v>
      </c>
      <c r="T970" s="2" t="s">
        <v>359</v>
      </c>
      <c r="U970" s="2" t="s">
        <v>1508</v>
      </c>
      <c r="V970" s="2" t="s">
        <v>284</v>
      </c>
      <c r="W970" s="2" t="s">
        <v>646</v>
      </c>
      <c r="X970" s="2" t="s">
        <v>647</v>
      </c>
      <c r="Y970" s="2" t="s">
        <v>1754</v>
      </c>
      <c r="Z970" s="4">
        <v>1962</v>
      </c>
      <c r="AA970" s="4">
        <f>=ROUNDDOWN(72.6666666666667,0)</f>
      </c>
      <c r="AB970" s="5">
        <v>27</v>
      </c>
      <c r="AC970" s="2" t="s">
        <v>680</v>
      </c>
      <c r="AD970" s="4">
        <v>480</v>
      </c>
      <c r="AE970" s="4">
        <v>1550</v>
      </c>
      <c r="AF970" s="6">
        <v>71</v>
      </c>
      <c r="AG970" s="6">
        <v>79</v>
      </c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19</v>
      </c>
      <c r="BK970" s="8">
        <v>1276.71</v>
      </c>
      <c r="BL970" s="2" t="s">
        <v>3308</v>
      </c>
      <c r="BM970" s="7"/>
      <c r="BN970" s="7"/>
      <c r="BO970" s="4"/>
      <c r="BP970" s="8"/>
      <c r="BQ970" s="4"/>
      <c r="BR970" s="8"/>
      <c r="BS970" s="7"/>
      <c r="BT970" s="7"/>
      <c r="BU970" s="2" t="s">
        <v>109</v>
      </c>
      <c r="BV970" s="2" t="s">
        <v>97</v>
      </c>
      <c r="BW970" s="2" t="s">
        <v>1159</v>
      </c>
      <c r="BX970" s="2" t="s">
        <v>3309</v>
      </c>
      <c r="BY970" s="2" t="s">
        <v>112</v>
      </c>
      <c r="BZ970" s="2" t="s">
        <v>100</v>
      </c>
    </row>
    <row r="971">
      <c r="A971" s="2" t="s">
        <v>3310</v>
      </c>
      <c r="B971" s="2" t="s">
        <v>87</v>
      </c>
      <c r="C971" s="2" t="s">
        <v>88</v>
      </c>
      <c r="D971" s="2" t="s">
        <v>3079</v>
      </c>
      <c r="E971" s="2" t="s">
        <v>3176</v>
      </c>
      <c r="F971" s="2" t="s">
        <v>2204</v>
      </c>
      <c r="G971" s="2" t="s">
        <v>2205</v>
      </c>
      <c r="H971" s="2" t="s">
        <v>2206</v>
      </c>
      <c r="I971" s="2" t="s">
        <v>3311</v>
      </c>
      <c r="J971" s="2" t="s">
        <v>785</v>
      </c>
      <c r="K971" s="2" t="s">
        <v>175</v>
      </c>
      <c r="L971" s="3">
        <v>51.2</v>
      </c>
      <c r="M971" s="3">
        <v>53.76</v>
      </c>
      <c r="N971" s="3">
        <v>99.99</v>
      </c>
      <c r="O971" s="2" t="s">
        <v>97</v>
      </c>
      <c r="P971" s="2" t="s">
        <v>98</v>
      </c>
      <c r="Q971" s="2" t="s">
        <v>99</v>
      </c>
      <c r="R971" s="2" t="s">
        <v>100</v>
      </c>
      <c r="S971" s="2" t="s">
        <v>2216</v>
      </c>
      <c r="T971" s="2" t="s">
        <v>100</v>
      </c>
      <c r="U971" s="2" t="s">
        <v>1508</v>
      </c>
      <c r="V971" s="2" t="s">
        <v>284</v>
      </c>
      <c r="W971" s="2" t="s">
        <v>646</v>
      </c>
      <c r="X971" s="2" t="s">
        <v>647</v>
      </c>
      <c r="Y971" s="2" t="s">
        <v>3312</v>
      </c>
      <c r="Z971" s="4">
        <v>358</v>
      </c>
      <c r="AA971" s="4">
        <f>=ROUNDDOWN(51.1428571428571,0)</f>
      </c>
      <c r="AB971" s="5">
        <v>7</v>
      </c>
      <c r="AC971" s="2" t="s">
        <v>194</v>
      </c>
      <c r="AD971" s="4">
        <v>360</v>
      </c>
      <c r="AE971" s="4">
        <v>580</v>
      </c>
      <c r="AF971" s="6">
        <v>71</v>
      </c>
      <c r="AG971" s="6">
        <v>79</v>
      </c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 t="s">
        <v>100</v>
      </c>
      <c r="AW971" s="8" t="s">
        <v>100</v>
      </c>
      <c r="AX971" s="4" t="s">
        <v>100</v>
      </c>
      <c r="AY971" s="8" t="s">
        <v>100</v>
      </c>
      <c r="AZ971" s="7" t="s">
        <v>100</v>
      </c>
      <c r="BA971" s="7" t="s">
        <v>100</v>
      </c>
      <c r="BB971" s="7"/>
      <c r="BC971" s="4" t="s">
        <v>100</v>
      </c>
      <c r="BD971" s="8" t="s">
        <v>100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/>
      <c r="BJ971" s="4">
        <v>4</v>
      </c>
      <c r="BK971" s="8">
        <v>227.85</v>
      </c>
      <c r="BL971" s="2" t="s">
        <v>760</v>
      </c>
      <c r="BM971" s="7"/>
      <c r="BN971" s="7"/>
      <c r="BO971" s="4"/>
      <c r="BP971" s="8"/>
      <c r="BQ971" s="4"/>
      <c r="BR971" s="8"/>
      <c r="BS971" s="7"/>
      <c r="BT971" s="7"/>
      <c r="BU971" s="2" t="s">
        <v>109</v>
      </c>
      <c r="BV971" s="2" t="s">
        <v>97</v>
      </c>
      <c r="BW971" s="2" t="s">
        <v>270</v>
      </c>
      <c r="BX971" s="2" t="s">
        <v>567</v>
      </c>
      <c r="BY971" s="2" t="s">
        <v>112</v>
      </c>
      <c r="BZ971" s="2" t="s">
        <v>100</v>
      </c>
    </row>
    <row r="972">
      <c r="A972" s="2" t="s">
        <v>3313</v>
      </c>
      <c r="B972" s="2" t="s">
        <v>87</v>
      </c>
      <c r="C972" s="2" t="s">
        <v>88</v>
      </c>
      <c r="D972" s="2" t="s">
        <v>3079</v>
      </c>
      <c r="E972" s="2" t="s">
        <v>3176</v>
      </c>
      <c r="F972" s="2" t="s">
        <v>2204</v>
      </c>
      <c r="G972" s="2" t="s">
        <v>2205</v>
      </c>
      <c r="H972" s="2" t="s">
        <v>2206</v>
      </c>
      <c r="I972" s="2" t="s">
        <v>3311</v>
      </c>
      <c r="J972" s="2" t="s">
        <v>795</v>
      </c>
      <c r="K972" s="2" t="s">
        <v>175</v>
      </c>
      <c r="L972" s="3">
        <v>60.51</v>
      </c>
      <c r="M972" s="3">
        <v>63.54</v>
      </c>
      <c r="N972" s="3">
        <v>119.99</v>
      </c>
      <c r="O972" s="2" t="s">
        <v>97</v>
      </c>
      <c r="P972" s="2" t="s">
        <v>98</v>
      </c>
      <c r="Q972" s="2" t="s">
        <v>99</v>
      </c>
      <c r="R972" s="2" t="s">
        <v>100</v>
      </c>
      <c r="S972" s="2" t="s">
        <v>2216</v>
      </c>
      <c r="T972" s="2" t="s">
        <v>100</v>
      </c>
      <c r="U972" s="2" t="s">
        <v>1508</v>
      </c>
      <c r="V972" s="2" t="s">
        <v>284</v>
      </c>
      <c r="W972" s="2" t="s">
        <v>646</v>
      </c>
      <c r="X972" s="2" t="s">
        <v>647</v>
      </c>
      <c r="Y972" s="2" t="s">
        <v>3312</v>
      </c>
      <c r="Z972" s="4">
        <v>504</v>
      </c>
      <c r="AA972" s="4">
        <f>=ROUNDDOWN(42,0)</f>
      </c>
      <c r="AB972" s="5">
        <v>12</v>
      </c>
      <c r="AC972" s="2" t="s">
        <v>194</v>
      </c>
      <c r="AD972" s="4">
        <v>530</v>
      </c>
      <c r="AE972" s="4">
        <v>930</v>
      </c>
      <c r="AF972" s="6">
        <v>71</v>
      </c>
      <c r="AG972" s="6">
        <v>79</v>
      </c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/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/>
      <c r="BJ972" s="4">
        <v>10</v>
      </c>
      <c r="BK972" s="8">
        <v>655.91</v>
      </c>
      <c r="BL972" s="2" t="s">
        <v>3314</v>
      </c>
      <c r="BM972" s="7"/>
      <c r="BN972" s="7"/>
      <c r="BO972" s="4"/>
      <c r="BP972" s="8"/>
      <c r="BQ972" s="4"/>
      <c r="BR972" s="8"/>
      <c r="BS972" s="7"/>
      <c r="BT972" s="7"/>
      <c r="BU972" s="2" t="s">
        <v>109</v>
      </c>
      <c r="BV972" s="2" t="s">
        <v>97</v>
      </c>
      <c r="BW972" s="2" t="s">
        <v>270</v>
      </c>
      <c r="BX972" s="2" t="s">
        <v>2303</v>
      </c>
      <c r="BY972" s="2" t="s">
        <v>112</v>
      </c>
      <c r="BZ972" s="2" t="s">
        <v>100</v>
      </c>
    </row>
    <row r="973">
      <c r="A973" s="2" t="s">
        <v>3315</v>
      </c>
      <c r="B973" s="2" t="s">
        <v>87</v>
      </c>
      <c r="C973" s="2" t="s">
        <v>88</v>
      </c>
      <c r="D973" s="2" t="s">
        <v>3079</v>
      </c>
      <c r="E973" s="2" t="s">
        <v>3176</v>
      </c>
      <c r="F973" s="2" t="s">
        <v>2221</v>
      </c>
      <c r="G973" s="2" t="s">
        <v>1522</v>
      </c>
      <c r="H973" s="2" t="s">
        <v>2222</v>
      </c>
      <c r="I973" s="2" t="s">
        <v>3291</v>
      </c>
      <c r="J973" s="2" t="s">
        <v>785</v>
      </c>
      <c r="K973" s="2" t="s">
        <v>2224</v>
      </c>
      <c r="L973" s="3">
        <v>53.9</v>
      </c>
      <c r="M973" s="3">
        <v>56.59</v>
      </c>
      <c r="N973" s="3">
        <v>109.99</v>
      </c>
      <c r="O973" s="2" t="s">
        <v>97</v>
      </c>
      <c r="P973" s="2" t="s">
        <v>98</v>
      </c>
      <c r="Q973" s="2" t="s">
        <v>99</v>
      </c>
      <c r="R973" s="2" t="s">
        <v>100</v>
      </c>
      <c r="S973" s="2" t="s">
        <v>3316</v>
      </c>
      <c r="T973" s="2" t="s">
        <v>359</v>
      </c>
      <c r="U973" s="2" t="s">
        <v>1508</v>
      </c>
      <c r="V973" s="2" t="s">
        <v>608</v>
      </c>
      <c r="W973" s="2" t="s">
        <v>1064</v>
      </c>
      <c r="X973" s="2" t="s">
        <v>563</v>
      </c>
      <c r="Y973" s="2" t="s">
        <v>2936</v>
      </c>
      <c r="Z973" s="4">
        <v>135</v>
      </c>
      <c r="AA973" s="4">
        <f>=ROUNDDOWN(19.2857142857143,0)</f>
      </c>
      <c r="AB973" s="5">
        <v>7</v>
      </c>
      <c r="AC973" s="2" t="s">
        <v>680</v>
      </c>
      <c r="AD973" s="4">
        <v>30</v>
      </c>
      <c r="AE973" s="4">
        <v>140</v>
      </c>
      <c r="AF973" s="6">
        <v>69</v>
      </c>
      <c r="AG973" s="6"/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 t="s">
        <v>100</v>
      </c>
      <c r="AW973" s="8" t="s">
        <v>100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/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/>
      <c r="BJ973" s="4">
        <v>3</v>
      </c>
      <c r="BK973" s="8">
        <v>175.93</v>
      </c>
      <c r="BL973" s="2" t="s">
        <v>3317</v>
      </c>
      <c r="BM973" s="7"/>
      <c r="BN973" s="7"/>
      <c r="BO973" s="4"/>
      <c r="BP973" s="8"/>
      <c r="BQ973" s="4"/>
      <c r="BR973" s="8"/>
      <c r="BS973" s="7"/>
      <c r="BT973" s="7"/>
      <c r="BU973" s="2" t="s">
        <v>109</v>
      </c>
      <c r="BV973" s="2" t="s">
        <v>97</v>
      </c>
      <c r="BW973" s="2" t="s">
        <v>270</v>
      </c>
      <c r="BX973" s="2" t="s">
        <v>3318</v>
      </c>
      <c r="BY973" s="2" t="s">
        <v>112</v>
      </c>
      <c r="BZ973" s="2" t="s">
        <v>100</v>
      </c>
    </row>
    <row r="974">
      <c r="A974" s="2" t="s">
        <v>3319</v>
      </c>
      <c r="B974" s="2" t="s">
        <v>87</v>
      </c>
      <c r="C974" s="2" t="s">
        <v>88</v>
      </c>
      <c r="D974" s="2" t="s">
        <v>3079</v>
      </c>
      <c r="E974" s="2" t="s">
        <v>3176</v>
      </c>
      <c r="F974" s="2" t="s">
        <v>2221</v>
      </c>
      <c r="G974" s="2" t="s">
        <v>1522</v>
      </c>
      <c r="H974" s="2" t="s">
        <v>2222</v>
      </c>
      <c r="I974" s="2" t="s">
        <v>3291</v>
      </c>
      <c r="J974" s="2" t="s">
        <v>795</v>
      </c>
      <c r="K974" s="2" t="s">
        <v>2224</v>
      </c>
      <c r="L974" s="3">
        <v>63.7</v>
      </c>
      <c r="M974" s="3">
        <v>66.88</v>
      </c>
      <c r="N974" s="3">
        <v>129.99</v>
      </c>
      <c r="O974" s="2" t="s">
        <v>97</v>
      </c>
      <c r="P974" s="2" t="s">
        <v>98</v>
      </c>
      <c r="Q974" s="2" t="s">
        <v>99</v>
      </c>
      <c r="R974" s="2" t="s">
        <v>100</v>
      </c>
      <c r="S974" s="2" t="s">
        <v>3316</v>
      </c>
      <c r="T974" s="2" t="s">
        <v>359</v>
      </c>
      <c r="U974" s="2" t="s">
        <v>1508</v>
      </c>
      <c r="V974" s="2" t="s">
        <v>608</v>
      </c>
      <c r="W974" s="2" t="s">
        <v>1064</v>
      </c>
      <c r="X974" s="2" t="s">
        <v>563</v>
      </c>
      <c r="Y974" s="2" t="s">
        <v>2936</v>
      </c>
      <c r="Z974" s="4">
        <v>229</v>
      </c>
      <c r="AA974" s="4">
        <f>=ROUNDDOWN(25.4444444444444,0)</f>
      </c>
      <c r="AB974" s="5">
        <v>9</v>
      </c>
      <c r="AC974" s="2" t="s">
        <v>680</v>
      </c>
      <c r="AD974" s="4">
        <v>30</v>
      </c>
      <c r="AE974" s="4">
        <v>180</v>
      </c>
      <c r="AF974" s="6">
        <v>69</v>
      </c>
      <c r="AG974" s="6"/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/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/>
      <c r="BJ974" s="4">
        <v>5</v>
      </c>
      <c r="BK974" s="8">
        <v>342.82</v>
      </c>
      <c r="BL974" s="2" t="s">
        <v>2581</v>
      </c>
      <c r="BM974" s="7"/>
      <c r="BN974" s="7"/>
      <c r="BO974" s="4"/>
      <c r="BP974" s="8"/>
      <c r="BQ974" s="4"/>
      <c r="BR974" s="8"/>
      <c r="BS974" s="7"/>
      <c r="BT974" s="7"/>
      <c r="BU974" s="2" t="s">
        <v>109</v>
      </c>
      <c r="BV974" s="2" t="s">
        <v>97</v>
      </c>
      <c r="BW974" s="2" t="s">
        <v>270</v>
      </c>
      <c r="BX974" s="2" t="s">
        <v>1272</v>
      </c>
      <c r="BY974" s="2" t="s">
        <v>112</v>
      </c>
      <c r="BZ974" s="2" t="s">
        <v>100</v>
      </c>
    </row>
    <row r="975">
      <c r="A975" s="2" t="s">
        <v>3320</v>
      </c>
      <c r="B975" s="2" t="s">
        <v>87</v>
      </c>
      <c r="C975" s="2" t="s">
        <v>88</v>
      </c>
      <c r="D975" s="2" t="s">
        <v>3321</v>
      </c>
      <c r="E975" s="2" t="s">
        <v>3322</v>
      </c>
      <c r="F975" s="2" t="s">
        <v>2657</v>
      </c>
      <c r="G975" s="2" t="s">
        <v>2658</v>
      </c>
      <c r="H975" s="2" t="s">
        <v>2659</v>
      </c>
      <c r="I975" s="2" t="s">
        <v>3323</v>
      </c>
      <c r="J975" s="2" t="s">
        <v>3324</v>
      </c>
      <c r="K975" s="2" t="s">
        <v>2257</v>
      </c>
      <c r="L975" s="3">
        <v>19.2</v>
      </c>
      <c r="M975" s="3">
        <v>20.15</v>
      </c>
      <c r="N975" s="3">
        <v>39.99</v>
      </c>
      <c r="O975" s="2" t="s">
        <v>97</v>
      </c>
      <c r="P975" s="2" t="s">
        <v>98</v>
      </c>
      <c r="Q975" s="2" t="s">
        <v>99</v>
      </c>
      <c r="R975" s="2" t="s">
        <v>100</v>
      </c>
      <c r="S975" s="2" t="s">
        <v>2661</v>
      </c>
      <c r="T975" s="2" t="s">
        <v>787</v>
      </c>
      <c r="U975" s="2" t="s">
        <v>3325</v>
      </c>
      <c r="V975" s="2" t="s">
        <v>645</v>
      </c>
      <c r="W975" s="2" t="s">
        <v>345</v>
      </c>
      <c r="X975" s="2" t="s">
        <v>976</v>
      </c>
      <c r="Y975" s="2" t="s">
        <v>131</v>
      </c>
      <c r="Z975" s="4">
        <v>473</v>
      </c>
      <c r="AA975" s="4">
        <f>=ROUNDDOWN(11.5365853658537,0)</f>
      </c>
      <c r="AB975" s="5">
        <v>41</v>
      </c>
      <c r="AC975" s="2" t="s">
        <v>194</v>
      </c>
      <c r="AD975" s="4">
        <v>300</v>
      </c>
      <c r="AE975" s="4">
        <v>1200</v>
      </c>
      <c r="AF975" s="6">
        <v>64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>
        <v>3</v>
      </c>
      <c r="AQ975" s="8">
        <v>60.48</v>
      </c>
      <c r="AR975" s="4"/>
      <c r="AS975" s="8"/>
      <c r="AT975" s="7"/>
      <c r="AU975" s="7"/>
      <c r="AV975" s="4">
        <v>3</v>
      </c>
      <c r="AW975" s="8">
        <v>60.48</v>
      </c>
      <c r="AX975" s="4"/>
      <c r="AY975" s="8"/>
      <c r="AZ975" s="7"/>
      <c r="BA975" s="7"/>
      <c r="BB975" s="7">
        <v>1</v>
      </c>
      <c r="BC975" s="4">
        <v>6</v>
      </c>
      <c r="BD975" s="8">
        <v>120.96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0.5</v>
      </c>
      <c r="BJ975" s="4">
        <v>17</v>
      </c>
      <c r="BK975" s="8">
        <v>344.45</v>
      </c>
      <c r="BL975" s="2" t="s">
        <v>3326</v>
      </c>
      <c r="BM975" s="7">
        <v>0.1765</v>
      </c>
      <c r="BN975" s="7">
        <v>0.1756</v>
      </c>
      <c r="BO975" s="4">
        <v>3</v>
      </c>
      <c r="BP975" s="8">
        <v>60.48</v>
      </c>
      <c r="BQ975" s="4"/>
      <c r="BR975" s="8"/>
      <c r="BS975" s="7"/>
      <c r="BT975" s="7"/>
      <c r="BU975" s="2" t="s">
        <v>109</v>
      </c>
      <c r="BV975" s="2" t="s">
        <v>97</v>
      </c>
      <c r="BW975" s="2" t="s">
        <v>1159</v>
      </c>
      <c r="BX975" s="2" t="s">
        <v>3327</v>
      </c>
      <c r="BY975" s="2" t="s">
        <v>112</v>
      </c>
      <c r="BZ975" s="2" t="s">
        <v>100</v>
      </c>
    </row>
    <row r="976">
      <c r="A976" s="2" t="s">
        <v>3328</v>
      </c>
      <c r="B976" s="2" t="s">
        <v>87</v>
      </c>
      <c r="C976" s="2" t="s">
        <v>88</v>
      </c>
      <c r="D976" s="2" t="s">
        <v>3321</v>
      </c>
      <c r="E976" s="2" t="s">
        <v>3322</v>
      </c>
      <c r="F976" s="2" t="s">
        <v>2657</v>
      </c>
      <c r="G976" s="2" t="s">
        <v>2658</v>
      </c>
      <c r="H976" s="2" t="s">
        <v>2659</v>
      </c>
      <c r="I976" s="2" t="s">
        <v>3323</v>
      </c>
      <c r="J976" s="2" t="s">
        <v>3324</v>
      </c>
      <c r="K976" s="2" t="s">
        <v>1746</v>
      </c>
      <c r="L976" s="3">
        <v>19.2</v>
      </c>
      <c r="M976" s="3">
        <v>20.15</v>
      </c>
      <c r="N976" s="3">
        <v>39.99</v>
      </c>
      <c r="O976" s="2" t="s">
        <v>97</v>
      </c>
      <c r="P976" s="2" t="s">
        <v>98</v>
      </c>
      <c r="Q976" s="2" t="s">
        <v>99</v>
      </c>
      <c r="R976" s="2" t="s">
        <v>100</v>
      </c>
      <c r="S976" s="2" t="s">
        <v>3329</v>
      </c>
      <c r="T976" s="2" t="s">
        <v>787</v>
      </c>
      <c r="U976" s="2" t="s">
        <v>3325</v>
      </c>
      <c r="V976" s="2" t="s">
        <v>677</v>
      </c>
      <c r="W976" s="2" t="s">
        <v>345</v>
      </c>
      <c r="X976" s="2" t="s">
        <v>976</v>
      </c>
      <c r="Y976" s="2" t="s">
        <v>131</v>
      </c>
      <c r="Z976" s="4">
        <v>429</v>
      </c>
      <c r="AA976" s="4">
        <f>=ROUNDDOWN(13.8387096774194,0)</f>
      </c>
      <c r="AB976" s="5">
        <v>31</v>
      </c>
      <c r="AC976" s="2" t="s">
        <v>840</v>
      </c>
      <c r="AD976" s="4">
        <v>450</v>
      </c>
      <c r="AE976" s="4">
        <v>900</v>
      </c>
      <c r="AF976" s="6">
        <v>64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>
        <v>2</v>
      </c>
      <c r="AQ976" s="8">
        <v>40.32</v>
      </c>
      <c r="AR976" s="4"/>
      <c r="AS976" s="8"/>
      <c r="AT976" s="7"/>
      <c r="AU976" s="7"/>
      <c r="AV976" s="4">
        <v>2</v>
      </c>
      <c r="AW976" s="8">
        <v>40.32</v>
      </c>
      <c r="AX976" s="4"/>
      <c r="AY976" s="8"/>
      <c r="AZ976" s="7"/>
      <c r="BA976" s="7"/>
      <c r="BB976" s="7">
        <v>1</v>
      </c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>
        <v>0.3333</v>
      </c>
      <c r="BJ976" s="4">
        <v>41</v>
      </c>
      <c r="BK976" s="8">
        <v>818.13</v>
      </c>
      <c r="BL976" s="2" t="s">
        <v>3330</v>
      </c>
      <c r="BM976" s="7">
        <v>0.0488</v>
      </c>
      <c r="BN976" s="7">
        <v>0.0493</v>
      </c>
      <c r="BO976" s="4">
        <v>2</v>
      </c>
      <c r="BP976" s="8">
        <v>40.32</v>
      </c>
      <c r="BQ976" s="4"/>
      <c r="BR976" s="8"/>
      <c r="BS976" s="7"/>
      <c r="BT976" s="7"/>
      <c r="BU976" s="2" t="s">
        <v>109</v>
      </c>
      <c r="BV976" s="2" t="s">
        <v>97</v>
      </c>
      <c r="BW976" s="2" t="s">
        <v>1159</v>
      </c>
      <c r="BX976" s="2" t="s">
        <v>2249</v>
      </c>
      <c r="BY976" s="2" t="s">
        <v>112</v>
      </c>
      <c r="BZ976" s="2" t="s">
        <v>100</v>
      </c>
    </row>
    <row r="977">
      <c r="A977" s="2" t="s">
        <v>3331</v>
      </c>
      <c r="B977" s="2" t="s">
        <v>87</v>
      </c>
      <c r="C977" s="2" t="s">
        <v>88</v>
      </c>
      <c r="D977" s="2" t="s">
        <v>3321</v>
      </c>
      <c r="E977" s="2" t="s">
        <v>3322</v>
      </c>
      <c r="F977" s="2" t="s">
        <v>2657</v>
      </c>
      <c r="G977" s="2" t="s">
        <v>2658</v>
      </c>
      <c r="H977" s="2" t="s">
        <v>2659</v>
      </c>
      <c r="I977" s="2" t="s">
        <v>3323</v>
      </c>
      <c r="J977" s="2" t="s">
        <v>3324</v>
      </c>
      <c r="K977" s="2" t="s">
        <v>213</v>
      </c>
      <c r="L977" s="3">
        <v>19.2</v>
      </c>
      <c r="M977" s="3">
        <v>20.15</v>
      </c>
      <c r="N977" s="3">
        <v>39.99</v>
      </c>
      <c r="O977" s="2" t="s">
        <v>97</v>
      </c>
      <c r="P977" s="2" t="s">
        <v>98</v>
      </c>
      <c r="Q977" s="2" t="s">
        <v>99</v>
      </c>
      <c r="R977" s="2" t="s">
        <v>100</v>
      </c>
      <c r="S977" s="2" t="s">
        <v>2666</v>
      </c>
      <c r="T977" s="2" t="s">
        <v>787</v>
      </c>
      <c r="U977" s="2" t="s">
        <v>3325</v>
      </c>
      <c r="V977" s="2" t="s">
        <v>645</v>
      </c>
      <c r="W977" s="2" t="s">
        <v>345</v>
      </c>
      <c r="X977" s="2" t="s">
        <v>976</v>
      </c>
      <c r="Y977" s="2" t="s">
        <v>131</v>
      </c>
      <c r="Z977" s="4">
        <v>406</v>
      </c>
      <c r="AA977" s="4">
        <f>=ROUNDDOWN(15.6153846153846,0)</f>
      </c>
      <c r="AB977" s="5">
        <v>26</v>
      </c>
      <c r="AC977" s="2" t="s">
        <v>194</v>
      </c>
      <c r="AD977" s="4">
        <v>450</v>
      </c>
      <c r="AE977" s="4">
        <v>450</v>
      </c>
      <c r="AF977" s="6">
        <v>64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>
        <v>1</v>
      </c>
      <c r="AQ977" s="8">
        <v>20.16</v>
      </c>
      <c r="AR977" s="4"/>
      <c r="AS977" s="8"/>
      <c r="AT977" s="7"/>
      <c r="AU977" s="7"/>
      <c r="AV977" s="4">
        <v>1</v>
      </c>
      <c r="AW977" s="8">
        <v>20.16</v>
      </c>
      <c r="AX977" s="4"/>
      <c r="AY977" s="8"/>
      <c r="AZ977" s="7"/>
      <c r="BA977" s="7"/>
      <c r="BB977" s="7">
        <v>1</v>
      </c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0.1667</v>
      </c>
      <c r="BJ977" s="4">
        <v>19</v>
      </c>
      <c r="BK977" s="8">
        <v>384.09</v>
      </c>
      <c r="BL977" s="2" t="s">
        <v>3332</v>
      </c>
      <c r="BM977" s="7">
        <v>0.0526</v>
      </c>
      <c r="BN977" s="7">
        <v>0.0525</v>
      </c>
      <c r="BO977" s="4">
        <v>1</v>
      </c>
      <c r="BP977" s="8">
        <v>20.16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2374</v>
      </c>
      <c r="BX977" s="2" t="s">
        <v>3172</v>
      </c>
      <c r="BY977" s="2" t="s">
        <v>112</v>
      </c>
      <c r="BZ977" s="2" t="s">
        <v>100</v>
      </c>
    </row>
    <row r="978">
      <c r="A978" s="2" t="s">
        <v>3333</v>
      </c>
      <c r="B978" s="2" t="s">
        <v>87</v>
      </c>
      <c r="C978" s="2" t="s">
        <v>88</v>
      </c>
      <c r="D978" s="2" t="s">
        <v>3321</v>
      </c>
      <c r="E978" s="2" t="s">
        <v>3322</v>
      </c>
      <c r="F978" s="2" t="s">
        <v>2657</v>
      </c>
      <c r="G978" s="2" t="s">
        <v>2658</v>
      </c>
      <c r="H978" s="2" t="s">
        <v>2659</v>
      </c>
      <c r="I978" s="2" t="s">
        <v>3323</v>
      </c>
      <c r="J978" s="2" t="s">
        <v>3324</v>
      </c>
      <c r="K978" s="2" t="s">
        <v>253</v>
      </c>
      <c r="L978" s="3">
        <v>19.2</v>
      </c>
      <c r="M978" s="3">
        <v>20.15</v>
      </c>
      <c r="N978" s="3">
        <v>39.99</v>
      </c>
      <c r="O978" s="2" t="s">
        <v>97</v>
      </c>
      <c r="P978" s="2" t="s">
        <v>1216</v>
      </c>
      <c r="Q978" s="2" t="s">
        <v>99</v>
      </c>
      <c r="R978" s="2" t="s">
        <v>100</v>
      </c>
      <c r="S978" s="2" t="s">
        <v>2672</v>
      </c>
      <c r="T978" s="2" t="s">
        <v>787</v>
      </c>
      <c r="U978" s="2" t="s">
        <v>3325</v>
      </c>
      <c r="V978" s="2" t="s">
        <v>645</v>
      </c>
      <c r="W978" s="2" t="s">
        <v>345</v>
      </c>
      <c r="X978" s="2" t="s">
        <v>976</v>
      </c>
      <c r="Y978" s="2" t="s">
        <v>2174</v>
      </c>
      <c r="Z978" s="4">
        <v>446</v>
      </c>
      <c r="AA978" s="4">
        <f>=ROUNDDOWN(15.3793103448276,0)</f>
      </c>
      <c r="AB978" s="5">
        <v>29</v>
      </c>
      <c r="AC978" s="2" t="s">
        <v>429</v>
      </c>
      <c r="AD978" s="4">
        <v>450</v>
      </c>
      <c r="AE978" s="4">
        <v>450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/>
      <c r="BJ978" s="4">
        <v>38</v>
      </c>
      <c r="BK978" s="8">
        <v>831.85</v>
      </c>
      <c r="BL978" s="2" t="s">
        <v>3334</v>
      </c>
      <c r="BM978" s="7"/>
      <c r="BN978" s="7"/>
      <c r="BO978" s="4"/>
      <c r="BP978" s="8"/>
      <c r="BQ978" s="4"/>
      <c r="BR978" s="8"/>
      <c r="BS978" s="7"/>
      <c r="BT978" s="7"/>
      <c r="BU978" s="2" t="s">
        <v>109</v>
      </c>
      <c r="BV978" s="2" t="s">
        <v>97</v>
      </c>
      <c r="BW978" s="2" t="s">
        <v>1221</v>
      </c>
      <c r="BX978" s="2" t="s">
        <v>1462</v>
      </c>
      <c r="BY978" s="2" t="s">
        <v>112</v>
      </c>
      <c r="BZ978" s="2" t="s">
        <v>100</v>
      </c>
    </row>
    <row r="979">
      <c r="A979" s="2" t="s">
        <v>3335</v>
      </c>
      <c r="B979" s="2" t="s">
        <v>87</v>
      </c>
      <c r="C979" s="2" t="s">
        <v>88</v>
      </c>
      <c r="D979" s="2" t="s">
        <v>3321</v>
      </c>
      <c r="E979" s="2" t="s">
        <v>3322</v>
      </c>
      <c r="F979" s="2" t="s">
        <v>2657</v>
      </c>
      <c r="G979" s="2" t="s">
        <v>2658</v>
      </c>
      <c r="H979" s="2" t="s">
        <v>2659</v>
      </c>
      <c r="I979" s="2" t="s">
        <v>3323</v>
      </c>
      <c r="J979" s="2" t="s">
        <v>3324</v>
      </c>
      <c r="K979" s="2" t="s">
        <v>96</v>
      </c>
      <c r="L979" s="3">
        <v>19.2</v>
      </c>
      <c r="M979" s="3">
        <v>20.15</v>
      </c>
      <c r="N979" s="3">
        <v>39.99</v>
      </c>
      <c r="O979" s="2" t="s">
        <v>97</v>
      </c>
      <c r="P979" s="2" t="s">
        <v>98</v>
      </c>
      <c r="Q979" s="2" t="s">
        <v>99</v>
      </c>
      <c r="R979" s="2" t="s">
        <v>100</v>
      </c>
      <c r="S979" s="2" t="s">
        <v>2688</v>
      </c>
      <c r="T979" s="2" t="s">
        <v>787</v>
      </c>
      <c r="U979" s="2" t="s">
        <v>3325</v>
      </c>
      <c r="V979" s="2" t="s">
        <v>645</v>
      </c>
      <c r="W979" s="2" t="s">
        <v>345</v>
      </c>
      <c r="X979" s="2" t="s">
        <v>976</v>
      </c>
      <c r="Y979" s="2" t="s">
        <v>928</v>
      </c>
      <c r="Z979" s="4">
        <v>204</v>
      </c>
      <c r="AA979" s="4">
        <f>=ROUNDDOWN(6.18181818181818,0)</f>
      </c>
      <c r="AB979" s="5">
        <v>33</v>
      </c>
      <c r="AC979" s="2" t="s">
        <v>107</v>
      </c>
      <c r="AD979" s="4">
        <v>450</v>
      </c>
      <c r="AE979" s="4">
        <v>900</v>
      </c>
      <c r="AF979" s="6">
        <v>64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/>
      <c r="BJ979" s="4">
        <v>19</v>
      </c>
      <c r="BK979" s="8">
        <v>373.72</v>
      </c>
      <c r="BL979" s="2" t="s">
        <v>2060</v>
      </c>
      <c r="BM979" s="7"/>
      <c r="BN979" s="7"/>
      <c r="BO979" s="4"/>
      <c r="BP979" s="8"/>
      <c r="BQ979" s="4"/>
      <c r="BR979" s="8"/>
      <c r="BS979" s="7"/>
      <c r="BT979" s="7"/>
      <c r="BU979" s="2" t="s">
        <v>109</v>
      </c>
      <c r="BV979" s="2" t="s">
        <v>97</v>
      </c>
      <c r="BW979" s="2" t="s">
        <v>3336</v>
      </c>
      <c r="BX979" s="2" t="s">
        <v>3337</v>
      </c>
      <c r="BY979" s="2" t="s">
        <v>112</v>
      </c>
      <c r="BZ979" s="2" t="s">
        <v>100</v>
      </c>
    </row>
    <row r="980">
      <c r="A980" s="2" t="s">
        <v>3338</v>
      </c>
      <c r="B980" s="2" t="s">
        <v>87</v>
      </c>
      <c r="C980" s="2" t="s">
        <v>88</v>
      </c>
      <c r="D980" s="2" t="s">
        <v>3321</v>
      </c>
      <c r="E980" s="2" t="s">
        <v>3322</v>
      </c>
      <c r="F980" s="2" t="s">
        <v>2657</v>
      </c>
      <c r="G980" s="2" t="s">
        <v>2658</v>
      </c>
      <c r="H980" s="2" t="s">
        <v>2659</v>
      </c>
      <c r="I980" s="2" t="s">
        <v>3323</v>
      </c>
      <c r="J980" s="2" t="s">
        <v>3324</v>
      </c>
      <c r="K980" s="2" t="s">
        <v>227</v>
      </c>
      <c r="L980" s="3">
        <v>19.2</v>
      </c>
      <c r="M980" s="3">
        <v>20.15</v>
      </c>
      <c r="N980" s="3">
        <v>39.99</v>
      </c>
      <c r="O980" s="2" t="s">
        <v>97</v>
      </c>
      <c r="P980" s="2" t="s">
        <v>98</v>
      </c>
      <c r="Q980" s="2" t="s">
        <v>99</v>
      </c>
      <c r="R980" s="2" t="s">
        <v>100</v>
      </c>
      <c r="S980" s="2" t="s">
        <v>3339</v>
      </c>
      <c r="T980" s="2" t="s">
        <v>787</v>
      </c>
      <c r="U980" s="2" t="s">
        <v>3325</v>
      </c>
      <c r="V980" s="2" t="s">
        <v>677</v>
      </c>
      <c r="W980" s="2" t="s">
        <v>345</v>
      </c>
      <c r="X980" s="2" t="s">
        <v>976</v>
      </c>
      <c r="Y980" s="2" t="s">
        <v>131</v>
      </c>
      <c r="Z980" s="4"/>
      <c r="AA980" s="4">
        <f>=ROUNDDOWN({0},0)</f>
      </c>
      <c r="AB980" s="5">
        <v>59</v>
      </c>
      <c r="AC980" s="2" t="s">
        <v>1282</v>
      </c>
      <c r="AD980" s="4">
        <v>450</v>
      </c>
      <c r="AE980" s="4">
        <v>1750</v>
      </c>
      <c r="AF980" s="6">
        <v>64</v>
      </c>
      <c r="AG980" s="6"/>
      <c r="AH980" s="7">
        <v>0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/>
      <c r="BJ980" s="4"/>
      <c r="BK980" s="8"/>
      <c r="BL980" s="2" t="s">
        <v>100</v>
      </c>
      <c r="BM980" s="7"/>
      <c r="BN980" s="7"/>
      <c r="BO980" s="4"/>
      <c r="BP980" s="8"/>
      <c r="BQ980" s="4"/>
      <c r="BR980" s="8"/>
      <c r="BS980" s="7"/>
      <c r="BT980" s="7"/>
      <c r="BU980" s="2" t="s">
        <v>109</v>
      </c>
      <c r="BV980" s="2" t="s">
        <v>97</v>
      </c>
      <c r="BW980" s="2" t="s">
        <v>1159</v>
      </c>
      <c r="BX980" s="2" t="s">
        <v>3340</v>
      </c>
      <c r="BY980" s="2" t="s">
        <v>112</v>
      </c>
      <c r="BZ980" s="2" t="s">
        <v>100</v>
      </c>
    </row>
    <row r="981">
      <c r="A981" s="2" t="s">
        <v>3341</v>
      </c>
      <c r="B981" s="2" t="s">
        <v>87</v>
      </c>
      <c r="C981" s="2" t="s">
        <v>88</v>
      </c>
      <c r="D981" s="2" t="s">
        <v>3321</v>
      </c>
      <c r="E981" s="2" t="s">
        <v>3322</v>
      </c>
      <c r="F981" s="2" t="s">
        <v>2232</v>
      </c>
      <c r="G981" s="2" t="s">
        <v>2233</v>
      </c>
      <c r="H981" s="2" t="s">
        <v>2234</v>
      </c>
      <c r="I981" s="2" t="s">
        <v>3342</v>
      </c>
      <c r="J981" s="2" t="s">
        <v>3343</v>
      </c>
      <c r="K981" s="2" t="s">
        <v>253</v>
      </c>
      <c r="L981" s="3">
        <v>16.8</v>
      </c>
      <c r="M981" s="3">
        <v>17.63</v>
      </c>
      <c r="N981" s="3">
        <v>34.99</v>
      </c>
      <c r="O981" s="2" t="s">
        <v>97</v>
      </c>
      <c r="P981" s="2" t="s">
        <v>98</v>
      </c>
      <c r="Q981" s="2" t="s">
        <v>99</v>
      </c>
      <c r="R981" s="2" t="s">
        <v>100</v>
      </c>
      <c r="S981" s="2" t="s">
        <v>2694</v>
      </c>
      <c r="T981" s="2" t="s">
        <v>100</v>
      </c>
      <c r="U981" s="2" t="s">
        <v>100</v>
      </c>
      <c r="V981" s="2" t="s">
        <v>645</v>
      </c>
      <c r="W981" s="2" t="s">
        <v>244</v>
      </c>
      <c r="X981" s="2" t="s">
        <v>100</v>
      </c>
      <c r="Y981" s="2" t="s">
        <v>131</v>
      </c>
      <c r="Z981" s="4">
        <v>321</v>
      </c>
      <c r="AA981" s="4">
        <f>=ROUNDDOWN(8.23076923076923,0)</f>
      </c>
      <c r="AB981" s="5">
        <v>39</v>
      </c>
      <c r="AC981" s="2" t="s">
        <v>168</v>
      </c>
      <c r="AD981" s="4">
        <v>120</v>
      </c>
      <c r="AE981" s="4">
        <v>1070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>
        <v>4</v>
      </c>
      <c r="AQ981" s="8">
        <v>67.04</v>
      </c>
      <c r="AR981" s="4"/>
      <c r="AS981" s="8"/>
      <c r="AT981" s="7"/>
      <c r="AU981" s="7"/>
      <c r="AV981" s="4">
        <v>4</v>
      </c>
      <c r="AW981" s="8">
        <v>67.04</v>
      </c>
      <c r="AX981" s="4"/>
      <c r="AY981" s="8"/>
      <c r="AZ981" s="7"/>
      <c r="BA981" s="7"/>
      <c r="BB981" s="7">
        <v>1</v>
      </c>
      <c r="BC981" s="4">
        <v>6</v>
      </c>
      <c r="BD981" s="8">
        <v>101.08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>
        <v>0.6632</v>
      </c>
      <c r="BJ981" s="4">
        <v>35</v>
      </c>
      <c r="BK981" s="8">
        <v>601.42</v>
      </c>
      <c r="BL981" s="2" t="s">
        <v>3344</v>
      </c>
      <c r="BM981" s="7">
        <v>0.1143</v>
      </c>
      <c r="BN981" s="7">
        <v>0.1115</v>
      </c>
      <c r="BO981" s="4">
        <v>4</v>
      </c>
      <c r="BP981" s="8">
        <v>67.04</v>
      </c>
      <c r="BQ981" s="4"/>
      <c r="BR981" s="8"/>
      <c r="BS981" s="7"/>
      <c r="BT981" s="7"/>
      <c r="BU981" s="2" t="s">
        <v>109</v>
      </c>
      <c r="BV981" s="2" t="s">
        <v>97</v>
      </c>
      <c r="BW981" s="2" t="s">
        <v>1159</v>
      </c>
      <c r="BX981" s="2" t="s">
        <v>2069</v>
      </c>
      <c r="BY981" s="2" t="s">
        <v>112</v>
      </c>
      <c r="BZ981" s="2" t="s">
        <v>100</v>
      </c>
    </row>
    <row r="982">
      <c r="A982" s="2" t="s">
        <v>3345</v>
      </c>
      <c r="B982" s="2" t="s">
        <v>87</v>
      </c>
      <c r="C982" s="2" t="s">
        <v>88</v>
      </c>
      <c r="D982" s="2" t="s">
        <v>3321</v>
      </c>
      <c r="E982" s="2" t="s">
        <v>3322</v>
      </c>
      <c r="F982" s="2" t="s">
        <v>2232</v>
      </c>
      <c r="G982" s="2" t="s">
        <v>2233</v>
      </c>
      <c r="H982" s="2" t="s">
        <v>2234</v>
      </c>
      <c r="I982" s="2" t="s">
        <v>3342</v>
      </c>
      <c r="J982" s="2" t="s">
        <v>3343</v>
      </c>
      <c r="K982" s="2" t="s">
        <v>213</v>
      </c>
      <c r="L982" s="3">
        <v>16.8</v>
      </c>
      <c r="M982" s="3">
        <v>17.63</v>
      </c>
      <c r="N982" s="3">
        <v>34.99</v>
      </c>
      <c r="O982" s="2" t="s">
        <v>97</v>
      </c>
      <c r="P982" s="2" t="s">
        <v>98</v>
      </c>
      <c r="Q982" s="2" t="s">
        <v>99</v>
      </c>
      <c r="R982" s="2" t="s">
        <v>100</v>
      </c>
      <c r="S982" s="2" t="s">
        <v>2248</v>
      </c>
      <c r="T982" s="2" t="s">
        <v>100</v>
      </c>
      <c r="U982" s="2" t="s">
        <v>100</v>
      </c>
      <c r="V982" s="2" t="s">
        <v>645</v>
      </c>
      <c r="W982" s="2" t="s">
        <v>244</v>
      </c>
      <c r="X982" s="2" t="s">
        <v>100</v>
      </c>
      <c r="Y982" s="2" t="s">
        <v>131</v>
      </c>
      <c r="Z982" s="4">
        <v>237</v>
      </c>
      <c r="AA982" s="4">
        <f>=ROUNDDOWN(9.48,0)</f>
      </c>
      <c r="AB982" s="5">
        <v>25</v>
      </c>
      <c r="AC982" s="2" t="s">
        <v>107</v>
      </c>
      <c r="AD982" s="4">
        <v>60</v>
      </c>
      <c r="AE982" s="4">
        <v>750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>
        <v>1</v>
      </c>
      <c r="AQ982" s="8">
        <v>17.28</v>
      </c>
      <c r="AR982" s="4"/>
      <c r="AS982" s="8"/>
      <c r="AT982" s="7"/>
      <c r="AU982" s="7"/>
      <c r="AV982" s="4">
        <v>1</v>
      </c>
      <c r="AW982" s="8">
        <v>17.28</v>
      </c>
      <c r="AX982" s="4"/>
      <c r="AY982" s="8"/>
      <c r="AZ982" s="7"/>
      <c r="BA982" s="7"/>
      <c r="BB982" s="7">
        <v>1</v>
      </c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>
        <v>0.171</v>
      </c>
      <c r="BJ982" s="4">
        <v>26</v>
      </c>
      <c r="BK982" s="8">
        <v>446.13</v>
      </c>
      <c r="BL982" s="2" t="s">
        <v>3346</v>
      </c>
      <c r="BM982" s="7">
        <v>0.0385</v>
      </c>
      <c r="BN982" s="7">
        <v>0.0387</v>
      </c>
      <c r="BO982" s="4">
        <v>1</v>
      </c>
      <c r="BP982" s="8">
        <v>17.28</v>
      </c>
      <c r="BQ982" s="4"/>
      <c r="BR982" s="8"/>
      <c r="BS982" s="7"/>
      <c r="BT982" s="7"/>
      <c r="BU982" s="2" t="s">
        <v>109</v>
      </c>
      <c r="BV982" s="2" t="s">
        <v>97</v>
      </c>
      <c r="BW982" s="2" t="s">
        <v>3347</v>
      </c>
      <c r="BX982" s="2" t="s">
        <v>3348</v>
      </c>
      <c r="BY982" s="2" t="s">
        <v>112</v>
      </c>
      <c r="BZ982" s="2" t="s">
        <v>100</v>
      </c>
    </row>
    <row r="983">
      <c r="A983" s="2" t="s">
        <v>3349</v>
      </c>
      <c r="B983" s="2" t="s">
        <v>87</v>
      </c>
      <c r="C983" s="2" t="s">
        <v>88</v>
      </c>
      <c r="D983" s="2" t="s">
        <v>3321</v>
      </c>
      <c r="E983" s="2" t="s">
        <v>3322</v>
      </c>
      <c r="F983" s="2" t="s">
        <v>2232</v>
      </c>
      <c r="G983" s="2" t="s">
        <v>2233</v>
      </c>
      <c r="H983" s="2" t="s">
        <v>2234</v>
      </c>
      <c r="I983" s="2" t="s">
        <v>3342</v>
      </c>
      <c r="J983" s="2" t="s">
        <v>3343</v>
      </c>
      <c r="K983" s="2" t="s">
        <v>1746</v>
      </c>
      <c r="L983" s="3">
        <v>16.8</v>
      </c>
      <c r="M983" s="3">
        <v>17.63</v>
      </c>
      <c r="N983" s="3">
        <v>34.99</v>
      </c>
      <c r="O983" s="2" t="s">
        <v>97</v>
      </c>
      <c r="P983" s="2" t="s">
        <v>98</v>
      </c>
      <c r="Q983" s="2" t="s">
        <v>99</v>
      </c>
      <c r="R983" s="2" t="s">
        <v>100</v>
      </c>
      <c r="S983" s="2" t="s">
        <v>2733</v>
      </c>
      <c r="T983" s="2" t="s">
        <v>100</v>
      </c>
      <c r="U983" s="2" t="s">
        <v>100</v>
      </c>
      <c r="V983" s="2" t="s">
        <v>645</v>
      </c>
      <c r="W983" s="2" t="s">
        <v>244</v>
      </c>
      <c r="X983" s="2" t="s">
        <v>100</v>
      </c>
      <c r="Y983" s="2" t="s">
        <v>131</v>
      </c>
      <c r="Z983" s="4">
        <v>692</v>
      </c>
      <c r="AA983" s="4">
        <f>=ROUNDDOWN(20.969696969697,0)</f>
      </c>
      <c r="AB983" s="5">
        <v>33</v>
      </c>
      <c r="AC983" s="2" t="s">
        <v>406</v>
      </c>
      <c r="AD983" s="4">
        <v>160</v>
      </c>
      <c r="AE983" s="4">
        <v>550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>
        <v>1</v>
      </c>
      <c r="AQ983" s="8">
        <v>16.76</v>
      </c>
      <c r="AR983" s="4"/>
      <c r="AS983" s="8"/>
      <c r="AT983" s="7"/>
      <c r="AU983" s="7"/>
      <c r="AV983" s="4">
        <v>1</v>
      </c>
      <c r="AW983" s="8">
        <v>16.76</v>
      </c>
      <c r="AX983" s="4"/>
      <c r="AY983" s="8"/>
      <c r="AZ983" s="7"/>
      <c r="BA983" s="7"/>
      <c r="BB983" s="7">
        <v>1</v>
      </c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0.1658</v>
      </c>
      <c r="BJ983" s="4">
        <v>23</v>
      </c>
      <c r="BK983" s="8">
        <v>388.99</v>
      </c>
      <c r="BL983" s="2" t="s">
        <v>3344</v>
      </c>
      <c r="BM983" s="7">
        <v>0.0435</v>
      </c>
      <c r="BN983" s="7">
        <v>0.0431</v>
      </c>
      <c r="BO983" s="4">
        <v>1</v>
      </c>
      <c r="BP983" s="8">
        <v>16.76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1159</v>
      </c>
      <c r="BX983" s="2" t="s">
        <v>144</v>
      </c>
      <c r="BY983" s="2" t="s">
        <v>112</v>
      </c>
      <c r="BZ983" s="2" t="s">
        <v>100</v>
      </c>
    </row>
    <row r="984">
      <c r="A984" s="2" t="s">
        <v>3350</v>
      </c>
      <c r="B984" s="2" t="s">
        <v>87</v>
      </c>
      <c r="C984" s="2" t="s">
        <v>88</v>
      </c>
      <c r="D984" s="2" t="s">
        <v>3321</v>
      </c>
      <c r="E984" s="2" t="s">
        <v>3322</v>
      </c>
      <c r="F984" s="2" t="s">
        <v>2232</v>
      </c>
      <c r="G984" s="2" t="s">
        <v>2233</v>
      </c>
      <c r="H984" s="2" t="s">
        <v>2234</v>
      </c>
      <c r="I984" s="2" t="s">
        <v>3342</v>
      </c>
      <c r="J984" s="2" t="s">
        <v>3343</v>
      </c>
      <c r="K984" s="2" t="s">
        <v>198</v>
      </c>
      <c r="L984" s="3">
        <v>16.8</v>
      </c>
      <c r="M984" s="3">
        <v>17.63</v>
      </c>
      <c r="N984" s="3">
        <v>34.99</v>
      </c>
      <c r="O984" s="2" t="s">
        <v>97</v>
      </c>
      <c r="P984" s="2" t="s">
        <v>98</v>
      </c>
      <c r="Q984" s="2" t="s">
        <v>99</v>
      </c>
      <c r="R984" s="2" t="s">
        <v>100</v>
      </c>
      <c r="S984" s="2" t="s">
        <v>2722</v>
      </c>
      <c r="T984" s="2" t="s">
        <v>100</v>
      </c>
      <c r="U984" s="2" t="s">
        <v>100</v>
      </c>
      <c r="V984" s="2" t="s">
        <v>645</v>
      </c>
      <c r="W984" s="2" t="s">
        <v>244</v>
      </c>
      <c r="X984" s="2" t="s">
        <v>100</v>
      </c>
      <c r="Y984" s="2" t="s">
        <v>131</v>
      </c>
      <c r="Z984" s="4">
        <v>656</v>
      </c>
      <c r="AA984" s="4">
        <f>=ROUNDDOWN(17.2631578947368,0)</f>
      </c>
      <c r="AB984" s="5">
        <v>38</v>
      </c>
      <c r="AC984" s="2" t="s">
        <v>406</v>
      </c>
      <c r="AD984" s="4">
        <v>370</v>
      </c>
      <c r="AE984" s="4">
        <v>760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/>
      <c r="BJ984" s="4">
        <v>43</v>
      </c>
      <c r="BK984" s="8">
        <v>741.69</v>
      </c>
      <c r="BL984" s="2" t="s">
        <v>2060</v>
      </c>
      <c r="BM984" s="7"/>
      <c r="BN984" s="7"/>
      <c r="BO984" s="4"/>
      <c r="BP984" s="8"/>
      <c r="BQ984" s="4"/>
      <c r="BR984" s="8"/>
      <c r="BS984" s="7"/>
      <c r="BT984" s="7"/>
      <c r="BU984" s="2" t="s">
        <v>109</v>
      </c>
      <c r="BV984" s="2" t="s">
        <v>97</v>
      </c>
      <c r="BW984" s="2" t="s">
        <v>1159</v>
      </c>
      <c r="BX984" s="2" t="s">
        <v>144</v>
      </c>
      <c r="BY984" s="2" t="s">
        <v>112</v>
      </c>
      <c r="BZ984" s="2" t="s">
        <v>100</v>
      </c>
    </row>
    <row r="985">
      <c r="A985" s="2" t="s">
        <v>3351</v>
      </c>
      <c r="B985" s="2" t="s">
        <v>87</v>
      </c>
      <c r="C985" s="2" t="s">
        <v>88</v>
      </c>
      <c r="D985" s="2" t="s">
        <v>3321</v>
      </c>
      <c r="E985" s="2" t="s">
        <v>3322</v>
      </c>
      <c r="F985" s="2" t="s">
        <v>2232</v>
      </c>
      <c r="G985" s="2" t="s">
        <v>2233</v>
      </c>
      <c r="H985" s="2" t="s">
        <v>2234</v>
      </c>
      <c r="I985" s="2" t="s">
        <v>3342</v>
      </c>
      <c r="J985" s="2" t="s">
        <v>3343</v>
      </c>
      <c r="K985" s="2" t="s">
        <v>227</v>
      </c>
      <c r="L985" s="3">
        <v>16.8</v>
      </c>
      <c r="M985" s="3">
        <v>17.63</v>
      </c>
      <c r="N985" s="3">
        <v>34.99</v>
      </c>
      <c r="O985" s="2" t="s">
        <v>97</v>
      </c>
      <c r="P985" s="2" t="s">
        <v>98</v>
      </c>
      <c r="Q985" s="2" t="s">
        <v>99</v>
      </c>
      <c r="R985" s="2" t="s">
        <v>100</v>
      </c>
      <c r="S985" s="2" t="s">
        <v>2745</v>
      </c>
      <c r="T985" s="2" t="s">
        <v>100</v>
      </c>
      <c r="U985" s="2" t="s">
        <v>100</v>
      </c>
      <c r="V985" s="2" t="s">
        <v>645</v>
      </c>
      <c r="W985" s="2" t="s">
        <v>244</v>
      </c>
      <c r="X985" s="2" t="s">
        <v>100</v>
      </c>
      <c r="Y985" s="2" t="s">
        <v>131</v>
      </c>
      <c r="Z985" s="4">
        <v>35</v>
      </c>
      <c r="AA985" s="4">
        <f>=ROUNDDOWN(1.06060606060606,0)</f>
      </c>
      <c r="AB985" s="5">
        <v>33</v>
      </c>
      <c r="AC985" s="2" t="s">
        <v>107</v>
      </c>
      <c r="AD985" s="4">
        <v>100</v>
      </c>
      <c r="AE985" s="4">
        <v>970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/>
      <c r="BJ985" s="4">
        <v>37</v>
      </c>
      <c r="BK985" s="8">
        <v>631.27</v>
      </c>
      <c r="BL985" s="2" t="s">
        <v>3352</v>
      </c>
      <c r="BM985" s="7"/>
      <c r="BN985" s="7"/>
      <c r="BO985" s="4"/>
      <c r="BP985" s="8"/>
      <c r="BQ985" s="4"/>
      <c r="BR985" s="8"/>
      <c r="BS985" s="7"/>
      <c r="BT985" s="7"/>
      <c r="BU985" s="2" t="s">
        <v>109</v>
      </c>
      <c r="BV985" s="2" t="s">
        <v>97</v>
      </c>
      <c r="BW985" s="2" t="s">
        <v>1159</v>
      </c>
      <c r="BX985" s="2" t="s">
        <v>3353</v>
      </c>
      <c r="BY985" s="2" t="s">
        <v>112</v>
      </c>
      <c r="BZ985" s="2" t="s">
        <v>100</v>
      </c>
    </row>
    <row r="986">
      <c r="A986" s="2" t="s">
        <v>3354</v>
      </c>
      <c r="B986" s="2" t="s">
        <v>87</v>
      </c>
      <c r="C986" s="2" t="s">
        <v>88</v>
      </c>
      <c r="D986" s="2" t="s">
        <v>3321</v>
      </c>
      <c r="E986" s="2" t="s">
        <v>3322</v>
      </c>
      <c r="F986" s="2" t="s">
        <v>1250</v>
      </c>
      <c r="G986" s="2" t="s">
        <v>1251</v>
      </c>
      <c r="H986" s="2" t="s">
        <v>100</v>
      </c>
      <c r="I986" s="2" t="s">
        <v>3355</v>
      </c>
      <c r="J986" s="2" t="s">
        <v>3343</v>
      </c>
      <c r="K986" s="2" t="s">
        <v>253</v>
      </c>
      <c r="L986" s="3">
        <v>16.8</v>
      </c>
      <c r="M986" s="3">
        <v>17.63</v>
      </c>
      <c r="N986" s="3">
        <v>34.99</v>
      </c>
      <c r="O986" s="2" t="s">
        <v>97</v>
      </c>
      <c r="P986" s="2" t="s">
        <v>242</v>
      </c>
      <c r="Q986" s="2" t="s">
        <v>99</v>
      </c>
      <c r="R986" s="2" t="s">
        <v>100</v>
      </c>
      <c r="S986" s="2" t="s">
        <v>3356</v>
      </c>
      <c r="T986" s="2" t="s">
        <v>100</v>
      </c>
      <c r="U986" s="2" t="s">
        <v>100</v>
      </c>
      <c r="V986" s="2" t="s">
        <v>551</v>
      </c>
      <c r="W986" s="2" t="s">
        <v>105</v>
      </c>
      <c r="X986" s="2" t="s">
        <v>100</v>
      </c>
      <c r="Y986" s="2" t="s">
        <v>131</v>
      </c>
      <c r="Z986" s="4">
        <v>629</v>
      </c>
      <c r="AA986" s="4">
        <f>=ROUNDDOWN(7.12344280860702,0)</f>
      </c>
      <c r="AB986" s="5">
        <v>88.3</v>
      </c>
      <c r="AC986" s="2" t="s">
        <v>695</v>
      </c>
      <c r="AD986" s="4">
        <v>424</v>
      </c>
      <c r="AE986" s="4">
        <v>3174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/>
      <c r="BD986" s="8"/>
      <c r="BE986" s="4"/>
      <c r="BF986" s="8"/>
      <c r="BG986" s="7"/>
      <c r="BH986" s="7"/>
      <c r="BI986" s="7"/>
      <c r="BJ986" s="4">
        <v>103</v>
      </c>
      <c r="BK986" s="8">
        <v>1788.81</v>
      </c>
      <c r="BL986" s="2" t="s">
        <v>3357</v>
      </c>
      <c r="BM986" s="7"/>
      <c r="BN986" s="7"/>
      <c r="BO986" s="4"/>
      <c r="BP986" s="8"/>
      <c r="BQ986" s="4"/>
      <c r="BR986" s="8"/>
      <c r="BS986" s="7"/>
      <c r="BT986" s="7"/>
      <c r="BU986" s="2" t="s">
        <v>109</v>
      </c>
      <c r="BV986" s="2" t="s">
        <v>97</v>
      </c>
      <c r="BW986" s="2" t="s">
        <v>555</v>
      </c>
      <c r="BX986" s="2" t="s">
        <v>3358</v>
      </c>
      <c r="BY986" s="2" t="s">
        <v>112</v>
      </c>
      <c r="BZ986" s="2" t="s">
        <v>100</v>
      </c>
    </row>
    <row r="987">
      <c r="A987" s="2" t="s">
        <v>3359</v>
      </c>
      <c r="B987" s="2" t="s">
        <v>87</v>
      </c>
      <c r="C987" s="2" t="s">
        <v>88</v>
      </c>
      <c r="D987" s="2" t="s">
        <v>3321</v>
      </c>
      <c r="E987" s="2" t="s">
        <v>3322</v>
      </c>
      <c r="F987" s="2" t="s">
        <v>546</v>
      </c>
      <c r="G987" s="2" t="s">
        <v>547</v>
      </c>
      <c r="H987" s="2" t="s">
        <v>548</v>
      </c>
      <c r="I987" s="2" t="s">
        <v>3360</v>
      </c>
      <c r="J987" s="2" t="s">
        <v>3361</v>
      </c>
      <c r="K987" s="2" t="s">
        <v>372</v>
      </c>
      <c r="L987" s="3">
        <v>19.2</v>
      </c>
      <c r="M987" s="3">
        <v>20.15</v>
      </c>
      <c r="N987" s="3">
        <v>39.99</v>
      </c>
      <c r="O987" s="2" t="s">
        <v>97</v>
      </c>
      <c r="P987" s="2" t="s">
        <v>98</v>
      </c>
      <c r="Q987" s="2" t="s">
        <v>99</v>
      </c>
      <c r="R987" s="2" t="s">
        <v>100</v>
      </c>
      <c r="S987" s="2" t="s">
        <v>550</v>
      </c>
      <c r="T987" s="2" t="s">
        <v>100</v>
      </c>
      <c r="U987" s="2" t="s">
        <v>100</v>
      </c>
      <c r="V987" s="2" t="s">
        <v>551</v>
      </c>
      <c r="W987" s="2" t="s">
        <v>551</v>
      </c>
      <c r="X987" s="2" t="s">
        <v>100</v>
      </c>
      <c r="Y987" s="2" t="s">
        <v>131</v>
      </c>
      <c r="Z987" s="4">
        <v>557</v>
      </c>
      <c r="AA987" s="4">
        <f>=ROUNDDOWN(11.8510638297872,0)</f>
      </c>
      <c r="AB987" s="5">
        <v>47</v>
      </c>
      <c r="AC987" s="2" t="s">
        <v>2557</v>
      </c>
      <c r="AD987" s="4">
        <v>1000</v>
      </c>
      <c r="AE987" s="4">
        <v>1000</v>
      </c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>
        <v>84</v>
      </c>
      <c r="BK987" s="8">
        <v>1697.97</v>
      </c>
      <c r="BL987" s="2" t="s">
        <v>3362</v>
      </c>
      <c r="BM987" s="7"/>
      <c r="BN987" s="7"/>
      <c r="BO987" s="4"/>
      <c r="BP987" s="8"/>
      <c r="BQ987" s="4"/>
      <c r="BR987" s="8"/>
      <c r="BS987" s="7"/>
      <c r="BT987" s="7"/>
      <c r="BU987" s="2" t="s">
        <v>109</v>
      </c>
      <c r="BV987" s="2" t="s">
        <v>97</v>
      </c>
      <c r="BW987" s="2" t="s">
        <v>3363</v>
      </c>
      <c r="BX987" s="2" t="s">
        <v>211</v>
      </c>
      <c r="BY987" s="2" t="s">
        <v>112</v>
      </c>
      <c r="BZ987" s="2" t="s">
        <v>100</v>
      </c>
    </row>
    <row r="988">
      <c r="A988" s="2" t="s">
        <v>3364</v>
      </c>
      <c r="B988" s="2" t="s">
        <v>87</v>
      </c>
      <c r="C988" s="2" t="s">
        <v>88</v>
      </c>
      <c r="D988" s="2" t="s">
        <v>3365</v>
      </c>
      <c r="E988" s="2" t="s">
        <v>3366</v>
      </c>
      <c r="F988" s="2" t="s">
        <v>3367</v>
      </c>
      <c r="G988" s="2" t="s">
        <v>3367</v>
      </c>
      <c r="H988" s="2" t="s">
        <v>3367</v>
      </c>
      <c r="I988" s="2" t="s">
        <v>3368</v>
      </c>
      <c r="J988" s="2" t="s">
        <v>3369</v>
      </c>
      <c r="K988" s="2" t="s">
        <v>146</v>
      </c>
      <c r="L988" s="3">
        <v>6.4</v>
      </c>
      <c r="M988" s="3">
        <v>6.72</v>
      </c>
      <c r="N988" s="3">
        <v>15.99</v>
      </c>
      <c r="O988" s="2" t="s">
        <v>97</v>
      </c>
      <c r="P988" s="2" t="s">
        <v>98</v>
      </c>
      <c r="Q988" s="2" t="s">
        <v>99</v>
      </c>
      <c r="R988" s="2" t="s">
        <v>100</v>
      </c>
      <c r="S988" s="2" t="s">
        <v>3370</v>
      </c>
      <c r="T988" s="2" t="s">
        <v>100</v>
      </c>
      <c r="U988" s="2" t="s">
        <v>3325</v>
      </c>
      <c r="V988" s="2" t="s">
        <v>645</v>
      </c>
      <c r="W988" s="2" t="s">
        <v>976</v>
      </c>
      <c r="X988" s="2" t="s">
        <v>3371</v>
      </c>
      <c r="Y988" s="2" t="s">
        <v>3372</v>
      </c>
      <c r="Z988" s="4">
        <v>605</v>
      </c>
      <c r="AA988" s="4">
        <f>=ROUNDDOWN(15.5128205128205,0)</f>
      </c>
      <c r="AB988" s="5">
        <v>39</v>
      </c>
      <c r="AC988" s="2" t="s">
        <v>107</v>
      </c>
      <c r="AD988" s="4">
        <v>120</v>
      </c>
      <c r="AE988" s="4">
        <v>702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/>
      <c r="BJ988" s="4">
        <v>23</v>
      </c>
      <c r="BK988" s="8">
        <v>155.88</v>
      </c>
      <c r="BL988" s="2" t="s">
        <v>745</v>
      </c>
      <c r="BM988" s="7"/>
      <c r="BN988" s="7"/>
      <c r="BO988" s="4"/>
      <c r="BP988" s="8"/>
      <c r="BQ988" s="4"/>
      <c r="BR988" s="8"/>
      <c r="BS988" s="7"/>
      <c r="BT988" s="7"/>
      <c r="BU988" s="2" t="s">
        <v>109</v>
      </c>
      <c r="BV988" s="2" t="s">
        <v>97</v>
      </c>
      <c r="BW988" s="2" t="s">
        <v>1159</v>
      </c>
      <c r="BX988" s="2" t="s">
        <v>773</v>
      </c>
      <c r="BY988" s="2" t="s">
        <v>112</v>
      </c>
      <c r="BZ988" s="2" t="s">
        <v>100</v>
      </c>
    </row>
    <row r="989">
      <c r="A989" s="2" t="s">
        <v>3373</v>
      </c>
      <c r="B989" s="2" t="s">
        <v>87</v>
      </c>
      <c r="C989" s="2" t="s">
        <v>88</v>
      </c>
      <c r="D989" s="2" t="s">
        <v>3365</v>
      </c>
      <c r="E989" s="2" t="s">
        <v>3366</v>
      </c>
      <c r="F989" s="2" t="s">
        <v>3367</v>
      </c>
      <c r="G989" s="2" t="s">
        <v>3367</v>
      </c>
      <c r="H989" s="2" t="s">
        <v>3367</v>
      </c>
      <c r="I989" s="2" t="s">
        <v>3368</v>
      </c>
      <c r="J989" s="2" t="s">
        <v>3369</v>
      </c>
      <c r="K989" s="2" t="s">
        <v>198</v>
      </c>
      <c r="L989" s="3">
        <v>6.4</v>
      </c>
      <c r="M989" s="3">
        <v>6.72</v>
      </c>
      <c r="N989" s="3">
        <v>15.99</v>
      </c>
      <c r="O989" s="2" t="s">
        <v>97</v>
      </c>
      <c r="P989" s="2" t="s">
        <v>98</v>
      </c>
      <c r="Q989" s="2" t="s">
        <v>99</v>
      </c>
      <c r="R989" s="2" t="s">
        <v>100</v>
      </c>
      <c r="S989" s="2" t="s">
        <v>3370</v>
      </c>
      <c r="T989" s="2" t="s">
        <v>100</v>
      </c>
      <c r="U989" s="2" t="s">
        <v>3325</v>
      </c>
      <c r="V989" s="2" t="s">
        <v>645</v>
      </c>
      <c r="W989" s="2" t="s">
        <v>976</v>
      </c>
      <c r="X989" s="2" t="s">
        <v>3371</v>
      </c>
      <c r="Y989" s="2" t="s">
        <v>3372</v>
      </c>
      <c r="Z989" s="4">
        <v>1397</v>
      </c>
      <c r="AA989" s="4">
        <f>=ROUNDDOWN(21.828125,0)</f>
      </c>
      <c r="AB989" s="5">
        <v>64</v>
      </c>
      <c r="AC989" s="2" t="s">
        <v>287</v>
      </c>
      <c r="AD989" s="4">
        <v>720</v>
      </c>
      <c r="AE989" s="4">
        <v>1680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/>
      <c r="BJ989" s="4">
        <v>19</v>
      </c>
      <c r="BK989" s="8">
        <v>128.43</v>
      </c>
      <c r="BL989" s="2" t="s">
        <v>3374</v>
      </c>
      <c r="BM989" s="7"/>
      <c r="BN989" s="7"/>
      <c r="BO989" s="4"/>
      <c r="BP989" s="8"/>
      <c r="BQ989" s="4"/>
      <c r="BR989" s="8"/>
      <c r="BS989" s="7"/>
      <c r="BT989" s="7"/>
      <c r="BU989" s="2" t="s">
        <v>109</v>
      </c>
      <c r="BV989" s="2" t="s">
        <v>97</v>
      </c>
      <c r="BW989" s="2" t="s">
        <v>1159</v>
      </c>
      <c r="BX989" s="2" t="s">
        <v>2072</v>
      </c>
      <c r="BY989" s="2" t="s">
        <v>112</v>
      </c>
      <c r="BZ989" s="2" t="s">
        <v>100</v>
      </c>
    </row>
    <row r="990">
      <c r="A990" s="2" t="s">
        <v>3375</v>
      </c>
      <c r="B990" s="2" t="s">
        <v>87</v>
      </c>
      <c r="C990" s="2" t="s">
        <v>88</v>
      </c>
      <c r="D990" s="2" t="s">
        <v>3365</v>
      </c>
      <c r="E990" s="2" t="s">
        <v>3366</v>
      </c>
      <c r="F990" s="2" t="s">
        <v>3367</v>
      </c>
      <c r="G990" s="2" t="s">
        <v>3367</v>
      </c>
      <c r="H990" s="2" t="s">
        <v>3367</v>
      </c>
      <c r="I990" s="2" t="s">
        <v>3368</v>
      </c>
      <c r="J990" s="2" t="s">
        <v>3369</v>
      </c>
      <c r="K990" s="2" t="s">
        <v>1746</v>
      </c>
      <c r="L990" s="3">
        <v>6.4</v>
      </c>
      <c r="M990" s="3">
        <v>6.72</v>
      </c>
      <c r="N990" s="3">
        <v>15.99</v>
      </c>
      <c r="O990" s="2" t="s">
        <v>97</v>
      </c>
      <c r="P990" s="2" t="s">
        <v>98</v>
      </c>
      <c r="Q990" s="2" t="s">
        <v>99</v>
      </c>
      <c r="R990" s="2" t="s">
        <v>100</v>
      </c>
      <c r="S990" s="2" t="s">
        <v>3376</v>
      </c>
      <c r="T990" s="2" t="s">
        <v>100</v>
      </c>
      <c r="U990" s="2" t="s">
        <v>3325</v>
      </c>
      <c r="V990" s="2" t="s">
        <v>645</v>
      </c>
      <c r="W990" s="2" t="s">
        <v>976</v>
      </c>
      <c r="X990" s="2" t="s">
        <v>3371</v>
      </c>
      <c r="Y990" s="2" t="s">
        <v>3372</v>
      </c>
      <c r="Z990" s="4">
        <v>463</v>
      </c>
      <c r="AA990" s="4">
        <f>=ROUNDDOWN(11.8717948717949,0)</f>
      </c>
      <c r="AB990" s="5">
        <v>39</v>
      </c>
      <c r="AC990" s="2" t="s">
        <v>107</v>
      </c>
      <c r="AD990" s="4">
        <v>300</v>
      </c>
      <c r="AE990" s="4">
        <v>864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/>
      <c r="BJ990" s="4">
        <v>46</v>
      </c>
      <c r="BK990" s="8">
        <v>319.07</v>
      </c>
      <c r="BL990" s="2" t="s">
        <v>1820</v>
      </c>
      <c r="BM990" s="7"/>
      <c r="BN990" s="7"/>
      <c r="BO990" s="4"/>
      <c r="BP990" s="8"/>
      <c r="BQ990" s="4"/>
      <c r="BR990" s="8"/>
      <c r="BS990" s="7"/>
      <c r="BT990" s="7"/>
      <c r="BU990" s="2" t="s">
        <v>109</v>
      </c>
      <c r="BV990" s="2" t="s">
        <v>97</v>
      </c>
      <c r="BW990" s="2" t="s">
        <v>1159</v>
      </c>
      <c r="BX990" s="2" t="s">
        <v>3156</v>
      </c>
      <c r="BY990" s="2" t="s">
        <v>112</v>
      </c>
      <c r="BZ990" s="2" t="s">
        <v>100</v>
      </c>
    </row>
    <row r="991">
      <c r="A991" s="2" t="s">
        <v>3377</v>
      </c>
      <c r="B991" s="2" t="s">
        <v>87</v>
      </c>
      <c r="C991" s="2" t="s">
        <v>88</v>
      </c>
      <c r="D991" s="2" t="s">
        <v>3365</v>
      </c>
      <c r="E991" s="2" t="s">
        <v>3366</v>
      </c>
      <c r="F991" s="2" t="s">
        <v>3367</v>
      </c>
      <c r="G991" s="2" t="s">
        <v>3367</v>
      </c>
      <c r="H991" s="2" t="s">
        <v>3367</v>
      </c>
      <c r="I991" s="2" t="s">
        <v>3368</v>
      </c>
      <c r="J991" s="2" t="s">
        <v>3369</v>
      </c>
      <c r="K991" s="2" t="s">
        <v>213</v>
      </c>
      <c r="L991" s="3">
        <v>6.4</v>
      </c>
      <c r="M991" s="3">
        <v>6.72</v>
      </c>
      <c r="N991" s="3">
        <v>15.99</v>
      </c>
      <c r="O991" s="2" t="s">
        <v>97</v>
      </c>
      <c r="P991" s="2" t="s">
        <v>98</v>
      </c>
      <c r="Q991" s="2" t="s">
        <v>99</v>
      </c>
      <c r="R991" s="2" t="s">
        <v>100</v>
      </c>
      <c r="S991" s="2" t="s">
        <v>3370</v>
      </c>
      <c r="T991" s="2" t="s">
        <v>100</v>
      </c>
      <c r="U991" s="2" t="s">
        <v>3325</v>
      </c>
      <c r="V991" s="2" t="s">
        <v>645</v>
      </c>
      <c r="W991" s="2" t="s">
        <v>976</v>
      </c>
      <c r="X991" s="2" t="s">
        <v>3371</v>
      </c>
      <c r="Y991" s="2" t="s">
        <v>3372</v>
      </c>
      <c r="Z991" s="4">
        <v>847</v>
      </c>
      <c r="AA991" s="4">
        <f>=ROUNDDOWN(16.94,0)</f>
      </c>
      <c r="AB991" s="5">
        <v>50</v>
      </c>
      <c r="AC991" s="2" t="s">
        <v>287</v>
      </c>
      <c r="AD991" s="4">
        <v>120</v>
      </c>
      <c r="AE991" s="4">
        <v>840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>
        <v>101</v>
      </c>
      <c r="BK991" s="8">
        <v>698.36</v>
      </c>
      <c r="BL991" s="2" t="s">
        <v>3378</v>
      </c>
      <c r="BM991" s="7"/>
      <c r="BN991" s="7"/>
      <c r="BO991" s="4"/>
      <c r="BP991" s="8"/>
      <c r="BQ991" s="4"/>
      <c r="BR991" s="8"/>
      <c r="BS991" s="7"/>
      <c r="BT991" s="7"/>
      <c r="BU991" s="2" t="s">
        <v>109</v>
      </c>
      <c r="BV991" s="2" t="s">
        <v>97</v>
      </c>
      <c r="BW991" s="2" t="s">
        <v>1159</v>
      </c>
      <c r="BX991" s="2" t="s">
        <v>3379</v>
      </c>
      <c r="BY991" s="2" t="s">
        <v>112</v>
      </c>
      <c r="BZ991" s="2" t="s">
        <v>100</v>
      </c>
    </row>
    <row r="992">
      <c r="A992" s="2" t="s">
        <v>3380</v>
      </c>
      <c r="B992" s="2" t="s">
        <v>87</v>
      </c>
      <c r="C992" s="2" t="s">
        <v>3381</v>
      </c>
      <c r="D992" s="2" t="s">
        <v>89</v>
      </c>
      <c r="E992" s="2" t="s">
        <v>3382</v>
      </c>
      <c r="F992" s="2" t="s">
        <v>3383</v>
      </c>
      <c r="G992" s="2" t="s">
        <v>3384</v>
      </c>
      <c r="H992" s="2" t="s">
        <v>640</v>
      </c>
      <c r="I992" s="2" t="s">
        <v>3385</v>
      </c>
      <c r="J992" s="2" t="s">
        <v>114</v>
      </c>
      <c r="K992" s="2" t="s">
        <v>163</v>
      </c>
      <c r="L992" s="3">
        <v>89.99</v>
      </c>
      <c r="M992" s="3">
        <v>94.49</v>
      </c>
      <c r="N992" s="3">
        <v>179.99</v>
      </c>
      <c r="O992" s="2" t="s">
        <v>97</v>
      </c>
      <c r="P992" s="2" t="s">
        <v>242</v>
      </c>
      <c r="Q992" s="2" t="s">
        <v>99</v>
      </c>
      <c r="R992" s="2" t="s">
        <v>100</v>
      </c>
      <c r="S992" s="2" t="s">
        <v>3386</v>
      </c>
      <c r="T992" s="2" t="s">
        <v>100</v>
      </c>
      <c r="U992" s="2" t="s">
        <v>3387</v>
      </c>
      <c r="V992" s="2" t="s">
        <v>632</v>
      </c>
      <c r="W992" s="2" t="s">
        <v>244</v>
      </c>
      <c r="X992" s="2" t="s">
        <v>285</v>
      </c>
      <c r="Y992" s="2" t="s">
        <v>3388</v>
      </c>
      <c r="Z992" s="4">
        <v>541</v>
      </c>
      <c r="AA992" s="4">
        <f>=ROUNDDOWN(16.3939393939394,0)</f>
      </c>
      <c r="AB992" s="5">
        <v>33</v>
      </c>
      <c r="AC992" s="2" t="s">
        <v>2139</v>
      </c>
      <c r="AD992" s="4">
        <v>110</v>
      </c>
      <c r="AE992" s="4">
        <v>1000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>
        <v>3</v>
      </c>
      <c r="AQ992" s="8">
        <v>341.7</v>
      </c>
      <c r="AR992" s="4"/>
      <c r="AS992" s="8"/>
      <c r="AT992" s="7"/>
      <c r="AU992" s="7"/>
      <c r="AV992" s="4">
        <v>8</v>
      </c>
      <c r="AW992" s="8">
        <v>911.2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>
        <v>0.375</v>
      </c>
      <c r="BC992" s="4">
        <v>17</v>
      </c>
      <c r="BD992" s="8">
        <v>1893.91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>
        <v>0.4811</v>
      </c>
      <c r="BJ992" s="4">
        <v>26</v>
      </c>
      <c r="BK992" s="8">
        <v>2721.27</v>
      </c>
      <c r="BL992" s="2" t="s">
        <v>3389</v>
      </c>
      <c r="BM992" s="7">
        <v>0.1154</v>
      </c>
      <c r="BN992" s="7">
        <v>0.1256</v>
      </c>
      <c r="BO992" s="4">
        <v>3</v>
      </c>
      <c r="BP992" s="8">
        <v>341.7</v>
      </c>
      <c r="BQ992" s="4"/>
      <c r="BR992" s="8"/>
      <c r="BS992" s="7"/>
      <c r="BT992" s="7"/>
      <c r="BU992" s="2" t="s">
        <v>109</v>
      </c>
      <c r="BV992" s="2" t="s">
        <v>97</v>
      </c>
      <c r="BW992" s="2" t="s">
        <v>319</v>
      </c>
      <c r="BX992" s="2" t="s">
        <v>2417</v>
      </c>
      <c r="BY992" s="2" t="s">
        <v>112</v>
      </c>
      <c r="BZ992" s="2" t="s">
        <v>100</v>
      </c>
    </row>
    <row r="993">
      <c r="A993" s="2" t="s">
        <v>3390</v>
      </c>
      <c r="B993" s="2" t="s">
        <v>87</v>
      </c>
      <c r="C993" s="2" t="s">
        <v>3381</v>
      </c>
      <c r="D993" s="2" t="s">
        <v>89</v>
      </c>
      <c r="E993" s="2" t="s">
        <v>3382</v>
      </c>
      <c r="F993" s="2" t="s">
        <v>3383</v>
      </c>
      <c r="G993" s="2" t="s">
        <v>3384</v>
      </c>
      <c r="H993" s="2" t="s">
        <v>640</v>
      </c>
      <c r="I993" s="2" t="s">
        <v>3385</v>
      </c>
      <c r="J993" s="2" t="s">
        <v>120</v>
      </c>
      <c r="K993" s="2" t="s">
        <v>163</v>
      </c>
      <c r="L993" s="3">
        <v>98.99</v>
      </c>
      <c r="M993" s="3">
        <v>103.94</v>
      </c>
      <c r="N993" s="3">
        <v>199.99</v>
      </c>
      <c r="O993" s="2" t="s">
        <v>97</v>
      </c>
      <c r="P993" s="2" t="s">
        <v>242</v>
      </c>
      <c r="Q993" s="2" t="s">
        <v>99</v>
      </c>
      <c r="R993" s="2" t="s">
        <v>100</v>
      </c>
      <c r="S993" s="2" t="s">
        <v>3386</v>
      </c>
      <c r="T993" s="2" t="s">
        <v>100</v>
      </c>
      <c r="U993" s="2" t="s">
        <v>3387</v>
      </c>
      <c r="V993" s="2" t="s">
        <v>632</v>
      </c>
      <c r="W993" s="2" t="s">
        <v>244</v>
      </c>
      <c r="X993" s="2" t="s">
        <v>285</v>
      </c>
      <c r="Y993" s="2" t="s">
        <v>3388</v>
      </c>
      <c r="Z993" s="4">
        <v>623</v>
      </c>
      <c r="AA993" s="4">
        <f>=ROUNDDOWN(27.0869565217391,0)</f>
      </c>
      <c r="AB993" s="5">
        <v>23</v>
      </c>
      <c r="AC993" s="2" t="s">
        <v>840</v>
      </c>
      <c r="AD993" s="4">
        <v>50</v>
      </c>
      <c r="AE993" s="4">
        <v>350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>
        <v>3</v>
      </c>
      <c r="AQ993" s="8">
        <v>341.7</v>
      </c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0.375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 t="s">
        <v>100</v>
      </c>
      <c r="BJ993" s="4">
        <v>22</v>
      </c>
      <c r="BK993" s="8">
        <v>2418.36</v>
      </c>
      <c r="BL993" s="2" t="s">
        <v>3391</v>
      </c>
      <c r="BM993" s="7">
        <v>0.1364</v>
      </c>
      <c r="BN993" s="7">
        <v>0.1413</v>
      </c>
      <c r="BO993" s="4">
        <v>3</v>
      </c>
      <c r="BP993" s="8">
        <v>341.7</v>
      </c>
      <c r="BQ993" s="4"/>
      <c r="BR993" s="8"/>
      <c r="BS993" s="7"/>
      <c r="BT993" s="7"/>
      <c r="BU993" s="2" t="s">
        <v>109</v>
      </c>
      <c r="BV993" s="2" t="s">
        <v>97</v>
      </c>
      <c r="BW993" s="2" t="s">
        <v>319</v>
      </c>
      <c r="BX993" s="2" t="s">
        <v>3392</v>
      </c>
      <c r="BY993" s="2" t="s">
        <v>112</v>
      </c>
      <c r="BZ993" s="2" t="s">
        <v>100</v>
      </c>
    </row>
    <row r="994">
      <c r="A994" s="2" t="s">
        <v>3393</v>
      </c>
      <c r="B994" s="2" t="s">
        <v>87</v>
      </c>
      <c r="C994" s="2" t="s">
        <v>3381</v>
      </c>
      <c r="D994" s="2" t="s">
        <v>89</v>
      </c>
      <c r="E994" s="2" t="s">
        <v>3382</v>
      </c>
      <c r="F994" s="2" t="s">
        <v>3383</v>
      </c>
      <c r="G994" s="2" t="s">
        <v>3384</v>
      </c>
      <c r="H994" s="2" t="s">
        <v>640</v>
      </c>
      <c r="I994" s="2" t="s">
        <v>3385</v>
      </c>
      <c r="J994" s="2" t="s">
        <v>124</v>
      </c>
      <c r="K994" s="2" t="s">
        <v>163</v>
      </c>
      <c r="L994" s="3">
        <v>98.99</v>
      </c>
      <c r="M994" s="3">
        <v>103.94</v>
      </c>
      <c r="N994" s="3">
        <v>199.99</v>
      </c>
      <c r="O994" s="2" t="s">
        <v>97</v>
      </c>
      <c r="P994" s="2" t="s">
        <v>242</v>
      </c>
      <c r="Q994" s="2" t="s">
        <v>99</v>
      </c>
      <c r="R994" s="2" t="s">
        <v>100</v>
      </c>
      <c r="S994" s="2" t="s">
        <v>3386</v>
      </c>
      <c r="T994" s="2" t="s">
        <v>100</v>
      </c>
      <c r="U994" s="2" t="s">
        <v>3387</v>
      </c>
      <c r="V994" s="2" t="s">
        <v>632</v>
      </c>
      <c r="W994" s="2" t="s">
        <v>244</v>
      </c>
      <c r="X994" s="2" t="s">
        <v>285</v>
      </c>
      <c r="Y994" s="2" t="s">
        <v>3388</v>
      </c>
      <c r="Z994" s="4">
        <v>265</v>
      </c>
      <c r="AA994" s="4">
        <f>=ROUNDDOWN(12.0454545454545,0)</f>
      </c>
      <c r="AB994" s="5">
        <v>22</v>
      </c>
      <c r="AC994" s="2" t="s">
        <v>194</v>
      </c>
      <c r="AD994" s="4">
        <v>50</v>
      </c>
      <c r="AE994" s="4">
        <v>650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>
        <v>2</v>
      </c>
      <c r="AQ994" s="8">
        <v>227.8</v>
      </c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>
        <v>0.25</v>
      </c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 t="s">
        <v>100</v>
      </c>
      <c r="BJ994" s="4">
        <v>15</v>
      </c>
      <c r="BK994" s="8">
        <v>1766.35</v>
      </c>
      <c r="BL994" s="2" t="s">
        <v>3394</v>
      </c>
      <c r="BM994" s="7">
        <v>0.1333</v>
      </c>
      <c r="BN994" s="7">
        <v>0.129</v>
      </c>
      <c r="BO994" s="4">
        <v>2</v>
      </c>
      <c r="BP994" s="8">
        <v>227.8</v>
      </c>
      <c r="BQ994" s="4"/>
      <c r="BR994" s="8"/>
      <c r="BS994" s="7"/>
      <c r="BT994" s="7"/>
      <c r="BU994" s="2" t="s">
        <v>109</v>
      </c>
      <c r="BV994" s="2" t="s">
        <v>97</v>
      </c>
      <c r="BW994" s="2" t="s">
        <v>319</v>
      </c>
      <c r="BX994" s="2" t="s">
        <v>567</v>
      </c>
      <c r="BY994" s="2" t="s">
        <v>112</v>
      </c>
      <c r="BZ994" s="2" t="s">
        <v>100</v>
      </c>
    </row>
    <row r="995">
      <c r="A995" s="2" t="s">
        <v>3395</v>
      </c>
      <c r="B995" s="2" t="s">
        <v>87</v>
      </c>
      <c r="C995" s="2" t="s">
        <v>3381</v>
      </c>
      <c r="D995" s="2" t="s">
        <v>89</v>
      </c>
      <c r="E995" s="2" t="s">
        <v>3382</v>
      </c>
      <c r="F995" s="2" t="s">
        <v>3383</v>
      </c>
      <c r="G995" s="2" t="s">
        <v>3384</v>
      </c>
      <c r="H995" s="2" t="s">
        <v>640</v>
      </c>
      <c r="I995" s="2" t="s">
        <v>3385</v>
      </c>
      <c r="J995" s="2" t="s">
        <v>114</v>
      </c>
      <c r="K995" s="2" t="s">
        <v>1515</v>
      </c>
      <c r="L995" s="3">
        <v>89.99</v>
      </c>
      <c r="M995" s="3">
        <v>94.49</v>
      </c>
      <c r="N995" s="3">
        <v>179.99</v>
      </c>
      <c r="O995" s="2" t="s">
        <v>97</v>
      </c>
      <c r="P995" s="2" t="s">
        <v>341</v>
      </c>
      <c r="Q995" s="2" t="s">
        <v>99</v>
      </c>
      <c r="R995" s="2" t="s">
        <v>100</v>
      </c>
      <c r="S995" s="2" t="s">
        <v>3396</v>
      </c>
      <c r="T995" s="2" t="s">
        <v>100</v>
      </c>
      <c r="U995" s="2" t="s">
        <v>3387</v>
      </c>
      <c r="V995" s="2" t="s">
        <v>632</v>
      </c>
      <c r="W995" s="2" t="s">
        <v>244</v>
      </c>
      <c r="X995" s="2" t="s">
        <v>285</v>
      </c>
      <c r="Y995" s="2" t="s">
        <v>3397</v>
      </c>
      <c r="Z995" s="4">
        <v>544</v>
      </c>
      <c r="AA995" s="4">
        <f>=ROUNDDOWN(6.32558139534884,0)</f>
      </c>
      <c r="AB995" s="5">
        <v>86</v>
      </c>
      <c r="AC995" s="2" t="s">
        <v>400</v>
      </c>
      <c r="AD995" s="4">
        <v>150</v>
      </c>
      <c r="AE995" s="4">
        <v>3196</v>
      </c>
      <c r="AF995" s="6">
        <v>65</v>
      </c>
      <c r="AG995" s="6">
        <v>48</v>
      </c>
      <c r="AH995" s="7">
        <v>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>
        <v>2</v>
      </c>
      <c r="AQ995" s="8">
        <v>205.02</v>
      </c>
      <c r="AR995" s="4"/>
      <c r="AS995" s="8"/>
      <c r="AT995" s="7"/>
      <c r="AU995" s="7"/>
      <c r="AV995" s="4">
        <v>4</v>
      </c>
      <c r="AW995" s="8">
        <v>432.82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>
        <v>0.4737</v>
      </c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>
        <v>0.2285</v>
      </c>
      <c r="BJ995" s="4">
        <v>155</v>
      </c>
      <c r="BK995" s="8">
        <v>15774.99</v>
      </c>
      <c r="BL995" s="2" t="s">
        <v>3398</v>
      </c>
      <c r="BM995" s="7">
        <v>0.0129</v>
      </c>
      <c r="BN995" s="7">
        <v>0.013</v>
      </c>
      <c r="BO995" s="4">
        <v>2</v>
      </c>
      <c r="BP995" s="8">
        <v>205.02</v>
      </c>
      <c r="BQ995" s="4"/>
      <c r="BR995" s="8"/>
      <c r="BS995" s="7"/>
      <c r="BT995" s="7"/>
      <c r="BU995" s="2" t="s">
        <v>109</v>
      </c>
      <c r="BV995" s="2" t="s">
        <v>97</v>
      </c>
      <c r="BW995" s="2" t="s">
        <v>544</v>
      </c>
      <c r="BX995" s="2" t="s">
        <v>1842</v>
      </c>
      <c r="BY995" s="2" t="s">
        <v>112</v>
      </c>
      <c r="BZ995" s="2" t="s">
        <v>100</v>
      </c>
    </row>
    <row r="996">
      <c r="A996" s="2" t="s">
        <v>3399</v>
      </c>
      <c r="B996" s="2" t="s">
        <v>87</v>
      </c>
      <c r="C996" s="2" t="s">
        <v>3381</v>
      </c>
      <c r="D996" s="2" t="s">
        <v>89</v>
      </c>
      <c r="E996" s="2" t="s">
        <v>3382</v>
      </c>
      <c r="F996" s="2" t="s">
        <v>3383</v>
      </c>
      <c r="G996" s="2" t="s">
        <v>3384</v>
      </c>
      <c r="H996" s="2" t="s">
        <v>640</v>
      </c>
      <c r="I996" s="2" t="s">
        <v>3385</v>
      </c>
      <c r="J996" s="2" t="s">
        <v>120</v>
      </c>
      <c r="K996" s="2" t="s">
        <v>1515</v>
      </c>
      <c r="L996" s="3">
        <v>98.99</v>
      </c>
      <c r="M996" s="3">
        <v>103.94</v>
      </c>
      <c r="N996" s="3">
        <v>199.99</v>
      </c>
      <c r="O996" s="2" t="s">
        <v>97</v>
      </c>
      <c r="P996" s="2" t="s">
        <v>341</v>
      </c>
      <c r="Q996" s="2" t="s">
        <v>99</v>
      </c>
      <c r="R996" s="2" t="s">
        <v>100</v>
      </c>
      <c r="S996" s="2" t="s">
        <v>3396</v>
      </c>
      <c r="T996" s="2" t="s">
        <v>100</v>
      </c>
      <c r="U996" s="2" t="s">
        <v>3387</v>
      </c>
      <c r="V996" s="2" t="s">
        <v>632</v>
      </c>
      <c r="W996" s="2" t="s">
        <v>244</v>
      </c>
      <c r="X996" s="2" t="s">
        <v>285</v>
      </c>
      <c r="Y996" s="2" t="s">
        <v>3397</v>
      </c>
      <c r="Z996" s="4">
        <v>502</v>
      </c>
      <c r="AA996" s="4">
        <f>=ROUNDDOWN(8.36666666666667,0)</f>
      </c>
      <c r="AB996" s="5">
        <v>60</v>
      </c>
      <c r="AC996" s="2" t="s">
        <v>3400</v>
      </c>
      <c r="AD996" s="4">
        <v>148</v>
      </c>
      <c r="AE996" s="4">
        <v>2261</v>
      </c>
      <c r="AF996" s="6">
        <v>65</v>
      </c>
      <c r="AG996" s="6">
        <v>48</v>
      </c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>
        <v>2</v>
      </c>
      <c r="AQ996" s="8">
        <v>227.8</v>
      </c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>
        <v>0.5263</v>
      </c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 t="s">
        <v>100</v>
      </c>
      <c r="BJ996" s="4">
        <v>149</v>
      </c>
      <c r="BK996" s="8">
        <v>16874.89</v>
      </c>
      <c r="BL996" s="2" t="s">
        <v>3401</v>
      </c>
      <c r="BM996" s="7">
        <v>0.0134</v>
      </c>
      <c r="BN996" s="7">
        <v>0.0135</v>
      </c>
      <c r="BO996" s="4">
        <v>2</v>
      </c>
      <c r="BP996" s="8">
        <v>227.8</v>
      </c>
      <c r="BQ996" s="4"/>
      <c r="BR996" s="8"/>
      <c r="BS996" s="7"/>
      <c r="BT996" s="7"/>
      <c r="BU996" s="2" t="s">
        <v>109</v>
      </c>
      <c r="BV996" s="2" t="s">
        <v>97</v>
      </c>
      <c r="BW996" s="2" t="s">
        <v>544</v>
      </c>
      <c r="BX996" s="2" t="s">
        <v>170</v>
      </c>
      <c r="BY996" s="2" t="s">
        <v>112</v>
      </c>
      <c r="BZ996" s="2" t="s">
        <v>100</v>
      </c>
    </row>
    <row r="997">
      <c r="A997" s="2" t="s">
        <v>3402</v>
      </c>
      <c r="B997" s="2" t="s">
        <v>87</v>
      </c>
      <c r="C997" s="2" t="s">
        <v>3381</v>
      </c>
      <c r="D997" s="2" t="s">
        <v>89</v>
      </c>
      <c r="E997" s="2" t="s">
        <v>3382</v>
      </c>
      <c r="F997" s="2" t="s">
        <v>3383</v>
      </c>
      <c r="G997" s="2" t="s">
        <v>3384</v>
      </c>
      <c r="H997" s="2" t="s">
        <v>640</v>
      </c>
      <c r="I997" s="2" t="s">
        <v>3385</v>
      </c>
      <c r="J997" s="2" t="s">
        <v>124</v>
      </c>
      <c r="K997" s="2" t="s">
        <v>1515</v>
      </c>
      <c r="L997" s="3">
        <v>98.99</v>
      </c>
      <c r="M997" s="3">
        <v>103.94</v>
      </c>
      <c r="N997" s="3">
        <v>199.99</v>
      </c>
      <c r="O997" s="2" t="s">
        <v>97</v>
      </c>
      <c r="P997" s="2" t="s">
        <v>341</v>
      </c>
      <c r="Q997" s="2" t="s">
        <v>99</v>
      </c>
      <c r="R997" s="2" t="s">
        <v>100</v>
      </c>
      <c r="S997" s="2" t="s">
        <v>3396</v>
      </c>
      <c r="T997" s="2" t="s">
        <v>100</v>
      </c>
      <c r="U997" s="2" t="s">
        <v>3387</v>
      </c>
      <c r="V997" s="2" t="s">
        <v>632</v>
      </c>
      <c r="W997" s="2" t="s">
        <v>244</v>
      </c>
      <c r="X997" s="2" t="s">
        <v>285</v>
      </c>
      <c r="Y997" s="2" t="s">
        <v>3397</v>
      </c>
      <c r="Z997" s="4">
        <v>334</v>
      </c>
      <c r="AA997" s="4">
        <f>=ROUNDDOWN(10.1212121212121,0)</f>
      </c>
      <c r="AB997" s="5">
        <v>33</v>
      </c>
      <c r="AC997" s="2" t="s">
        <v>3400</v>
      </c>
      <c r="AD997" s="4">
        <v>55</v>
      </c>
      <c r="AE997" s="4">
        <v>1290</v>
      </c>
      <c r="AF997" s="6">
        <v>65</v>
      </c>
      <c r="AG997" s="6">
        <v>48</v>
      </c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/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 t="s">
        <v>100</v>
      </c>
      <c r="BJ997" s="4">
        <v>31</v>
      </c>
      <c r="BK997" s="8">
        <v>3372.65</v>
      </c>
      <c r="BL997" s="2" t="s">
        <v>374</v>
      </c>
      <c r="BM997" s="7"/>
      <c r="BN997" s="7"/>
      <c r="BO997" s="4"/>
      <c r="BP997" s="8"/>
      <c r="BQ997" s="4"/>
      <c r="BR997" s="8"/>
      <c r="BS997" s="7"/>
      <c r="BT997" s="7"/>
      <c r="BU997" s="2" t="s">
        <v>109</v>
      </c>
      <c r="BV997" s="2" t="s">
        <v>97</v>
      </c>
      <c r="BW997" s="2" t="s">
        <v>544</v>
      </c>
      <c r="BX997" s="2" t="s">
        <v>950</v>
      </c>
      <c r="BY997" s="2" t="s">
        <v>112</v>
      </c>
      <c r="BZ997" s="2" t="s">
        <v>100</v>
      </c>
    </row>
    <row r="998">
      <c r="A998" s="2" t="s">
        <v>3403</v>
      </c>
      <c r="B998" s="2" t="s">
        <v>87</v>
      </c>
      <c r="C998" s="2" t="s">
        <v>3381</v>
      </c>
      <c r="D998" s="2" t="s">
        <v>89</v>
      </c>
      <c r="E998" s="2" t="s">
        <v>3382</v>
      </c>
      <c r="F998" s="2" t="s">
        <v>3383</v>
      </c>
      <c r="G998" s="2" t="s">
        <v>3384</v>
      </c>
      <c r="H998" s="2" t="s">
        <v>640</v>
      </c>
      <c r="I998" s="2" t="s">
        <v>3385</v>
      </c>
      <c r="J998" s="2" t="s">
        <v>114</v>
      </c>
      <c r="K998" s="2" t="s">
        <v>434</v>
      </c>
      <c r="L998" s="3">
        <v>89.99</v>
      </c>
      <c r="M998" s="3">
        <v>94.49</v>
      </c>
      <c r="N998" s="3">
        <v>179.99</v>
      </c>
      <c r="O998" s="2" t="s">
        <v>97</v>
      </c>
      <c r="P998" s="2" t="s">
        <v>242</v>
      </c>
      <c r="Q998" s="2" t="s">
        <v>99</v>
      </c>
      <c r="R998" s="2" t="s">
        <v>100</v>
      </c>
      <c r="S998" s="2" t="s">
        <v>3404</v>
      </c>
      <c r="T998" s="2" t="s">
        <v>100</v>
      </c>
      <c r="U998" s="2" t="s">
        <v>3387</v>
      </c>
      <c r="V998" s="2" t="s">
        <v>632</v>
      </c>
      <c r="W998" s="2" t="s">
        <v>244</v>
      </c>
      <c r="X998" s="2" t="s">
        <v>285</v>
      </c>
      <c r="Y998" s="2" t="s">
        <v>3397</v>
      </c>
      <c r="Z998" s="4">
        <v>553</v>
      </c>
      <c r="AA998" s="4">
        <f>=ROUNDDOWN(23.0416666666667,0)</f>
      </c>
      <c r="AB998" s="5">
        <v>24</v>
      </c>
      <c r="AC998" s="2" t="s">
        <v>400</v>
      </c>
      <c r="AD998" s="4">
        <v>120</v>
      </c>
      <c r="AE998" s="4">
        <v>600</v>
      </c>
      <c r="AF998" s="6">
        <v>65</v>
      </c>
      <c r="AG998" s="6">
        <v>48</v>
      </c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>
        <v>1</v>
      </c>
      <c r="AQ998" s="8">
        <v>102.51</v>
      </c>
      <c r="AR998" s="4"/>
      <c r="AS998" s="8"/>
      <c r="AT998" s="7"/>
      <c r="AU998" s="7"/>
      <c r="AV998" s="4">
        <v>2</v>
      </c>
      <c r="AW998" s="8">
        <v>216.41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>
        <v>0.4737</v>
      </c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>
        <v>0.1143</v>
      </c>
      <c r="BJ998" s="4">
        <v>14</v>
      </c>
      <c r="BK998" s="8">
        <v>1412.29</v>
      </c>
      <c r="BL998" s="2" t="s">
        <v>3405</v>
      </c>
      <c r="BM998" s="7">
        <v>0.0714</v>
      </c>
      <c r="BN998" s="7">
        <v>0.0726</v>
      </c>
      <c r="BO998" s="4">
        <v>1</v>
      </c>
      <c r="BP998" s="8">
        <v>102.51</v>
      </c>
      <c r="BQ998" s="4"/>
      <c r="BR998" s="8"/>
      <c r="BS998" s="7"/>
      <c r="BT998" s="7"/>
      <c r="BU998" s="2" t="s">
        <v>109</v>
      </c>
      <c r="BV998" s="2" t="s">
        <v>97</v>
      </c>
      <c r="BW998" s="2" t="s">
        <v>544</v>
      </c>
      <c r="BX998" s="2" t="s">
        <v>154</v>
      </c>
      <c r="BY998" s="2" t="s">
        <v>112</v>
      </c>
      <c r="BZ998" s="2" t="s">
        <v>100</v>
      </c>
    </row>
    <row r="999">
      <c r="A999" s="2" t="s">
        <v>3406</v>
      </c>
      <c r="B999" s="2" t="s">
        <v>87</v>
      </c>
      <c r="C999" s="2" t="s">
        <v>3381</v>
      </c>
      <c r="D999" s="2" t="s">
        <v>89</v>
      </c>
      <c r="E999" s="2" t="s">
        <v>3382</v>
      </c>
      <c r="F999" s="2" t="s">
        <v>3383</v>
      </c>
      <c r="G999" s="2" t="s">
        <v>3384</v>
      </c>
      <c r="H999" s="2" t="s">
        <v>640</v>
      </c>
      <c r="I999" s="2" t="s">
        <v>3385</v>
      </c>
      <c r="J999" s="2" t="s">
        <v>120</v>
      </c>
      <c r="K999" s="2" t="s">
        <v>434</v>
      </c>
      <c r="L999" s="3">
        <v>98.99</v>
      </c>
      <c r="M999" s="3">
        <v>103.94</v>
      </c>
      <c r="N999" s="3">
        <v>199.99</v>
      </c>
      <c r="O999" s="2" t="s">
        <v>97</v>
      </c>
      <c r="P999" s="2" t="s">
        <v>242</v>
      </c>
      <c r="Q999" s="2" t="s">
        <v>99</v>
      </c>
      <c r="R999" s="2" t="s">
        <v>100</v>
      </c>
      <c r="S999" s="2" t="s">
        <v>3404</v>
      </c>
      <c r="T999" s="2" t="s">
        <v>100</v>
      </c>
      <c r="U999" s="2" t="s">
        <v>3387</v>
      </c>
      <c r="V999" s="2" t="s">
        <v>632</v>
      </c>
      <c r="W999" s="2" t="s">
        <v>244</v>
      </c>
      <c r="X999" s="2" t="s">
        <v>285</v>
      </c>
      <c r="Y999" s="2" t="s">
        <v>3397</v>
      </c>
      <c r="Z999" s="4">
        <v>501</v>
      </c>
      <c r="AA999" s="4">
        <f>=ROUNDDOWN(23.8571428571429,0)</f>
      </c>
      <c r="AB999" s="5">
        <v>21</v>
      </c>
      <c r="AC999" s="2" t="s">
        <v>400</v>
      </c>
      <c r="AD999" s="4">
        <v>80</v>
      </c>
      <c r="AE999" s="4">
        <v>320</v>
      </c>
      <c r="AF999" s="6">
        <v>65</v>
      </c>
      <c r="AG999" s="6">
        <v>48</v>
      </c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>
        <v>1</v>
      </c>
      <c r="AQ999" s="8">
        <v>113.9</v>
      </c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>
        <v>0.5263</v>
      </c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 t="s">
        <v>100</v>
      </c>
      <c r="BJ999" s="4">
        <v>32</v>
      </c>
      <c r="BK999" s="8">
        <v>3718.73</v>
      </c>
      <c r="BL999" s="2" t="s">
        <v>3407</v>
      </c>
      <c r="BM999" s="7">
        <v>0.0312</v>
      </c>
      <c r="BN999" s="7">
        <v>0.0306</v>
      </c>
      <c r="BO999" s="4">
        <v>1</v>
      </c>
      <c r="BP999" s="8">
        <v>113.9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544</v>
      </c>
      <c r="BX999" s="2" t="s">
        <v>222</v>
      </c>
      <c r="BY999" s="2" t="s">
        <v>112</v>
      </c>
      <c r="BZ999" s="2" t="s">
        <v>100</v>
      </c>
    </row>
    <row r="1000">
      <c r="A1000" s="2" t="s">
        <v>3408</v>
      </c>
      <c r="B1000" s="2" t="s">
        <v>87</v>
      </c>
      <c r="C1000" s="2" t="s">
        <v>3381</v>
      </c>
      <c r="D1000" s="2" t="s">
        <v>89</v>
      </c>
      <c r="E1000" s="2" t="s">
        <v>3382</v>
      </c>
      <c r="F1000" s="2" t="s">
        <v>3383</v>
      </c>
      <c r="G1000" s="2" t="s">
        <v>3384</v>
      </c>
      <c r="H1000" s="2" t="s">
        <v>640</v>
      </c>
      <c r="I1000" s="2" t="s">
        <v>3385</v>
      </c>
      <c r="J1000" s="2" t="s">
        <v>124</v>
      </c>
      <c r="K1000" s="2" t="s">
        <v>434</v>
      </c>
      <c r="L1000" s="3">
        <v>98.99</v>
      </c>
      <c r="M1000" s="3">
        <v>103.94</v>
      </c>
      <c r="N1000" s="3">
        <v>199.99</v>
      </c>
      <c r="O1000" s="2" t="s">
        <v>97</v>
      </c>
      <c r="P1000" s="2" t="s">
        <v>242</v>
      </c>
      <c r="Q1000" s="2" t="s">
        <v>99</v>
      </c>
      <c r="R1000" s="2" t="s">
        <v>100</v>
      </c>
      <c r="S1000" s="2" t="s">
        <v>3404</v>
      </c>
      <c r="T1000" s="2" t="s">
        <v>100</v>
      </c>
      <c r="U1000" s="2" t="s">
        <v>3387</v>
      </c>
      <c r="V1000" s="2" t="s">
        <v>632</v>
      </c>
      <c r="W1000" s="2" t="s">
        <v>244</v>
      </c>
      <c r="X1000" s="2" t="s">
        <v>285</v>
      </c>
      <c r="Y1000" s="2" t="s">
        <v>3397</v>
      </c>
      <c r="Z1000" s="4">
        <v>307</v>
      </c>
      <c r="AA1000" s="4">
        <f>=ROUNDDOWN(21.9285714285714,0)</f>
      </c>
      <c r="AB1000" s="5">
        <v>14</v>
      </c>
      <c r="AC1000" s="2" t="s">
        <v>400</v>
      </c>
      <c r="AD1000" s="4">
        <v>60</v>
      </c>
      <c r="AE1000" s="4">
        <v>240</v>
      </c>
      <c r="AF1000" s="6">
        <v>65</v>
      </c>
      <c r="AG1000" s="6">
        <v>48</v>
      </c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/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 t="s">
        <v>100</v>
      </c>
      <c r="BJ1000" s="4">
        <v>7</v>
      </c>
      <c r="BK1000" s="8">
        <v>721.81</v>
      </c>
      <c r="BL1000" s="2" t="s">
        <v>3409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544</v>
      </c>
      <c r="BX1000" s="2" t="s">
        <v>127</v>
      </c>
      <c r="BY1000" s="2" t="s">
        <v>112</v>
      </c>
      <c r="BZ1000" s="2" t="s">
        <v>100</v>
      </c>
    </row>
    <row r="1001">
      <c r="A1001" s="2" t="s">
        <v>3410</v>
      </c>
      <c r="B1001" s="2" t="s">
        <v>87</v>
      </c>
      <c r="C1001" s="2" t="s">
        <v>3381</v>
      </c>
      <c r="D1001" s="2" t="s">
        <v>89</v>
      </c>
      <c r="E1001" s="2" t="s">
        <v>3382</v>
      </c>
      <c r="F1001" s="2" t="s">
        <v>3383</v>
      </c>
      <c r="G1001" s="2" t="s">
        <v>3384</v>
      </c>
      <c r="H1001" s="2" t="s">
        <v>640</v>
      </c>
      <c r="I1001" s="2" t="s">
        <v>3385</v>
      </c>
      <c r="J1001" s="2" t="s">
        <v>114</v>
      </c>
      <c r="K1001" s="2" t="s">
        <v>253</v>
      </c>
      <c r="L1001" s="3">
        <v>89.99</v>
      </c>
      <c r="M1001" s="3">
        <v>94.49</v>
      </c>
      <c r="N1001" s="3">
        <v>179.99</v>
      </c>
      <c r="O1001" s="2" t="s">
        <v>97</v>
      </c>
      <c r="P1001" s="2" t="s">
        <v>242</v>
      </c>
      <c r="Q1001" s="2" t="s">
        <v>99</v>
      </c>
      <c r="R1001" s="2" t="s">
        <v>100</v>
      </c>
      <c r="S1001" s="2" t="s">
        <v>3411</v>
      </c>
      <c r="T1001" s="2" t="s">
        <v>100</v>
      </c>
      <c r="U1001" s="2" t="s">
        <v>3387</v>
      </c>
      <c r="V1001" s="2" t="s">
        <v>632</v>
      </c>
      <c r="W1001" s="2" t="s">
        <v>244</v>
      </c>
      <c r="X1001" s="2" t="s">
        <v>285</v>
      </c>
      <c r="Y1001" s="2" t="s">
        <v>131</v>
      </c>
      <c r="Z1001" s="4">
        <v>582</v>
      </c>
      <c r="AA1001" s="4">
        <f>=ROUNDDOWN(16.1666666666667,0)</f>
      </c>
      <c r="AB1001" s="5">
        <v>36</v>
      </c>
      <c r="AC1001" s="2" t="s">
        <v>107</v>
      </c>
      <c r="AD1001" s="4">
        <v>60</v>
      </c>
      <c r="AE1001" s="4">
        <v>890</v>
      </c>
      <c r="AF1001" s="6">
        <v>65</v>
      </c>
      <c r="AG1001" s="6">
        <v>48</v>
      </c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>
        <v>1</v>
      </c>
      <c r="AW1001" s="8">
        <v>113.9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/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>
        <v>0.0601</v>
      </c>
      <c r="BJ1001" s="4">
        <v>24</v>
      </c>
      <c r="BK1001" s="8">
        <v>2226.38</v>
      </c>
      <c r="BL1001" s="2" t="s">
        <v>3412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544</v>
      </c>
      <c r="BX1001" s="2" t="s">
        <v>127</v>
      </c>
      <c r="BY1001" s="2" t="s">
        <v>112</v>
      </c>
      <c r="BZ1001" s="2" t="s">
        <v>100</v>
      </c>
    </row>
    <row r="1002">
      <c r="A1002" s="2" t="s">
        <v>3413</v>
      </c>
      <c r="B1002" s="2" t="s">
        <v>87</v>
      </c>
      <c r="C1002" s="2" t="s">
        <v>3381</v>
      </c>
      <c r="D1002" s="2" t="s">
        <v>89</v>
      </c>
      <c r="E1002" s="2" t="s">
        <v>3382</v>
      </c>
      <c r="F1002" s="2" t="s">
        <v>3383</v>
      </c>
      <c r="G1002" s="2" t="s">
        <v>3384</v>
      </c>
      <c r="H1002" s="2" t="s">
        <v>640</v>
      </c>
      <c r="I1002" s="2" t="s">
        <v>3385</v>
      </c>
      <c r="J1002" s="2" t="s">
        <v>120</v>
      </c>
      <c r="K1002" s="2" t="s">
        <v>253</v>
      </c>
      <c r="L1002" s="3">
        <v>98.99</v>
      </c>
      <c r="M1002" s="3">
        <v>103.94</v>
      </c>
      <c r="N1002" s="3">
        <v>199.99</v>
      </c>
      <c r="O1002" s="2" t="s">
        <v>97</v>
      </c>
      <c r="P1002" s="2" t="s">
        <v>242</v>
      </c>
      <c r="Q1002" s="2" t="s">
        <v>99</v>
      </c>
      <c r="R1002" s="2" t="s">
        <v>100</v>
      </c>
      <c r="S1002" s="2" t="s">
        <v>3411</v>
      </c>
      <c r="T1002" s="2" t="s">
        <v>100</v>
      </c>
      <c r="U1002" s="2" t="s">
        <v>3387</v>
      </c>
      <c r="V1002" s="2" t="s">
        <v>632</v>
      </c>
      <c r="W1002" s="2" t="s">
        <v>244</v>
      </c>
      <c r="X1002" s="2" t="s">
        <v>285</v>
      </c>
      <c r="Y1002" s="2" t="s">
        <v>131</v>
      </c>
      <c r="Z1002" s="4">
        <v>471</v>
      </c>
      <c r="AA1002" s="4">
        <f>=ROUNDDOWN(17.4444444444444,0)</f>
      </c>
      <c r="AB1002" s="5">
        <v>27</v>
      </c>
      <c r="AC1002" s="2" t="s">
        <v>107</v>
      </c>
      <c r="AD1002" s="4">
        <v>60</v>
      </c>
      <c r="AE1002" s="4">
        <v>580</v>
      </c>
      <c r="AF1002" s="6">
        <v>65</v>
      </c>
      <c r="AG1002" s="6">
        <v>48</v>
      </c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 t="s">
        <v>100</v>
      </c>
      <c r="BJ1002" s="4">
        <v>17</v>
      </c>
      <c r="BK1002" s="8">
        <v>1741.15</v>
      </c>
      <c r="BL1002" s="2" t="s">
        <v>3414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544</v>
      </c>
      <c r="BX1002" s="2" t="s">
        <v>260</v>
      </c>
      <c r="BY1002" s="2" t="s">
        <v>112</v>
      </c>
      <c r="BZ1002" s="2" t="s">
        <v>100</v>
      </c>
    </row>
    <row r="1003">
      <c r="A1003" s="2" t="s">
        <v>3415</v>
      </c>
      <c r="B1003" s="2" t="s">
        <v>87</v>
      </c>
      <c r="C1003" s="2" t="s">
        <v>3381</v>
      </c>
      <c r="D1003" s="2" t="s">
        <v>89</v>
      </c>
      <c r="E1003" s="2" t="s">
        <v>3382</v>
      </c>
      <c r="F1003" s="2" t="s">
        <v>3383</v>
      </c>
      <c r="G1003" s="2" t="s">
        <v>3384</v>
      </c>
      <c r="H1003" s="2" t="s">
        <v>640</v>
      </c>
      <c r="I1003" s="2" t="s">
        <v>3385</v>
      </c>
      <c r="J1003" s="2" t="s">
        <v>124</v>
      </c>
      <c r="K1003" s="2" t="s">
        <v>253</v>
      </c>
      <c r="L1003" s="3">
        <v>98.99</v>
      </c>
      <c r="M1003" s="3">
        <v>103.94</v>
      </c>
      <c r="N1003" s="3">
        <v>199.99</v>
      </c>
      <c r="O1003" s="2" t="s">
        <v>97</v>
      </c>
      <c r="P1003" s="2" t="s">
        <v>242</v>
      </c>
      <c r="Q1003" s="2" t="s">
        <v>99</v>
      </c>
      <c r="R1003" s="2" t="s">
        <v>100</v>
      </c>
      <c r="S1003" s="2" t="s">
        <v>3411</v>
      </c>
      <c r="T1003" s="2" t="s">
        <v>100</v>
      </c>
      <c r="U1003" s="2" t="s">
        <v>3387</v>
      </c>
      <c r="V1003" s="2" t="s">
        <v>632</v>
      </c>
      <c r="W1003" s="2" t="s">
        <v>244</v>
      </c>
      <c r="X1003" s="2" t="s">
        <v>285</v>
      </c>
      <c r="Y1003" s="2" t="s">
        <v>131</v>
      </c>
      <c r="Z1003" s="4">
        <v>449</v>
      </c>
      <c r="AA1003" s="4">
        <f>=ROUNDDOWN(29.9333333333333,0)</f>
      </c>
      <c r="AB1003" s="5">
        <v>15</v>
      </c>
      <c r="AC1003" s="2" t="s">
        <v>324</v>
      </c>
      <c r="AD1003" s="4">
        <v>50</v>
      </c>
      <c r="AE1003" s="4">
        <v>130</v>
      </c>
      <c r="AF1003" s="6">
        <v>65</v>
      </c>
      <c r="AG1003" s="6">
        <v>48</v>
      </c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>
        <v>1</v>
      </c>
      <c r="AQ1003" s="8">
        <v>113.9</v>
      </c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>
        <v>1</v>
      </c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 t="s">
        <v>100</v>
      </c>
      <c r="BJ1003" s="4">
        <v>12</v>
      </c>
      <c r="BK1003" s="8">
        <v>1267.42</v>
      </c>
      <c r="BL1003" s="2" t="s">
        <v>3416</v>
      </c>
      <c r="BM1003" s="7">
        <v>0.0833</v>
      </c>
      <c r="BN1003" s="7">
        <v>0.0899</v>
      </c>
      <c r="BO1003" s="4">
        <v>1</v>
      </c>
      <c r="BP1003" s="8">
        <v>113.9</v>
      </c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544</v>
      </c>
      <c r="BX1003" s="2" t="s">
        <v>402</v>
      </c>
      <c r="BY1003" s="2" t="s">
        <v>112</v>
      </c>
      <c r="BZ1003" s="2" t="s">
        <v>100</v>
      </c>
    </row>
    <row r="1004">
      <c r="A1004" s="2" t="s">
        <v>3417</v>
      </c>
      <c r="B1004" s="2" t="s">
        <v>87</v>
      </c>
      <c r="C1004" s="2" t="s">
        <v>3381</v>
      </c>
      <c r="D1004" s="2" t="s">
        <v>89</v>
      </c>
      <c r="E1004" s="2" t="s">
        <v>3382</v>
      </c>
      <c r="F1004" s="2" t="s">
        <v>3383</v>
      </c>
      <c r="G1004" s="2" t="s">
        <v>3384</v>
      </c>
      <c r="H1004" s="2" t="s">
        <v>640</v>
      </c>
      <c r="I1004" s="2" t="s">
        <v>3385</v>
      </c>
      <c r="J1004" s="2" t="s">
        <v>114</v>
      </c>
      <c r="K1004" s="2" t="s">
        <v>763</v>
      </c>
      <c r="L1004" s="3">
        <v>89.99</v>
      </c>
      <c r="M1004" s="3">
        <v>94.49</v>
      </c>
      <c r="N1004" s="3">
        <v>179.99</v>
      </c>
      <c r="O1004" s="2" t="s">
        <v>97</v>
      </c>
      <c r="P1004" s="2" t="s">
        <v>281</v>
      </c>
      <c r="Q1004" s="2" t="s">
        <v>99</v>
      </c>
      <c r="R1004" s="2" t="s">
        <v>100</v>
      </c>
      <c r="S1004" s="2" t="s">
        <v>3418</v>
      </c>
      <c r="T1004" s="2" t="s">
        <v>100</v>
      </c>
      <c r="U1004" s="2" t="s">
        <v>3387</v>
      </c>
      <c r="V1004" s="2" t="s">
        <v>632</v>
      </c>
      <c r="W1004" s="2" t="s">
        <v>244</v>
      </c>
      <c r="X1004" s="2" t="s">
        <v>285</v>
      </c>
      <c r="Y1004" s="2" t="s">
        <v>1855</v>
      </c>
      <c r="Z1004" s="4">
        <v>1020</v>
      </c>
      <c r="AA1004" s="4">
        <f>=ROUNDDOWN(24.2857142857143,0)</f>
      </c>
      <c r="AB1004" s="5">
        <v>42</v>
      </c>
      <c r="AC1004" s="2" t="s">
        <v>400</v>
      </c>
      <c r="AD1004" s="4">
        <v>200</v>
      </c>
      <c r="AE1004" s="4">
        <v>930</v>
      </c>
      <c r="AF1004" s="6">
        <v>65</v>
      </c>
      <c r="AG1004" s="6">
        <v>48</v>
      </c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>
        <v>1</v>
      </c>
      <c r="AW1004" s="8">
        <v>113.9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>
        <v>0.0601</v>
      </c>
      <c r="BJ1004" s="4">
        <v>25</v>
      </c>
      <c r="BK1004" s="8">
        <v>2431.58</v>
      </c>
      <c r="BL1004" s="2" t="s">
        <v>3419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3420</v>
      </c>
      <c r="BX1004" s="2" t="s">
        <v>3421</v>
      </c>
      <c r="BY1004" s="2" t="s">
        <v>112</v>
      </c>
      <c r="BZ1004" s="2" t="s">
        <v>100</v>
      </c>
    </row>
    <row r="1005">
      <c r="A1005" s="2" t="s">
        <v>3422</v>
      </c>
      <c r="B1005" s="2" t="s">
        <v>87</v>
      </c>
      <c r="C1005" s="2" t="s">
        <v>3381</v>
      </c>
      <c r="D1005" s="2" t="s">
        <v>89</v>
      </c>
      <c r="E1005" s="2" t="s">
        <v>3382</v>
      </c>
      <c r="F1005" s="2" t="s">
        <v>3383</v>
      </c>
      <c r="G1005" s="2" t="s">
        <v>3384</v>
      </c>
      <c r="H1005" s="2" t="s">
        <v>640</v>
      </c>
      <c r="I1005" s="2" t="s">
        <v>3385</v>
      </c>
      <c r="J1005" s="2" t="s">
        <v>120</v>
      </c>
      <c r="K1005" s="2" t="s">
        <v>763</v>
      </c>
      <c r="L1005" s="3">
        <v>98.99</v>
      </c>
      <c r="M1005" s="3">
        <v>103.94</v>
      </c>
      <c r="N1005" s="3">
        <v>199.99</v>
      </c>
      <c r="O1005" s="2" t="s">
        <v>97</v>
      </c>
      <c r="P1005" s="2" t="s">
        <v>281</v>
      </c>
      <c r="Q1005" s="2" t="s">
        <v>99</v>
      </c>
      <c r="R1005" s="2" t="s">
        <v>100</v>
      </c>
      <c r="S1005" s="2" t="s">
        <v>3418</v>
      </c>
      <c r="T1005" s="2" t="s">
        <v>100</v>
      </c>
      <c r="U1005" s="2" t="s">
        <v>3387</v>
      </c>
      <c r="V1005" s="2" t="s">
        <v>632</v>
      </c>
      <c r="W1005" s="2" t="s">
        <v>244</v>
      </c>
      <c r="X1005" s="2" t="s">
        <v>285</v>
      </c>
      <c r="Y1005" s="2" t="s">
        <v>1855</v>
      </c>
      <c r="Z1005" s="4">
        <v>398</v>
      </c>
      <c r="AA1005" s="4">
        <f>=ROUNDDOWN(11.3714285714286,0)</f>
      </c>
      <c r="AB1005" s="5">
        <v>35</v>
      </c>
      <c r="AC1005" s="2" t="s">
        <v>400</v>
      </c>
      <c r="AD1005" s="4">
        <v>400</v>
      </c>
      <c r="AE1005" s="4">
        <v>1120</v>
      </c>
      <c r="AF1005" s="6">
        <v>65</v>
      </c>
      <c r="AG1005" s="6">
        <v>48</v>
      </c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>
        <v>1</v>
      </c>
      <c r="AQ1005" s="8">
        <v>113.9</v>
      </c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>
        <v>1</v>
      </c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 t="s">
        <v>100</v>
      </c>
      <c r="BJ1005" s="4">
        <v>38</v>
      </c>
      <c r="BK1005" s="8">
        <v>4326.59</v>
      </c>
      <c r="BL1005" s="2" t="s">
        <v>3423</v>
      </c>
      <c r="BM1005" s="7">
        <v>0.0263</v>
      </c>
      <c r="BN1005" s="7">
        <v>0.0263</v>
      </c>
      <c r="BO1005" s="4">
        <v>1</v>
      </c>
      <c r="BP1005" s="8">
        <v>113.9</v>
      </c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3420</v>
      </c>
      <c r="BX1005" s="2" t="s">
        <v>2069</v>
      </c>
      <c r="BY1005" s="2" t="s">
        <v>112</v>
      </c>
      <c r="BZ1005" s="2" t="s">
        <v>100</v>
      </c>
    </row>
    <row r="1006">
      <c r="A1006" s="2" t="s">
        <v>3424</v>
      </c>
      <c r="B1006" s="2" t="s">
        <v>87</v>
      </c>
      <c r="C1006" s="2" t="s">
        <v>3381</v>
      </c>
      <c r="D1006" s="2" t="s">
        <v>89</v>
      </c>
      <c r="E1006" s="2" t="s">
        <v>3382</v>
      </c>
      <c r="F1006" s="2" t="s">
        <v>3383</v>
      </c>
      <c r="G1006" s="2" t="s">
        <v>3384</v>
      </c>
      <c r="H1006" s="2" t="s">
        <v>640</v>
      </c>
      <c r="I1006" s="2" t="s">
        <v>3385</v>
      </c>
      <c r="J1006" s="2" t="s">
        <v>124</v>
      </c>
      <c r="K1006" s="2" t="s">
        <v>763</v>
      </c>
      <c r="L1006" s="3">
        <v>98.99</v>
      </c>
      <c r="M1006" s="3">
        <v>103.94</v>
      </c>
      <c r="N1006" s="3">
        <v>199.99</v>
      </c>
      <c r="O1006" s="2" t="s">
        <v>97</v>
      </c>
      <c r="P1006" s="2" t="s">
        <v>281</v>
      </c>
      <c r="Q1006" s="2" t="s">
        <v>99</v>
      </c>
      <c r="R1006" s="2" t="s">
        <v>100</v>
      </c>
      <c r="S1006" s="2" t="s">
        <v>3418</v>
      </c>
      <c r="T1006" s="2" t="s">
        <v>100</v>
      </c>
      <c r="U1006" s="2" t="s">
        <v>3387</v>
      </c>
      <c r="V1006" s="2" t="s">
        <v>632</v>
      </c>
      <c r="W1006" s="2" t="s">
        <v>244</v>
      </c>
      <c r="X1006" s="2" t="s">
        <v>285</v>
      </c>
      <c r="Y1006" s="2" t="s">
        <v>1855</v>
      </c>
      <c r="Z1006" s="4">
        <v>462</v>
      </c>
      <c r="AA1006" s="4">
        <f>=ROUNDDOWN(21,0)</f>
      </c>
      <c r="AB1006" s="5">
        <v>22</v>
      </c>
      <c r="AC1006" s="2" t="s">
        <v>400</v>
      </c>
      <c r="AD1006" s="4">
        <v>100</v>
      </c>
      <c r="AE1006" s="4">
        <v>600</v>
      </c>
      <c r="AF1006" s="6">
        <v>65</v>
      </c>
      <c r="AG1006" s="6">
        <v>48</v>
      </c>
      <c r="AH1006" s="7">
        <v>1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/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 t="s">
        <v>100</v>
      </c>
      <c r="BJ1006" s="4">
        <v>16</v>
      </c>
      <c r="BK1006" s="8">
        <v>1773.94</v>
      </c>
      <c r="BL1006" s="2" t="s">
        <v>3425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1159</v>
      </c>
      <c r="BX1006" s="2" t="s">
        <v>144</v>
      </c>
      <c r="BY1006" s="2" t="s">
        <v>112</v>
      </c>
      <c r="BZ1006" s="2" t="s">
        <v>100</v>
      </c>
    </row>
    <row r="1007">
      <c r="A1007" s="2" t="s">
        <v>3426</v>
      </c>
      <c r="B1007" s="2" t="s">
        <v>87</v>
      </c>
      <c r="C1007" s="2" t="s">
        <v>3381</v>
      </c>
      <c r="D1007" s="2" t="s">
        <v>89</v>
      </c>
      <c r="E1007" s="2" t="s">
        <v>3382</v>
      </c>
      <c r="F1007" s="2" t="s">
        <v>3383</v>
      </c>
      <c r="G1007" s="2" t="s">
        <v>3384</v>
      </c>
      <c r="H1007" s="2" t="s">
        <v>640</v>
      </c>
      <c r="I1007" s="2" t="s">
        <v>3385</v>
      </c>
      <c r="J1007" s="2" t="s">
        <v>114</v>
      </c>
      <c r="K1007" s="2" t="s">
        <v>185</v>
      </c>
      <c r="L1007" s="3">
        <v>89.99</v>
      </c>
      <c r="M1007" s="3">
        <v>94.49</v>
      </c>
      <c r="N1007" s="3">
        <v>179.99</v>
      </c>
      <c r="O1007" s="2" t="s">
        <v>97</v>
      </c>
      <c r="P1007" s="2" t="s">
        <v>98</v>
      </c>
      <c r="Q1007" s="2" t="s">
        <v>99</v>
      </c>
      <c r="R1007" s="2" t="s">
        <v>100</v>
      </c>
      <c r="S1007" s="2" t="s">
        <v>3427</v>
      </c>
      <c r="T1007" s="2" t="s">
        <v>100</v>
      </c>
      <c r="U1007" s="2" t="s">
        <v>3387</v>
      </c>
      <c r="V1007" s="2" t="s">
        <v>632</v>
      </c>
      <c r="W1007" s="2" t="s">
        <v>244</v>
      </c>
      <c r="X1007" s="2" t="s">
        <v>285</v>
      </c>
      <c r="Y1007" s="2" t="s">
        <v>3388</v>
      </c>
      <c r="Z1007" s="4">
        <v>286</v>
      </c>
      <c r="AA1007" s="4">
        <f>=ROUNDDOWN(22,0)</f>
      </c>
      <c r="AB1007" s="5">
        <v>13</v>
      </c>
      <c r="AC1007" s="2" t="s">
        <v>429</v>
      </c>
      <c r="AD1007" s="4">
        <v>409</v>
      </c>
      <c r="AE1007" s="4">
        <v>409</v>
      </c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>
        <v>1</v>
      </c>
      <c r="AQ1007" s="8">
        <v>105.68</v>
      </c>
      <c r="AR1007" s="4"/>
      <c r="AS1007" s="8"/>
      <c r="AT1007" s="7"/>
      <c r="AU1007" s="7"/>
      <c r="AV1007" s="4">
        <v>1</v>
      </c>
      <c r="AW1007" s="8">
        <v>105.68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>
        <v>1</v>
      </c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>
        <v>0.0558</v>
      </c>
      <c r="BJ1007" s="4">
        <v>12</v>
      </c>
      <c r="BK1007" s="8">
        <v>1172.4</v>
      </c>
      <c r="BL1007" s="2" t="s">
        <v>3428</v>
      </c>
      <c r="BM1007" s="7">
        <v>0.0833</v>
      </c>
      <c r="BN1007" s="7">
        <v>0.0901</v>
      </c>
      <c r="BO1007" s="4">
        <v>1</v>
      </c>
      <c r="BP1007" s="8">
        <v>105.68</v>
      </c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2368</v>
      </c>
      <c r="BX1007" s="2" t="s">
        <v>1406</v>
      </c>
      <c r="BY1007" s="2" t="s">
        <v>112</v>
      </c>
      <c r="BZ1007" s="2" t="s">
        <v>100</v>
      </c>
    </row>
    <row r="1008">
      <c r="A1008" s="2" t="s">
        <v>3429</v>
      </c>
      <c r="B1008" s="2" t="s">
        <v>87</v>
      </c>
      <c r="C1008" s="2" t="s">
        <v>3381</v>
      </c>
      <c r="D1008" s="2" t="s">
        <v>89</v>
      </c>
      <c r="E1008" s="2" t="s">
        <v>3382</v>
      </c>
      <c r="F1008" s="2" t="s">
        <v>3383</v>
      </c>
      <c r="G1008" s="2" t="s">
        <v>3384</v>
      </c>
      <c r="H1008" s="2" t="s">
        <v>640</v>
      </c>
      <c r="I1008" s="2" t="s">
        <v>3385</v>
      </c>
      <c r="J1008" s="2" t="s">
        <v>120</v>
      </c>
      <c r="K1008" s="2" t="s">
        <v>185</v>
      </c>
      <c r="L1008" s="3">
        <v>98.99</v>
      </c>
      <c r="M1008" s="3">
        <v>103.94</v>
      </c>
      <c r="N1008" s="3">
        <v>199.99</v>
      </c>
      <c r="O1008" s="2" t="s">
        <v>97</v>
      </c>
      <c r="P1008" s="2" t="s">
        <v>98</v>
      </c>
      <c r="Q1008" s="2" t="s">
        <v>99</v>
      </c>
      <c r="R1008" s="2" t="s">
        <v>100</v>
      </c>
      <c r="S1008" s="2" t="s">
        <v>3427</v>
      </c>
      <c r="T1008" s="2" t="s">
        <v>100</v>
      </c>
      <c r="U1008" s="2" t="s">
        <v>3387</v>
      </c>
      <c r="V1008" s="2" t="s">
        <v>632</v>
      </c>
      <c r="W1008" s="2" t="s">
        <v>244</v>
      </c>
      <c r="X1008" s="2" t="s">
        <v>285</v>
      </c>
      <c r="Y1008" s="2" t="s">
        <v>3388</v>
      </c>
      <c r="Z1008" s="4">
        <v>393</v>
      </c>
      <c r="AA1008" s="4">
        <f>=ROUNDDOWN(39.3,0)</f>
      </c>
      <c r="AB1008" s="5">
        <v>10</v>
      </c>
      <c r="AC1008" s="2" t="s">
        <v>429</v>
      </c>
      <c r="AD1008" s="4">
        <v>141</v>
      </c>
      <c r="AE1008" s="4">
        <v>141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 t="s">
        <v>100</v>
      </c>
      <c r="AW1008" s="8" t="s">
        <v>100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/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 t="s">
        <v>100</v>
      </c>
      <c r="BJ1008" s="4">
        <v>3</v>
      </c>
      <c r="BK1008" s="8">
        <v>333.4</v>
      </c>
      <c r="BL1008" s="2" t="s">
        <v>919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2368</v>
      </c>
      <c r="BX1008" s="2" t="s">
        <v>3430</v>
      </c>
      <c r="BY1008" s="2" t="s">
        <v>112</v>
      </c>
      <c r="BZ1008" s="2" t="s">
        <v>100</v>
      </c>
    </row>
    <row r="1009">
      <c r="A1009" s="2" t="s">
        <v>3431</v>
      </c>
      <c r="B1009" s="2" t="s">
        <v>87</v>
      </c>
      <c r="C1009" s="2" t="s">
        <v>3381</v>
      </c>
      <c r="D1009" s="2" t="s">
        <v>89</v>
      </c>
      <c r="E1009" s="2" t="s">
        <v>3382</v>
      </c>
      <c r="F1009" s="2" t="s">
        <v>3383</v>
      </c>
      <c r="G1009" s="2" t="s">
        <v>3384</v>
      </c>
      <c r="H1009" s="2" t="s">
        <v>640</v>
      </c>
      <c r="I1009" s="2" t="s">
        <v>3385</v>
      </c>
      <c r="J1009" s="2" t="s">
        <v>124</v>
      </c>
      <c r="K1009" s="2" t="s">
        <v>185</v>
      </c>
      <c r="L1009" s="3">
        <v>98.99</v>
      </c>
      <c r="M1009" s="3">
        <v>103.94</v>
      </c>
      <c r="N1009" s="3">
        <v>199.99</v>
      </c>
      <c r="O1009" s="2" t="s">
        <v>97</v>
      </c>
      <c r="P1009" s="2" t="s">
        <v>98</v>
      </c>
      <c r="Q1009" s="2" t="s">
        <v>99</v>
      </c>
      <c r="R1009" s="2" t="s">
        <v>100</v>
      </c>
      <c r="S1009" s="2" t="s">
        <v>3427</v>
      </c>
      <c r="T1009" s="2" t="s">
        <v>100</v>
      </c>
      <c r="U1009" s="2" t="s">
        <v>3387</v>
      </c>
      <c r="V1009" s="2" t="s">
        <v>632</v>
      </c>
      <c r="W1009" s="2" t="s">
        <v>244</v>
      </c>
      <c r="X1009" s="2" t="s">
        <v>285</v>
      </c>
      <c r="Y1009" s="2" t="s">
        <v>3388</v>
      </c>
      <c r="Z1009" s="4">
        <v>321</v>
      </c>
      <c r="AA1009" s="4">
        <f>=ROUNDDOWN(45.8571428571429,0)</f>
      </c>
      <c r="AB1009" s="5">
        <v>7</v>
      </c>
      <c r="AC1009" s="2" t="s">
        <v>429</v>
      </c>
      <c r="AD1009" s="4">
        <v>52</v>
      </c>
      <c r="AE1009" s="4">
        <v>52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/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7</v>
      </c>
      <c r="BK1009" s="8">
        <v>705.53</v>
      </c>
      <c r="BL1009" s="2" t="s">
        <v>3432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2368</v>
      </c>
      <c r="BX1009" s="2" t="s">
        <v>3433</v>
      </c>
      <c r="BY1009" s="2" t="s">
        <v>112</v>
      </c>
      <c r="BZ1009" s="2" t="s">
        <v>100</v>
      </c>
    </row>
    <row r="1010">
      <c r="A1010" s="2" t="s">
        <v>3434</v>
      </c>
      <c r="B1010" s="2" t="s">
        <v>87</v>
      </c>
      <c r="C1010" s="2" t="s">
        <v>3381</v>
      </c>
      <c r="D1010" s="2" t="s">
        <v>89</v>
      </c>
      <c r="E1010" s="2" t="s">
        <v>3382</v>
      </c>
      <c r="F1010" s="2" t="s">
        <v>3435</v>
      </c>
      <c r="G1010" s="2" t="s">
        <v>3436</v>
      </c>
      <c r="H1010" s="2" t="s">
        <v>3437</v>
      </c>
      <c r="I1010" s="2" t="s">
        <v>3438</v>
      </c>
      <c r="J1010" s="2" t="s">
        <v>114</v>
      </c>
      <c r="K1010" s="2" t="s">
        <v>129</v>
      </c>
      <c r="L1010" s="3">
        <v>88.19</v>
      </c>
      <c r="M1010" s="3">
        <v>92.6</v>
      </c>
      <c r="N1010" s="3">
        <v>179.99</v>
      </c>
      <c r="O1010" s="2" t="s">
        <v>97</v>
      </c>
      <c r="P1010" s="2" t="s">
        <v>242</v>
      </c>
      <c r="Q1010" s="2" t="s">
        <v>99</v>
      </c>
      <c r="R1010" s="2" t="s">
        <v>100</v>
      </c>
      <c r="S1010" s="2" t="s">
        <v>3439</v>
      </c>
      <c r="T1010" s="2" t="s">
        <v>100</v>
      </c>
      <c r="U1010" s="2" t="s">
        <v>3387</v>
      </c>
      <c r="V1010" s="2" t="s">
        <v>645</v>
      </c>
      <c r="W1010" s="2" t="s">
        <v>104</v>
      </c>
      <c r="X1010" s="2" t="s">
        <v>3440</v>
      </c>
      <c r="Y1010" s="2" t="s">
        <v>3372</v>
      </c>
      <c r="Z1010" s="4">
        <v>1070</v>
      </c>
      <c r="AA1010" s="4">
        <f>=ROUNDDOWN(33.4375,0)</f>
      </c>
      <c r="AB1010" s="5">
        <v>32</v>
      </c>
      <c r="AC1010" s="2" t="s">
        <v>2598</v>
      </c>
      <c r="AD1010" s="4">
        <v>30</v>
      </c>
      <c r="AE1010" s="4">
        <v>550</v>
      </c>
      <c r="AF1010" s="6">
        <v>64</v>
      </c>
      <c r="AG1010" s="6">
        <v>47</v>
      </c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>
        <v>2</v>
      </c>
      <c r="AW1010" s="8">
        <v>234.84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/>
      <c r="BC1010" s="4">
        <v>5</v>
      </c>
      <c r="BD1010" s="8">
        <v>571.84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>
        <v>0.4107</v>
      </c>
      <c r="BJ1010" s="4">
        <v>14</v>
      </c>
      <c r="BK1010" s="8">
        <v>1353.27</v>
      </c>
      <c r="BL1010" s="2" t="s">
        <v>3441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544</v>
      </c>
      <c r="BX1010" s="2" t="s">
        <v>457</v>
      </c>
      <c r="BY1010" s="2" t="s">
        <v>112</v>
      </c>
      <c r="BZ1010" s="2" t="s">
        <v>100</v>
      </c>
    </row>
    <row r="1011">
      <c r="A1011" s="2" t="s">
        <v>3442</v>
      </c>
      <c r="B1011" s="2" t="s">
        <v>87</v>
      </c>
      <c r="C1011" s="2" t="s">
        <v>3381</v>
      </c>
      <c r="D1011" s="2" t="s">
        <v>89</v>
      </c>
      <c r="E1011" s="2" t="s">
        <v>3382</v>
      </c>
      <c r="F1011" s="2" t="s">
        <v>3435</v>
      </c>
      <c r="G1011" s="2" t="s">
        <v>3436</v>
      </c>
      <c r="H1011" s="2" t="s">
        <v>3437</v>
      </c>
      <c r="I1011" s="2" t="s">
        <v>3385</v>
      </c>
      <c r="J1011" s="2" t="s">
        <v>120</v>
      </c>
      <c r="K1011" s="2" t="s">
        <v>129</v>
      </c>
      <c r="L1011" s="3">
        <v>98.99</v>
      </c>
      <c r="M1011" s="3">
        <v>103.94</v>
      </c>
      <c r="N1011" s="3">
        <v>199.99</v>
      </c>
      <c r="O1011" s="2" t="s">
        <v>97</v>
      </c>
      <c r="P1011" s="2" t="s">
        <v>242</v>
      </c>
      <c r="Q1011" s="2" t="s">
        <v>99</v>
      </c>
      <c r="R1011" s="2" t="s">
        <v>100</v>
      </c>
      <c r="S1011" s="2" t="s">
        <v>3439</v>
      </c>
      <c r="T1011" s="2" t="s">
        <v>100</v>
      </c>
      <c r="U1011" s="2" t="s">
        <v>3387</v>
      </c>
      <c r="V1011" s="2" t="s">
        <v>645</v>
      </c>
      <c r="W1011" s="2" t="s">
        <v>104</v>
      </c>
      <c r="X1011" s="2" t="s">
        <v>3440</v>
      </c>
      <c r="Y1011" s="2" t="s">
        <v>3372</v>
      </c>
      <c r="Z1011" s="4">
        <v>260</v>
      </c>
      <c r="AA1011" s="4">
        <f>=ROUNDDOWN(11.8181818181818,0)</f>
      </c>
      <c r="AB1011" s="5">
        <v>22</v>
      </c>
      <c r="AC1011" s="2" t="s">
        <v>1282</v>
      </c>
      <c r="AD1011" s="4">
        <v>350</v>
      </c>
      <c r="AE1011" s="4">
        <v>750</v>
      </c>
      <c r="AF1011" s="6">
        <v>64</v>
      </c>
      <c r="AG1011" s="6">
        <v>47</v>
      </c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>
        <v>1</v>
      </c>
      <c r="AQ1011" s="8">
        <v>117.42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0.5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28</v>
      </c>
      <c r="BK1011" s="8">
        <v>3169.29</v>
      </c>
      <c r="BL1011" s="2" t="s">
        <v>3443</v>
      </c>
      <c r="BM1011" s="7">
        <v>0.0357</v>
      </c>
      <c r="BN1011" s="7">
        <v>0.037</v>
      </c>
      <c r="BO1011" s="4">
        <v>1</v>
      </c>
      <c r="BP1011" s="8">
        <v>117.42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544</v>
      </c>
      <c r="BX1011" s="2" t="s">
        <v>196</v>
      </c>
      <c r="BY1011" s="2" t="s">
        <v>112</v>
      </c>
      <c r="BZ1011" s="2" t="s">
        <v>100</v>
      </c>
    </row>
    <row r="1012">
      <c r="A1012" s="2" t="s">
        <v>3444</v>
      </c>
      <c r="B1012" s="2" t="s">
        <v>87</v>
      </c>
      <c r="C1012" s="2" t="s">
        <v>3381</v>
      </c>
      <c r="D1012" s="2" t="s">
        <v>89</v>
      </c>
      <c r="E1012" s="2" t="s">
        <v>3382</v>
      </c>
      <c r="F1012" s="2" t="s">
        <v>3435</v>
      </c>
      <c r="G1012" s="2" t="s">
        <v>3436</v>
      </c>
      <c r="H1012" s="2" t="s">
        <v>3437</v>
      </c>
      <c r="I1012" s="2" t="s">
        <v>3385</v>
      </c>
      <c r="J1012" s="2" t="s">
        <v>124</v>
      </c>
      <c r="K1012" s="2" t="s">
        <v>129</v>
      </c>
      <c r="L1012" s="3">
        <v>98.99</v>
      </c>
      <c r="M1012" s="3">
        <v>103.94</v>
      </c>
      <c r="N1012" s="3">
        <v>199.99</v>
      </c>
      <c r="O1012" s="2" t="s">
        <v>97</v>
      </c>
      <c r="P1012" s="2" t="s">
        <v>242</v>
      </c>
      <c r="Q1012" s="2" t="s">
        <v>99</v>
      </c>
      <c r="R1012" s="2" t="s">
        <v>100</v>
      </c>
      <c r="S1012" s="2" t="s">
        <v>3439</v>
      </c>
      <c r="T1012" s="2" t="s">
        <v>100</v>
      </c>
      <c r="U1012" s="2" t="s">
        <v>3387</v>
      </c>
      <c r="V1012" s="2" t="s">
        <v>645</v>
      </c>
      <c r="W1012" s="2" t="s">
        <v>104</v>
      </c>
      <c r="X1012" s="2" t="s">
        <v>3440</v>
      </c>
      <c r="Y1012" s="2" t="s">
        <v>3372</v>
      </c>
      <c r="Z1012" s="4">
        <v>395</v>
      </c>
      <c r="AA1012" s="4">
        <f>=ROUNDDOWN(24.6875,0)</f>
      </c>
      <c r="AB1012" s="5">
        <v>16</v>
      </c>
      <c r="AC1012" s="2" t="s">
        <v>132</v>
      </c>
      <c r="AD1012" s="4">
        <v>50</v>
      </c>
      <c r="AE1012" s="4">
        <v>490</v>
      </c>
      <c r="AF1012" s="6">
        <v>64</v>
      </c>
      <c r="AG1012" s="6">
        <v>47</v>
      </c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>
        <v>1</v>
      </c>
      <c r="AQ1012" s="8">
        <v>117.42</v>
      </c>
      <c r="AR1012" s="4"/>
      <c r="AS1012" s="8"/>
      <c r="AT1012" s="7"/>
      <c r="AU1012" s="7"/>
      <c r="AV1012" s="4" t="s">
        <v>100</v>
      </c>
      <c r="AW1012" s="8" t="s">
        <v>100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0.5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 t="s">
        <v>100</v>
      </c>
      <c r="BJ1012" s="4">
        <v>15</v>
      </c>
      <c r="BK1012" s="8">
        <v>1608.52</v>
      </c>
      <c r="BL1012" s="2" t="s">
        <v>3445</v>
      </c>
      <c r="BM1012" s="7">
        <v>0.0667</v>
      </c>
      <c r="BN1012" s="7">
        <v>0.073</v>
      </c>
      <c r="BO1012" s="4">
        <v>1</v>
      </c>
      <c r="BP1012" s="8">
        <v>117.42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544</v>
      </c>
      <c r="BX1012" s="2" t="s">
        <v>621</v>
      </c>
      <c r="BY1012" s="2" t="s">
        <v>112</v>
      </c>
      <c r="BZ1012" s="2" t="s">
        <v>100</v>
      </c>
    </row>
    <row r="1013">
      <c r="A1013" s="2" t="s">
        <v>3446</v>
      </c>
      <c r="B1013" s="2" t="s">
        <v>87</v>
      </c>
      <c r="C1013" s="2" t="s">
        <v>3381</v>
      </c>
      <c r="D1013" s="2" t="s">
        <v>89</v>
      </c>
      <c r="E1013" s="2" t="s">
        <v>3382</v>
      </c>
      <c r="F1013" s="2" t="s">
        <v>3435</v>
      </c>
      <c r="G1013" s="2" t="s">
        <v>3436</v>
      </c>
      <c r="H1013" s="2" t="s">
        <v>3437</v>
      </c>
      <c r="I1013" s="2" t="s">
        <v>3385</v>
      </c>
      <c r="J1013" s="2" t="s">
        <v>114</v>
      </c>
      <c r="K1013" s="2" t="s">
        <v>96</v>
      </c>
      <c r="L1013" s="3">
        <v>88.19</v>
      </c>
      <c r="M1013" s="3">
        <v>92.6</v>
      </c>
      <c r="N1013" s="3">
        <v>179.99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3447</v>
      </c>
      <c r="T1013" s="2" t="s">
        <v>100</v>
      </c>
      <c r="U1013" s="2" t="s">
        <v>3387</v>
      </c>
      <c r="V1013" s="2" t="s">
        <v>645</v>
      </c>
      <c r="W1013" s="2" t="s">
        <v>104</v>
      </c>
      <c r="X1013" s="2" t="s">
        <v>3448</v>
      </c>
      <c r="Y1013" s="2" t="s">
        <v>3053</v>
      </c>
      <c r="Z1013" s="4">
        <v>271</v>
      </c>
      <c r="AA1013" s="4">
        <f>=ROUNDDOWN(15.9411764705882,0)</f>
      </c>
      <c r="AB1013" s="5">
        <v>17</v>
      </c>
      <c r="AC1013" s="2" t="s">
        <v>1372</v>
      </c>
      <c r="AD1013" s="4">
        <v>397</v>
      </c>
      <c r="AE1013" s="4">
        <v>397</v>
      </c>
      <c r="AF1013" s="6">
        <v>64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>
        <v>1</v>
      </c>
      <c r="AW1013" s="8">
        <v>117.42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/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>
        <v>0.2053</v>
      </c>
      <c r="BJ1013" s="4">
        <v>9</v>
      </c>
      <c r="BK1013" s="8">
        <v>835.14</v>
      </c>
      <c r="BL1013" s="2" t="s">
        <v>858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266</v>
      </c>
      <c r="BX1013" s="2" t="s">
        <v>295</v>
      </c>
      <c r="BY1013" s="2" t="s">
        <v>112</v>
      </c>
      <c r="BZ1013" s="2" t="s">
        <v>100</v>
      </c>
    </row>
    <row r="1014">
      <c r="A1014" s="2" t="s">
        <v>3449</v>
      </c>
      <c r="B1014" s="2" t="s">
        <v>87</v>
      </c>
      <c r="C1014" s="2" t="s">
        <v>3381</v>
      </c>
      <c r="D1014" s="2" t="s">
        <v>89</v>
      </c>
      <c r="E1014" s="2" t="s">
        <v>3382</v>
      </c>
      <c r="F1014" s="2" t="s">
        <v>3435</v>
      </c>
      <c r="G1014" s="2" t="s">
        <v>3436</v>
      </c>
      <c r="H1014" s="2" t="s">
        <v>3437</v>
      </c>
      <c r="I1014" s="2" t="s">
        <v>3385</v>
      </c>
      <c r="J1014" s="2" t="s">
        <v>120</v>
      </c>
      <c r="K1014" s="2" t="s">
        <v>96</v>
      </c>
      <c r="L1014" s="3">
        <v>98.99</v>
      </c>
      <c r="M1014" s="3">
        <v>103.94</v>
      </c>
      <c r="N1014" s="3">
        <v>199.99</v>
      </c>
      <c r="O1014" s="2" t="s">
        <v>97</v>
      </c>
      <c r="P1014" s="2" t="s">
        <v>98</v>
      </c>
      <c r="Q1014" s="2" t="s">
        <v>99</v>
      </c>
      <c r="R1014" s="2" t="s">
        <v>100</v>
      </c>
      <c r="S1014" s="2" t="s">
        <v>3447</v>
      </c>
      <c r="T1014" s="2" t="s">
        <v>100</v>
      </c>
      <c r="U1014" s="2" t="s">
        <v>3387</v>
      </c>
      <c r="V1014" s="2" t="s">
        <v>645</v>
      </c>
      <c r="W1014" s="2" t="s">
        <v>104</v>
      </c>
      <c r="X1014" s="2" t="s">
        <v>3448</v>
      </c>
      <c r="Y1014" s="2" t="s">
        <v>3053</v>
      </c>
      <c r="Z1014" s="4">
        <v>198</v>
      </c>
      <c r="AA1014" s="4">
        <f>=ROUNDDOWN(28.2857142857143,0)</f>
      </c>
      <c r="AB1014" s="5">
        <v>7</v>
      </c>
      <c r="AC1014" s="2" t="s">
        <v>1372</v>
      </c>
      <c r="AD1014" s="4">
        <v>221</v>
      </c>
      <c r="AE1014" s="4">
        <v>221</v>
      </c>
      <c r="AF1014" s="6">
        <v>64</v>
      </c>
      <c r="AG1014" s="6"/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>
        <v>1</v>
      </c>
      <c r="AQ1014" s="8">
        <v>117.42</v>
      </c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>
        <v>1</v>
      </c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 t="s">
        <v>100</v>
      </c>
      <c r="BJ1014" s="4">
        <v>7</v>
      </c>
      <c r="BK1014" s="8">
        <v>801.02</v>
      </c>
      <c r="BL1014" s="2" t="s">
        <v>3450</v>
      </c>
      <c r="BM1014" s="7">
        <v>0.1429</v>
      </c>
      <c r="BN1014" s="7">
        <v>0.1466</v>
      </c>
      <c r="BO1014" s="4">
        <v>1</v>
      </c>
      <c r="BP1014" s="8">
        <v>117.42</v>
      </c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266</v>
      </c>
      <c r="BX1014" s="2" t="s">
        <v>2448</v>
      </c>
      <c r="BY1014" s="2" t="s">
        <v>112</v>
      </c>
      <c r="BZ1014" s="2" t="s">
        <v>100</v>
      </c>
    </row>
    <row r="1015">
      <c r="A1015" s="2" t="s">
        <v>3451</v>
      </c>
      <c r="B1015" s="2" t="s">
        <v>87</v>
      </c>
      <c r="C1015" s="2" t="s">
        <v>3381</v>
      </c>
      <c r="D1015" s="2" t="s">
        <v>89</v>
      </c>
      <c r="E1015" s="2" t="s">
        <v>3382</v>
      </c>
      <c r="F1015" s="2" t="s">
        <v>3435</v>
      </c>
      <c r="G1015" s="2" t="s">
        <v>3436</v>
      </c>
      <c r="H1015" s="2" t="s">
        <v>3437</v>
      </c>
      <c r="I1015" s="2" t="s">
        <v>3385</v>
      </c>
      <c r="J1015" s="2" t="s">
        <v>124</v>
      </c>
      <c r="K1015" s="2" t="s">
        <v>96</v>
      </c>
      <c r="L1015" s="3">
        <v>98.99</v>
      </c>
      <c r="M1015" s="3">
        <v>103.94</v>
      </c>
      <c r="N1015" s="3">
        <v>199.99</v>
      </c>
      <c r="O1015" s="2" t="s">
        <v>97</v>
      </c>
      <c r="P1015" s="2" t="s">
        <v>98</v>
      </c>
      <c r="Q1015" s="2" t="s">
        <v>99</v>
      </c>
      <c r="R1015" s="2" t="s">
        <v>100</v>
      </c>
      <c r="S1015" s="2" t="s">
        <v>3447</v>
      </c>
      <c r="T1015" s="2" t="s">
        <v>100</v>
      </c>
      <c r="U1015" s="2" t="s">
        <v>3387</v>
      </c>
      <c r="V1015" s="2" t="s">
        <v>645</v>
      </c>
      <c r="W1015" s="2" t="s">
        <v>104</v>
      </c>
      <c r="X1015" s="2" t="s">
        <v>3448</v>
      </c>
      <c r="Y1015" s="2" t="s">
        <v>3053</v>
      </c>
      <c r="Z1015" s="4">
        <v>135</v>
      </c>
      <c r="AA1015" s="4">
        <f>=ROUNDDOWN(45,0)</f>
      </c>
      <c r="AB1015" s="5">
        <v>3</v>
      </c>
      <c r="AC1015" s="2" t="s">
        <v>100</v>
      </c>
      <c r="AD1015" s="4"/>
      <c r="AE1015" s="4"/>
      <c r="AF1015" s="6">
        <v>64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/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3</v>
      </c>
      <c r="BK1015" s="8">
        <v>360.67</v>
      </c>
      <c r="BL1015" s="2" t="s">
        <v>927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266</v>
      </c>
      <c r="BX1015" s="2" t="s">
        <v>370</v>
      </c>
      <c r="BY1015" s="2" t="s">
        <v>112</v>
      </c>
      <c r="BZ1015" s="2" t="s">
        <v>100</v>
      </c>
    </row>
    <row r="1016">
      <c r="A1016" s="2" t="s">
        <v>3452</v>
      </c>
      <c r="B1016" s="2" t="s">
        <v>87</v>
      </c>
      <c r="C1016" s="2" t="s">
        <v>3381</v>
      </c>
      <c r="D1016" s="2" t="s">
        <v>89</v>
      </c>
      <c r="E1016" s="2" t="s">
        <v>3382</v>
      </c>
      <c r="F1016" s="2" t="s">
        <v>3435</v>
      </c>
      <c r="G1016" s="2" t="s">
        <v>3436</v>
      </c>
      <c r="H1016" s="2" t="s">
        <v>3437</v>
      </c>
      <c r="I1016" s="2" t="s">
        <v>3385</v>
      </c>
      <c r="J1016" s="2" t="s">
        <v>114</v>
      </c>
      <c r="K1016" s="2" t="s">
        <v>175</v>
      </c>
      <c r="L1016" s="3">
        <v>88.19</v>
      </c>
      <c r="M1016" s="3">
        <v>92.6</v>
      </c>
      <c r="N1016" s="3">
        <v>179.99</v>
      </c>
      <c r="O1016" s="2" t="s">
        <v>97</v>
      </c>
      <c r="P1016" s="2" t="s">
        <v>281</v>
      </c>
      <c r="Q1016" s="2" t="s">
        <v>99</v>
      </c>
      <c r="R1016" s="2" t="s">
        <v>100</v>
      </c>
      <c r="S1016" s="2" t="s">
        <v>3453</v>
      </c>
      <c r="T1016" s="2" t="s">
        <v>100</v>
      </c>
      <c r="U1016" s="2" t="s">
        <v>3387</v>
      </c>
      <c r="V1016" s="2" t="s">
        <v>645</v>
      </c>
      <c r="W1016" s="2" t="s">
        <v>104</v>
      </c>
      <c r="X1016" s="2" t="s">
        <v>3440</v>
      </c>
      <c r="Y1016" s="2" t="s">
        <v>1140</v>
      </c>
      <c r="Z1016" s="4">
        <v>551</v>
      </c>
      <c r="AA1016" s="4">
        <f>=ROUNDDOWN(19,0)</f>
      </c>
      <c r="AB1016" s="5">
        <v>29</v>
      </c>
      <c r="AC1016" s="2" t="s">
        <v>1282</v>
      </c>
      <c r="AD1016" s="4">
        <v>220</v>
      </c>
      <c r="AE1016" s="4">
        <v>760</v>
      </c>
      <c r="AF1016" s="6">
        <v>64</v>
      </c>
      <c r="AG1016" s="6">
        <v>47</v>
      </c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>
        <v>1</v>
      </c>
      <c r="AW1016" s="8">
        <v>113.9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/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>
        <v>0.1992</v>
      </c>
      <c r="BJ1016" s="4">
        <v>19</v>
      </c>
      <c r="BK1016" s="8">
        <v>1869.71</v>
      </c>
      <c r="BL1016" s="2" t="s">
        <v>3454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544</v>
      </c>
      <c r="BX1016" s="2" t="s">
        <v>600</v>
      </c>
      <c r="BY1016" s="2" t="s">
        <v>112</v>
      </c>
      <c r="BZ1016" s="2" t="s">
        <v>100</v>
      </c>
    </row>
    <row r="1017">
      <c r="A1017" s="2" t="s">
        <v>3455</v>
      </c>
      <c r="B1017" s="2" t="s">
        <v>87</v>
      </c>
      <c r="C1017" s="2" t="s">
        <v>3381</v>
      </c>
      <c r="D1017" s="2" t="s">
        <v>89</v>
      </c>
      <c r="E1017" s="2" t="s">
        <v>3382</v>
      </c>
      <c r="F1017" s="2" t="s">
        <v>3435</v>
      </c>
      <c r="G1017" s="2" t="s">
        <v>3436</v>
      </c>
      <c r="H1017" s="2" t="s">
        <v>3437</v>
      </c>
      <c r="I1017" s="2" t="s">
        <v>3385</v>
      </c>
      <c r="J1017" s="2" t="s">
        <v>120</v>
      </c>
      <c r="K1017" s="2" t="s">
        <v>175</v>
      </c>
      <c r="L1017" s="3">
        <v>98.99</v>
      </c>
      <c r="M1017" s="3">
        <v>103.94</v>
      </c>
      <c r="N1017" s="3">
        <v>199.99</v>
      </c>
      <c r="O1017" s="2" t="s">
        <v>97</v>
      </c>
      <c r="P1017" s="2" t="s">
        <v>281</v>
      </c>
      <c r="Q1017" s="2" t="s">
        <v>99</v>
      </c>
      <c r="R1017" s="2" t="s">
        <v>100</v>
      </c>
      <c r="S1017" s="2" t="s">
        <v>3453</v>
      </c>
      <c r="T1017" s="2" t="s">
        <v>100</v>
      </c>
      <c r="U1017" s="2" t="s">
        <v>3387</v>
      </c>
      <c r="V1017" s="2" t="s">
        <v>645</v>
      </c>
      <c r="W1017" s="2" t="s">
        <v>104</v>
      </c>
      <c r="X1017" s="2" t="s">
        <v>3440</v>
      </c>
      <c r="Y1017" s="2" t="s">
        <v>1140</v>
      </c>
      <c r="Z1017" s="4">
        <v>487</v>
      </c>
      <c r="AA1017" s="4">
        <f>=ROUNDDOWN(15.7096774193548,0)</f>
      </c>
      <c r="AB1017" s="5">
        <v>31</v>
      </c>
      <c r="AC1017" s="2" t="s">
        <v>1282</v>
      </c>
      <c r="AD1017" s="4">
        <v>240</v>
      </c>
      <c r="AE1017" s="4">
        <v>710</v>
      </c>
      <c r="AF1017" s="6">
        <v>64</v>
      </c>
      <c r="AG1017" s="6">
        <v>47</v>
      </c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/>
      <c r="AQ1017" s="8"/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/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25</v>
      </c>
      <c r="BK1017" s="8">
        <v>2813.34</v>
      </c>
      <c r="BL1017" s="2" t="s">
        <v>3456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544</v>
      </c>
      <c r="BX1017" s="2" t="s">
        <v>590</v>
      </c>
      <c r="BY1017" s="2" t="s">
        <v>112</v>
      </c>
      <c r="BZ1017" s="2" t="s">
        <v>100</v>
      </c>
    </row>
    <row r="1018">
      <c r="A1018" s="2" t="s">
        <v>3457</v>
      </c>
      <c r="B1018" s="2" t="s">
        <v>87</v>
      </c>
      <c r="C1018" s="2" t="s">
        <v>3381</v>
      </c>
      <c r="D1018" s="2" t="s">
        <v>89</v>
      </c>
      <c r="E1018" s="2" t="s">
        <v>3382</v>
      </c>
      <c r="F1018" s="2" t="s">
        <v>3435</v>
      </c>
      <c r="G1018" s="2" t="s">
        <v>3436</v>
      </c>
      <c r="H1018" s="2" t="s">
        <v>3437</v>
      </c>
      <c r="I1018" s="2" t="s">
        <v>3385</v>
      </c>
      <c r="J1018" s="2" t="s">
        <v>124</v>
      </c>
      <c r="K1018" s="2" t="s">
        <v>175</v>
      </c>
      <c r="L1018" s="3">
        <v>98.99</v>
      </c>
      <c r="M1018" s="3">
        <v>103.94</v>
      </c>
      <c r="N1018" s="3">
        <v>199.99</v>
      </c>
      <c r="O1018" s="2" t="s">
        <v>97</v>
      </c>
      <c r="P1018" s="2" t="s">
        <v>281</v>
      </c>
      <c r="Q1018" s="2" t="s">
        <v>99</v>
      </c>
      <c r="R1018" s="2" t="s">
        <v>100</v>
      </c>
      <c r="S1018" s="2" t="s">
        <v>3453</v>
      </c>
      <c r="T1018" s="2" t="s">
        <v>100</v>
      </c>
      <c r="U1018" s="2" t="s">
        <v>3387</v>
      </c>
      <c r="V1018" s="2" t="s">
        <v>645</v>
      </c>
      <c r="W1018" s="2" t="s">
        <v>104</v>
      </c>
      <c r="X1018" s="2" t="s">
        <v>3440</v>
      </c>
      <c r="Y1018" s="2" t="s">
        <v>1140</v>
      </c>
      <c r="Z1018" s="4">
        <v>358</v>
      </c>
      <c r="AA1018" s="4">
        <f>=ROUNDDOWN(19.8888888888889,0)</f>
      </c>
      <c r="AB1018" s="5">
        <v>18</v>
      </c>
      <c r="AC1018" s="2" t="s">
        <v>1962</v>
      </c>
      <c r="AD1018" s="4">
        <v>100</v>
      </c>
      <c r="AE1018" s="4">
        <v>530</v>
      </c>
      <c r="AF1018" s="6">
        <v>64</v>
      </c>
      <c r="AG1018" s="6">
        <v>47</v>
      </c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>
        <v>1</v>
      </c>
      <c r="AQ1018" s="8">
        <v>113.9</v>
      </c>
      <c r="AR1018" s="4"/>
      <c r="AS1018" s="8"/>
      <c r="AT1018" s="7"/>
      <c r="AU1018" s="7"/>
      <c r="AV1018" s="4" t="s">
        <v>100</v>
      </c>
      <c r="AW1018" s="8" t="s">
        <v>100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1</v>
      </c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 t="s">
        <v>100</v>
      </c>
      <c r="BJ1018" s="4">
        <v>11</v>
      </c>
      <c r="BK1018" s="8">
        <v>1202.16</v>
      </c>
      <c r="BL1018" s="2" t="s">
        <v>3458</v>
      </c>
      <c r="BM1018" s="7">
        <v>0.0909</v>
      </c>
      <c r="BN1018" s="7">
        <v>0.0947</v>
      </c>
      <c r="BO1018" s="4">
        <v>1</v>
      </c>
      <c r="BP1018" s="8">
        <v>113.9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544</v>
      </c>
      <c r="BX1018" s="2" t="s">
        <v>154</v>
      </c>
      <c r="BY1018" s="2" t="s">
        <v>112</v>
      </c>
      <c r="BZ1018" s="2" t="s">
        <v>100</v>
      </c>
    </row>
    <row r="1019">
      <c r="A1019" s="2" t="s">
        <v>3459</v>
      </c>
      <c r="B1019" s="2" t="s">
        <v>87</v>
      </c>
      <c r="C1019" s="2" t="s">
        <v>3381</v>
      </c>
      <c r="D1019" s="2" t="s">
        <v>89</v>
      </c>
      <c r="E1019" s="2" t="s">
        <v>3382</v>
      </c>
      <c r="F1019" s="2" t="s">
        <v>3435</v>
      </c>
      <c r="G1019" s="2" t="s">
        <v>3436</v>
      </c>
      <c r="H1019" s="2" t="s">
        <v>3437</v>
      </c>
      <c r="I1019" s="2" t="s">
        <v>3385</v>
      </c>
      <c r="J1019" s="2" t="s">
        <v>114</v>
      </c>
      <c r="K1019" s="2" t="s">
        <v>146</v>
      </c>
      <c r="L1019" s="3">
        <v>88.19</v>
      </c>
      <c r="M1019" s="3">
        <v>92.6</v>
      </c>
      <c r="N1019" s="3">
        <v>179.99</v>
      </c>
      <c r="O1019" s="2" t="s">
        <v>97</v>
      </c>
      <c r="P1019" s="2" t="s">
        <v>98</v>
      </c>
      <c r="Q1019" s="2" t="s">
        <v>99</v>
      </c>
      <c r="R1019" s="2" t="s">
        <v>100</v>
      </c>
      <c r="S1019" s="2" t="s">
        <v>3460</v>
      </c>
      <c r="T1019" s="2" t="s">
        <v>100</v>
      </c>
      <c r="U1019" s="2" t="s">
        <v>3387</v>
      </c>
      <c r="V1019" s="2" t="s">
        <v>645</v>
      </c>
      <c r="W1019" s="2" t="s">
        <v>104</v>
      </c>
      <c r="X1019" s="2" t="s">
        <v>3448</v>
      </c>
      <c r="Y1019" s="2" t="s">
        <v>2441</v>
      </c>
      <c r="Z1019" s="4">
        <v>400</v>
      </c>
      <c r="AA1019" s="4">
        <f>=ROUNDDOWN(22.2222222222222,0)</f>
      </c>
      <c r="AB1019" s="5">
        <v>18</v>
      </c>
      <c r="AC1019" s="2" t="s">
        <v>287</v>
      </c>
      <c r="AD1019" s="4">
        <v>220</v>
      </c>
      <c r="AE1019" s="4">
        <v>720</v>
      </c>
      <c r="AF1019" s="6">
        <v>64</v>
      </c>
      <c r="AG1019" s="6"/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>
        <v>1</v>
      </c>
      <c r="AQ1019" s="8">
        <v>105.68</v>
      </c>
      <c r="AR1019" s="4"/>
      <c r="AS1019" s="8"/>
      <c r="AT1019" s="7"/>
      <c r="AU1019" s="7"/>
      <c r="AV1019" s="4">
        <v>1</v>
      </c>
      <c r="AW1019" s="8">
        <v>105.68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>
        <v>1</v>
      </c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>
        <v>0.1848</v>
      </c>
      <c r="BJ1019" s="4">
        <v>24</v>
      </c>
      <c r="BK1019" s="8">
        <v>2349.24</v>
      </c>
      <c r="BL1019" s="2" t="s">
        <v>3461</v>
      </c>
      <c r="BM1019" s="7">
        <v>0.0417</v>
      </c>
      <c r="BN1019" s="7">
        <v>0.045</v>
      </c>
      <c r="BO1019" s="4">
        <v>1</v>
      </c>
      <c r="BP1019" s="8">
        <v>105.68</v>
      </c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3420</v>
      </c>
      <c r="BX1019" s="2" t="s">
        <v>3462</v>
      </c>
      <c r="BY1019" s="2" t="s">
        <v>112</v>
      </c>
      <c r="BZ1019" s="2" t="s">
        <v>100</v>
      </c>
    </row>
    <row r="1020">
      <c r="A1020" s="2" t="s">
        <v>3463</v>
      </c>
      <c r="B1020" s="2" t="s">
        <v>87</v>
      </c>
      <c r="C1020" s="2" t="s">
        <v>3381</v>
      </c>
      <c r="D1020" s="2" t="s">
        <v>89</v>
      </c>
      <c r="E1020" s="2" t="s">
        <v>3382</v>
      </c>
      <c r="F1020" s="2" t="s">
        <v>3435</v>
      </c>
      <c r="G1020" s="2" t="s">
        <v>3436</v>
      </c>
      <c r="H1020" s="2" t="s">
        <v>3437</v>
      </c>
      <c r="I1020" s="2" t="s">
        <v>3385</v>
      </c>
      <c r="J1020" s="2" t="s">
        <v>120</v>
      </c>
      <c r="K1020" s="2" t="s">
        <v>146</v>
      </c>
      <c r="L1020" s="3">
        <v>98.99</v>
      </c>
      <c r="M1020" s="3">
        <v>103.94</v>
      </c>
      <c r="N1020" s="3">
        <v>199.99</v>
      </c>
      <c r="O1020" s="2" t="s">
        <v>97</v>
      </c>
      <c r="P1020" s="2" t="s">
        <v>98</v>
      </c>
      <c r="Q1020" s="2" t="s">
        <v>99</v>
      </c>
      <c r="R1020" s="2" t="s">
        <v>100</v>
      </c>
      <c r="S1020" s="2" t="s">
        <v>3460</v>
      </c>
      <c r="T1020" s="2" t="s">
        <v>100</v>
      </c>
      <c r="U1020" s="2" t="s">
        <v>3387</v>
      </c>
      <c r="V1020" s="2" t="s">
        <v>645</v>
      </c>
      <c r="W1020" s="2" t="s">
        <v>104</v>
      </c>
      <c r="X1020" s="2" t="s">
        <v>3448</v>
      </c>
      <c r="Y1020" s="2" t="s">
        <v>2441</v>
      </c>
      <c r="Z1020" s="4">
        <v>221</v>
      </c>
      <c r="AA1020" s="4">
        <f>=ROUNDDOWN(17,0)</f>
      </c>
      <c r="AB1020" s="5">
        <v>13</v>
      </c>
      <c r="AC1020" s="2" t="s">
        <v>287</v>
      </c>
      <c r="AD1020" s="4">
        <v>120</v>
      </c>
      <c r="AE1020" s="4">
        <v>620</v>
      </c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/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10</v>
      </c>
      <c r="BK1020" s="8">
        <v>1139</v>
      </c>
      <c r="BL1020" s="2" t="s">
        <v>3464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3420</v>
      </c>
      <c r="BX1020" s="2" t="s">
        <v>2425</v>
      </c>
      <c r="BY1020" s="2" t="s">
        <v>112</v>
      </c>
      <c r="BZ1020" s="2" t="s">
        <v>100</v>
      </c>
    </row>
    <row r="1021">
      <c r="A1021" s="2" t="s">
        <v>3465</v>
      </c>
      <c r="B1021" s="2" t="s">
        <v>87</v>
      </c>
      <c r="C1021" s="2" t="s">
        <v>3381</v>
      </c>
      <c r="D1021" s="2" t="s">
        <v>89</v>
      </c>
      <c r="E1021" s="2" t="s">
        <v>3382</v>
      </c>
      <c r="F1021" s="2" t="s">
        <v>3435</v>
      </c>
      <c r="G1021" s="2" t="s">
        <v>3436</v>
      </c>
      <c r="H1021" s="2" t="s">
        <v>3437</v>
      </c>
      <c r="I1021" s="2" t="s">
        <v>3385</v>
      </c>
      <c r="J1021" s="2" t="s">
        <v>124</v>
      </c>
      <c r="K1021" s="2" t="s">
        <v>146</v>
      </c>
      <c r="L1021" s="3">
        <v>98.99</v>
      </c>
      <c r="M1021" s="3">
        <v>103.94</v>
      </c>
      <c r="N1021" s="3">
        <v>199.99</v>
      </c>
      <c r="O1021" s="2" t="s">
        <v>97</v>
      </c>
      <c r="P1021" s="2" t="s">
        <v>98</v>
      </c>
      <c r="Q1021" s="2" t="s">
        <v>99</v>
      </c>
      <c r="R1021" s="2" t="s">
        <v>100</v>
      </c>
      <c r="S1021" s="2" t="s">
        <v>3460</v>
      </c>
      <c r="T1021" s="2" t="s">
        <v>100</v>
      </c>
      <c r="U1021" s="2" t="s">
        <v>3387</v>
      </c>
      <c r="V1021" s="2" t="s">
        <v>645</v>
      </c>
      <c r="W1021" s="2" t="s">
        <v>104</v>
      </c>
      <c r="X1021" s="2" t="s">
        <v>3448</v>
      </c>
      <c r="Y1021" s="2" t="s">
        <v>2441</v>
      </c>
      <c r="Z1021" s="4">
        <v>134</v>
      </c>
      <c r="AA1021" s="4">
        <f>=ROUNDDOWN(19.1428571428571,0)</f>
      </c>
      <c r="AB1021" s="5">
        <v>7</v>
      </c>
      <c r="AC1021" s="2" t="s">
        <v>287</v>
      </c>
      <c r="AD1021" s="4">
        <v>50</v>
      </c>
      <c r="AE1021" s="4">
        <v>280</v>
      </c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/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9</v>
      </c>
      <c r="BK1021" s="8">
        <v>1003.06</v>
      </c>
      <c r="BL1021" s="2" t="s">
        <v>3466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3420</v>
      </c>
      <c r="BX1021" s="2" t="s">
        <v>3421</v>
      </c>
      <c r="BY1021" s="2" t="s">
        <v>112</v>
      </c>
      <c r="BZ1021" s="2" t="s">
        <v>100</v>
      </c>
    </row>
    <row r="1022">
      <c r="A1022" s="2" t="s">
        <v>3467</v>
      </c>
      <c r="B1022" s="2" t="s">
        <v>87</v>
      </c>
      <c r="C1022" s="2" t="s">
        <v>3381</v>
      </c>
      <c r="D1022" s="2" t="s">
        <v>89</v>
      </c>
      <c r="E1022" s="2" t="s">
        <v>3382</v>
      </c>
      <c r="F1022" s="2" t="s">
        <v>3435</v>
      </c>
      <c r="G1022" s="2" t="s">
        <v>3436</v>
      </c>
      <c r="H1022" s="2" t="s">
        <v>3437</v>
      </c>
      <c r="I1022" s="2" t="s">
        <v>3385</v>
      </c>
      <c r="J1022" s="2" t="s">
        <v>114</v>
      </c>
      <c r="K1022" s="2" t="s">
        <v>198</v>
      </c>
      <c r="L1022" s="3">
        <v>88.19</v>
      </c>
      <c r="M1022" s="3">
        <v>92.6</v>
      </c>
      <c r="N1022" s="3">
        <v>179.99</v>
      </c>
      <c r="O1022" s="2" t="s">
        <v>97</v>
      </c>
      <c r="P1022" s="2" t="s">
        <v>98</v>
      </c>
      <c r="Q1022" s="2" t="s">
        <v>99</v>
      </c>
      <c r="R1022" s="2" t="s">
        <v>100</v>
      </c>
      <c r="S1022" s="2" t="s">
        <v>3468</v>
      </c>
      <c r="T1022" s="2" t="s">
        <v>100</v>
      </c>
      <c r="U1022" s="2" t="s">
        <v>3387</v>
      </c>
      <c r="V1022" s="2" t="s">
        <v>645</v>
      </c>
      <c r="W1022" s="2" t="s">
        <v>104</v>
      </c>
      <c r="X1022" s="2" t="s">
        <v>3440</v>
      </c>
      <c r="Y1022" s="2" t="s">
        <v>3469</v>
      </c>
      <c r="Z1022" s="4">
        <v>471</v>
      </c>
      <c r="AA1022" s="4">
        <f>=ROUNDDOWN(31.4,0)</f>
      </c>
      <c r="AB1022" s="5">
        <v>15</v>
      </c>
      <c r="AC1022" s="2" t="s">
        <v>3470</v>
      </c>
      <c r="AD1022" s="4">
        <v>100</v>
      </c>
      <c r="AE1022" s="4">
        <v>250</v>
      </c>
      <c r="AF1022" s="6">
        <v>64</v>
      </c>
      <c r="AG1022" s="6">
        <v>47</v>
      </c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/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 t="s">
        <v>100</v>
      </c>
      <c r="BJ1022" s="4">
        <v>18</v>
      </c>
      <c r="BK1022" s="8">
        <v>1687.05</v>
      </c>
      <c r="BL1022" s="2" t="s">
        <v>710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544</v>
      </c>
      <c r="BX1022" s="2" t="s">
        <v>590</v>
      </c>
      <c r="BY1022" s="2" t="s">
        <v>112</v>
      </c>
      <c r="BZ1022" s="2" t="s">
        <v>100</v>
      </c>
    </row>
    <row r="1023">
      <c r="A1023" s="2" t="s">
        <v>3471</v>
      </c>
      <c r="B1023" s="2" t="s">
        <v>87</v>
      </c>
      <c r="C1023" s="2" t="s">
        <v>3381</v>
      </c>
      <c r="D1023" s="2" t="s">
        <v>89</v>
      </c>
      <c r="E1023" s="2" t="s">
        <v>3382</v>
      </c>
      <c r="F1023" s="2" t="s">
        <v>3435</v>
      </c>
      <c r="G1023" s="2" t="s">
        <v>3436</v>
      </c>
      <c r="H1023" s="2" t="s">
        <v>3437</v>
      </c>
      <c r="I1023" s="2" t="s">
        <v>3385</v>
      </c>
      <c r="J1023" s="2" t="s">
        <v>120</v>
      </c>
      <c r="K1023" s="2" t="s">
        <v>198</v>
      </c>
      <c r="L1023" s="3">
        <v>98.99</v>
      </c>
      <c r="M1023" s="3">
        <v>103.94</v>
      </c>
      <c r="N1023" s="3">
        <v>199.99</v>
      </c>
      <c r="O1023" s="2" t="s">
        <v>97</v>
      </c>
      <c r="P1023" s="2" t="s">
        <v>98</v>
      </c>
      <c r="Q1023" s="2" t="s">
        <v>99</v>
      </c>
      <c r="R1023" s="2" t="s">
        <v>100</v>
      </c>
      <c r="S1023" s="2" t="s">
        <v>3468</v>
      </c>
      <c r="T1023" s="2" t="s">
        <v>100</v>
      </c>
      <c r="U1023" s="2" t="s">
        <v>3387</v>
      </c>
      <c r="V1023" s="2" t="s">
        <v>645</v>
      </c>
      <c r="W1023" s="2" t="s">
        <v>104</v>
      </c>
      <c r="X1023" s="2" t="s">
        <v>3440</v>
      </c>
      <c r="Y1023" s="2" t="s">
        <v>3469</v>
      </c>
      <c r="Z1023" s="4">
        <v>341</v>
      </c>
      <c r="AA1023" s="4">
        <f>=ROUNDDOWN(28.4166666666667,0)</f>
      </c>
      <c r="AB1023" s="5">
        <v>12</v>
      </c>
      <c r="AC1023" s="2" t="s">
        <v>3470</v>
      </c>
      <c r="AD1023" s="4">
        <v>100</v>
      </c>
      <c r="AE1023" s="4">
        <v>200</v>
      </c>
      <c r="AF1023" s="6">
        <v>64</v>
      </c>
      <c r="AG1023" s="6">
        <v>47</v>
      </c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/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 t="s">
        <v>100</v>
      </c>
      <c r="BJ1023" s="4">
        <v>20</v>
      </c>
      <c r="BK1023" s="8">
        <v>2165.22</v>
      </c>
      <c r="BL1023" s="2" t="s">
        <v>3472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544</v>
      </c>
      <c r="BX1023" s="2" t="s">
        <v>181</v>
      </c>
      <c r="BY1023" s="2" t="s">
        <v>112</v>
      </c>
      <c r="BZ1023" s="2" t="s">
        <v>100</v>
      </c>
    </row>
    <row r="1024">
      <c r="A1024" s="2" t="s">
        <v>3473</v>
      </c>
      <c r="B1024" s="2" t="s">
        <v>87</v>
      </c>
      <c r="C1024" s="2" t="s">
        <v>3381</v>
      </c>
      <c r="D1024" s="2" t="s">
        <v>89</v>
      </c>
      <c r="E1024" s="2" t="s">
        <v>3382</v>
      </c>
      <c r="F1024" s="2" t="s">
        <v>3435</v>
      </c>
      <c r="G1024" s="2" t="s">
        <v>3436</v>
      </c>
      <c r="H1024" s="2" t="s">
        <v>3437</v>
      </c>
      <c r="I1024" s="2" t="s">
        <v>3385</v>
      </c>
      <c r="J1024" s="2" t="s">
        <v>124</v>
      </c>
      <c r="K1024" s="2" t="s">
        <v>198</v>
      </c>
      <c r="L1024" s="3">
        <v>98.99</v>
      </c>
      <c r="M1024" s="3">
        <v>103.94</v>
      </c>
      <c r="N1024" s="3">
        <v>199.99</v>
      </c>
      <c r="O1024" s="2" t="s">
        <v>97</v>
      </c>
      <c r="P1024" s="2" t="s">
        <v>98</v>
      </c>
      <c r="Q1024" s="2" t="s">
        <v>99</v>
      </c>
      <c r="R1024" s="2" t="s">
        <v>100</v>
      </c>
      <c r="S1024" s="2" t="s">
        <v>3468</v>
      </c>
      <c r="T1024" s="2" t="s">
        <v>100</v>
      </c>
      <c r="U1024" s="2" t="s">
        <v>3387</v>
      </c>
      <c r="V1024" s="2" t="s">
        <v>645</v>
      </c>
      <c r="W1024" s="2" t="s">
        <v>104</v>
      </c>
      <c r="X1024" s="2" t="s">
        <v>3440</v>
      </c>
      <c r="Y1024" s="2" t="s">
        <v>3469</v>
      </c>
      <c r="Z1024" s="4">
        <v>239</v>
      </c>
      <c r="AA1024" s="4">
        <f>=ROUNDDOWN(34.1428571428571,0)</f>
      </c>
      <c r="AB1024" s="5">
        <v>7</v>
      </c>
      <c r="AC1024" s="2" t="s">
        <v>3470</v>
      </c>
      <c r="AD1024" s="4">
        <v>50</v>
      </c>
      <c r="AE1024" s="4">
        <v>150</v>
      </c>
      <c r="AF1024" s="6">
        <v>64</v>
      </c>
      <c r="AG1024" s="6">
        <v>47</v>
      </c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 t="s">
        <v>100</v>
      </c>
      <c r="AW1024" s="8" t="s">
        <v>100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/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 t="s">
        <v>100</v>
      </c>
      <c r="BJ1024" s="4">
        <v>8</v>
      </c>
      <c r="BK1024" s="8">
        <v>848.92</v>
      </c>
      <c r="BL1024" s="2" t="s">
        <v>3474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544</v>
      </c>
      <c r="BX1024" s="2" t="s">
        <v>1078</v>
      </c>
      <c r="BY1024" s="2" t="s">
        <v>112</v>
      </c>
      <c r="BZ1024" s="2" t="s">
        <v>100</v>
      </c>
    </row>
    <row r="1025">
      <c r="A1025" s="2" t="s">
        <v>3475</v>
      </c>
      <c r="B1025" s="2" t="s">
        <v>87</v>
      </c>
      <c r="C1025" s="2" t="s">
        <v>3381</v>
      </c>
      <c r="D1025" s="2" t="s">
        <v>89</v>
      </c>
      <c r="E1025" s="2" t="s">
        <v>3382</v>
      </c>
      <c r="F1025" s="2" t="s">
        <v>3476</v>
      </c>
      <c r="G1025" s="2" t="s">
        <v>3477</v>
      </c>
      <c r="H1025" s="2" t="s">
        <v>3478</v>
      </c>
      <c r="I1025" s="2" t="s">
        <v>3438</v>
      </c>
      <c r="J1025" s="2" t="s">
        <v>114</v>
      </c>
      <c r="K1025" s="2" t="s">
        <v>434</v>
      </c>
      <c r="L1025" s="3">
        <v>100</v>
      </c>
      <c r="M1025" s="3">
        <v>104.99</v>
      </c>
      <c r="N1025" s="3">
        <v>199.99</v>
      </c>
      <c r="O1025" s="2" t="s">
        <v>97</v>
      </c>
      <c r="P1025" s="2" t="s">
        <v>242</v>
      </c>
      <c r="Q1025" s="2" t="s">
        <v>99</v>
      </c>
      <c r="R1025" s="2" t="s">
        <v>100</v>
      </c>
      <c r="S1025" s="2" t="s">
        <v>3479</v>
      </c>
      <c r="T1025" s="2" t="s">
        <v>100</v>
      </c>
      <c r="U1025" s="2" t="s">
        <v>3387</v>
      </c>
      <c r="V1025" s="2" t="s">
        <v>344</v>
      </c>
      <c r="W1025" s="2" t="s">
        <v>244</v>
      </c>
      <c r="X1025" s="2" t="s">
        <v>285</v>
      </c>
      <c r="Y1025" s="2" t="s">
        <v>3372</v>
      </c>
      <c r="Z1025" s="4">
        <v>567</v>
      </c>
      <c r="AA1025" s="4">
        <f>=ROUNDDOWN(31.5,0)</f>
      </c>
      <c r="AB1025" s="5">
        <v>18</v>
      </c>
      <c r="AC1025" s="2" t="s">
        <v>3480</v>
      </c>
      <c r="AD1025" s="4">
        <v>60</v>
      </c>
      <c r="AE1025" s="4">
        <v>340</v>
      </c>
      <c r="AF1025" s="6">
        <v>65</v>
      </c>
      <c r="AG1025" s="6">
        <v>48</v>
      </c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>
        <v>3</v>
      </c>
      <c r="AW1025" s="8">
        <v>341.7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/>
      <c r="BC1025" s="4">
        <v>4</v>
      </c>
      <c r="BD1025" s="8">
        <v>459.12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>
        <v>0.7442</v>
      </c>
      <c r="BJ1025" s="4">
        <v>14</v>
      </c>
      <c r="BK1025" s="8">
        <v>1606.26</v>
      </c>
      <c r="BL1025" s="2" t="s">
        <v>3481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544</v>
      </c>
      <c r="BX1025" s="2" t="s">
        <v>3482</v>
      </c>
      <c r="BY1025" s="2" t="s">
        <v>112</v>
      </c>
      <c r="BZ1025" s="2" t="s">
        <v>100</v>
      </c>
    </row>
    <row r="1026">
      <c r="A1026" s="2" t="s">
        <v>3483</v>
      </c>
      <c r="B1026" s="2" t="s">
        <v>87</v>
      </c>
      <c r="C1026" s="2" t="s">
        <v>3381</v>
      </c>
      <c r="D1026" s="2" t="s">
        <v>89</v>
      </c>
      <c r="E1026" s="2" t="s">
        <v>3382</v>
      </c>
      <c r="F1026" s="2" t="s">
        <v>3476</v>
      </c>
      <c r="G1026" s="2" t="s">
        <v>3477</v>
      </c>
      <c r="H1026" s="2" t="s">
        <v>3478</v>
      </c>
      <c r="I1026" s="2" t="s">
        <v>3438</v>
      </c>
      <c r="J1026" s="2" t="s">
        <v>120</v>
      </c>
      <c r="K1026" s="2" t="s">
        <v>434</v>
      </c>
      <c r="L1026" s="3">
        <v>110</v>
      </c>
      <c r="M1026" s="3">
        <v>115.49</v>
      </c>
      <c r="N1026" s="3">
        <v>219.99</v>
      </c>
      <c r="O1026" s="2" t="s">
        <v>97</v>
      </c>
      <c r="P1026" s="2" t="s">
        <v>242</v>
      </c>
      <c r="Q1026" s="2" t="s">
        <v>99</v>
      </c>
      <c r="R1026" s="2" t="s">
        <v>100</v>
      </c>
      <c r="S1026" s="2" t="s">
        <v>3479</v>
      </c>
      <c r="T1026" s="2" t="s">
        <v>100</v>
      </c>
      <c r="U1026" s="2" t="s">
        <v>3387</v>
      </c>
      <c r="V1026" s="2" t="s">
        <v>344</v>
      </c>
      <c r="W1026" s="2" t="s">
        <v>244</v>
      </c>
      <c r="X1026" s="2" t="s">
        <v>285</v>
      </c>
      <c r="Y1026" s="2" t="s">
        <v>3372</v>
      </c>
      <c r="Z1026" s="4">
        <v>336</v>
      </c>
      <c r="AA1026" s="4">
        <f>=ROUNDDOWN(21,0)</f>
      </c>
      <c r="AB1026" s="5">
        <v>16</v>
      </c>
      <c r="AC1026" s="2" t="s">
        <v>3480</v>
      </c>
      <c r="AD1026" s="4">
        <v>150</v>
      </c>
      <c r="AE1026" s="4">
        <v>460</v>
      </c>
      <c r="AF1026" s="6">
        <v>65</v>
      </c>
      <c r="AG1026" s="6">
        <v>48</v>
      </c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3</v>
      </c>
      <c r="AQ1026" s="8">
        <v>341.7</v>
      </c>
      <c r="AR1026" s="4"/>
      <c r="AS1026" s="8"/>
      <c r="AT1026" s="7"/>
      <c r="AU1026" s="7"/>
      <c r="AV1026" s="4" t="s">
        <v>100</v>
      </c>
      <c r="AW1026" s="8" t="s">
        <v>100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1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 t="s">
        <v>100</v>
      </c>
      <c r="BJ1026" s="4">
        <v>24</v>
      </c>
      <c r="BK1026" s="8">
        <v>2744.96</v>
      </c>
      <c r="BL1026" s="2" t="s">
        <v>3484</v>
      </c>
      <c r="BM1026" s="7">
        <v>0.125</v>
      </c>
      <c r="BN1026" s="7">
        <v>0.1245</v>
      </c>
      <c r="BO1026" s="4">
        <v>3</v>
      </c>
      <c r="BP1026" s="8">
        <v>341.7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544</v>
      </c>
      <c r="BX1026" s="2" t="s">
        <v>3485</v>
      </c>
      <c r="BY1026" s="2" t="s">
        <v>112</v>
      </c>
      <c r="BZ1026" s="2" t="s">
        <v>100</v>
      </c>
    </row>
    <row r="1027">
      <c r="A1027" s="2" t="s">
        <v>3486</v>
      </c>
      <c r="B1027" s="2" t="s">
        <v>87</v>
      </c>
      <c r="C1027" s="2" t="s">
        <v>3381</v>
      </c>
      <c r="D1027" s="2" t="s">
        <v>89</v>
      </c>
      <c r="E1027" s="2" t="s">
        <v>3382</v>
      </c>
      <c r="F1027" s="2" t="s">
        <v>3476</v>
      </c>
      <c r="G1027" s="2" t="s">
        <v>3477</v>
      </c>
      <c r="H1027" s="2" t="s">
        <v>3478</v>
      </c>
      <c r="I1027" s="2" t="s">
        <v>3438</v>
      </c>
      <c r="J1027" s="2" t="s">
        <v>124</v>
      </c>
      <c r="K1027" s="2" t="s">
        <v>434</v>
      </c>
      <c r="L1027" s="3">
        <v>110</v>
      </c>
      <c r="M1027" s="3">
        <v>115.49</v>
      </c>
      <c r="N1027" s="3">
        <v>219.99</v>
      </c>
      <c r="O1027" s="2" t="s">
        <v>97</v>
      </c>
      <c r="P1027" s="2" t="s">
        <v>242</v>
      </c>
      <c r="Q1027" s="2" t="s">
        <v>99</v>
      </c>
      <c r="R1027" s="2" t="s">
        <v>100</v>
      </c>
      <c r="S1027" s="2" t="s">
        <v>3479</v>
      </c>
      <c r="T1027" s="2" t="s">
        <v>100</v>
      </c>
      <c r="U1027" s="2" t="s">
        <v>3387</v>
      </c>
      <c r="V1027" s="2" t="s">
        <v>344</v>
      </c>
      <c r="W1027" s="2" t="s">
        <v>244</v>
      </c>
      <c r="X1027" s="2" t="s">
        <v>285</v>
      </c>
      <c r="Y1027" s="2" t="s">
        <v>3372</v>
      </c>
      <c r="Z1027" s="4">
        <v>448</v>
      </c>
      <c r="AA1027" s="4">
        <f>=ROUNDDOWN(56,0)</f>
      </c>
      <c r="AB1027" s="5">
        <v>8</v>
      </c>
      <c r="AC1027" s="2" t="s">
        <v>100</v>
      </c>
      <c r="AD1027" s="4"/>
      <c r="AE1027" s="4"/>
      <c r="AF1027" s="6">
        <v>65</v>
      </c>
      <c r="AG1027" s="6">
        <v>48</v>
      </c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/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8</v>
      </c>
      <c r="BK1027" s="8">
        <v>897.36</v>
      </c>
      <c r="BL1027" s="2" t="s">
        <v>3487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544</v>
      </c>
      <c r="BX1027" s="2" t="s">
        <v>621</v>
      </c>
      <c r="BY1027" s="2" t="s">
        <v>112</v>
      </c>
      <c r="BZ1027" s="2" t="s">
        <v>100</v>
      </c>
    </row>
    <row r="1028">
      <c r="A1028" s="2" t="s">
        <v>3488</v>
      </c>
      <c r="B1028" s="2" t="s">
        <v>87</v>
      </c>
      <c r="C1028" s="2" t="s">
        <v>3381</v>
      </c>
      <c r="D1028" s="2" t="s">
        <v>89</v>
      </c>
      <c r="E1028" s="2" t="s">
        <v>3382</v>
      </c>
      <c r="F1028" s="2" t="s">
        <v>3476</v>
      </c>
      <c r="G1028" s="2" t="s">
        <v>3477</v>
      </c>
      <c r="H1028" s="2" t="s">
        <v>3478</v>
      </c>
      <c r="I1028" s="2" t="s">
        <v>3438</v>
      </c>
      <c r="J1028" s="2" t="s">
        <v>114</v>
      </c>
      <c r="K1028" s="2" t="s">
        <v>163</v>
      </c>
      <c r="L1028" s="3">
        <v>100</v>
      </c>
      <c r="M1028" s="3">
        <v>104.99</v>
      </c>
      <c r="N1028" s="3">
        <v>199.99</v>
      </c>
      <c r="O1028" s="2" t="s">
        <v>97</v>
      </c>
      <c r="P1028" s="2" t="s">
        <v>98</v>
      </c>
      <c r="Q1028" s="2" t="s">
        <v>99</v>
      </c>
      <c r="R1028" s="2" t="s">
        <v>100</v>
      </c>
      <c r="S1028" s="2" t="s">
        <v>3489</v>
      </c>
      <c r="T1028" s="2" t="s">
        <v>100</v>
      </c>
      <c r="U1028" s="2" t="s">
        <v>3387</v>
      </c>
      <c r="V1028" s="2" t="s">
        <v>344</v>
      </c>
      <c r="W1028" s="2" t="s">
        <v>244</v>
      </c>
      <c r="X1028" s="2" t="s">
        <v>285</v>
      </c>
      <c r="Y1028" s="2" t="s">
        <v>3490</v>
      </c>
      <c r="Z1028" s="4">
        <v>423</v>
      </c>
      <c r="AA1028" s="4">
        <f>=ROUNDDOWN(24.8823529411765,0)</f>
      </c>
      <c r="AB1028" s="5">
        <v>17</v>
      </c>
      <c r="AC1028" s="2" t="s">
        <v>400</v>
      </c>
      <c r="AD1028" s="4">
        <v>180</v>
      </c>
      <c r="AE1028" s="4">
        <v>380</v>
      </c>
      <c r="AF1028" s="6">
        <v>65</v>
      </c>
      <c r="AG1028" s="6">
        <v>48</v>
      </c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>
        <v>1</v>
      </c>
      <c r="AW1028" s="8">
        <v>117.42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/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>
        <v>0.2558</v>
      </c>
      <c r="BJ1028" s="4">
        <v>8</v>
      </c>
      <c r="BK1028" s="8">
        <v>872.77</v>
      </c>
      <c r="BL1028" s="2" t="s">
        <v>3491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266</v>
      </c>
      <c r="BX1028" s="2" t="s">
        <v>366</v>
      </c>
      <c r="BY1028" s="2" t="s">
        <v>112</v>
      </c>
      <c r="BZ1028" s="2" t="s">
        <v>100</v>
      </c>
    </row>
    <row r="1029">
      <c r="A1029" s="2" t="s">
        <v>3492</v>
      </c>
      <c r="B1029" s="2" t="s">
        <v>87</v>
      </c>
      <c r="C1029" s="2" t="s">
        <v>3381</v>
      </c>
      <c r="D1029" s="2" t="s">
        <v>89</v>
      </c>
      <c r="E1029" s="2" t="s">
        <v>3382</v>
      </c>
      <c r="F1029" s="2" t="s">
        <v>3476</v>
      </c>
      <c r="G1029" s="2" t="s">
        <v>3477</v>
      </c>
      <c r="H1029" s="2" t="s">
        <v>3478</v>
      </c>
      <c r="I1029" s="2" t="s">
        <v>3438</v>
      </c>
      <c r="J1029" s="2" t="s">
        <v>120</v>
      </c>
      <c r="K1029" s="2" t="s">
        <v>163</v>
      </c>
      <c r="L1029" s="3">
        <v>110</v>
      </c>
      <c r="M1029" s="3">
        <v>115.49</v>
      </c>
      <c r="N1029" s="3">
        <v>219.99</v>
      </c>
      <c r="O1029" s="2" t="s">
        <v>97</v>
      </c>
      <c r="P1029" s="2" t="s">
        <v>98</v>
      </c>
      <c r="Q1029" s="2" t="s">
        <v>99</v>
      </c>
      <c r="R1029" s="2" t="s">
        <v>100</v>
      </c>
      <c r="S1029" s="2" t="s">
        <v>3489</v>
      </c>
      <c r="T1029" s="2" t="s">
        <v>100</v>
      </c>
      <c r="U1029" s="2" t="s">
        <v>3387</v>
      </c>
      <c r="V1029" s="2" t="s">
        <v>344</v>
      </c>
      <c r="W1029" s="2" t="s">
        <v>244</v>
      </c>
      <c r="X1029" s="2" t="s">
        <v>285</v>
      </c>
      <c r="Y1029" s="2" t="s">
        <v>3490</v>
      </c>
      <c r="Z1029" s="4">
        <v>304</v>
      </c>
      <c r="AA1029" s="4">
        <f>=ROUNDDOWN(21.7142857142857,0)</f>
      </c>
      <c r="AB1029" s="5">
        <v>14</v>
      </c>
      <c r="AC1029" s="2" t="s">
        <v>400</v>
      </c>
      <c r="AD1029" s="4">
        <v>120</v>
      </c>
      <c r="AE1029" s="4">
        <v>270</v>
      </c>
      <c r="AF1029" s="6">
        <v>65</v>
      </c>
      <c r="AG1029" s="6">
        <v>48</v>
      </c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>
        <v>1</v>
      </c>
      <c r="AQ1029" s="8">
        <v>117.42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1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11</v>
      </c>
      <c r="BK1029" s="8">
        <v>1272.73</v>
      </c>
      <c r="BL1029" s="2" t="s">
        <v>3493</v>
      </c>
      <c r="BM1029" s="7">
        <v>0.0909</v>
      </c>
      <c r="BN1029" s="7">
        <v>0.0923</v>
      </c>
      <c r="BO1029" s="4">
        <v>1</v>
      </c>
      <c r="BP1029" s="8">
        <v>117.42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266</v>
      </c>
      <c r="BX1029" s="2" t="s">
        <v>902</v>
      </c>
      <c r="BY1029" s="2" t="s">
        <v>112</v>
      </c>
      <c r="BZ1029" s="2" t="s">
        <v>100</v>
      </c>
    </row>
    <row r="1030">
      <c r="A1030" s="2" t="s">
        <v>3494</v>
      </c>
      <c r="B1030" s="2" t="s">
        <v>87</v>
      </c>
      <c r="C1030" s="2" t="s">
        <v>3381</v>
      </c>
      <c r="D1030" s="2" t="s">
        <v>89</v>
      </c>
      <c r="E1030" s="2" t="s">
        <v>3382</v>
      </c>
      <c r="F1030" s="2" t="s">
        <v>3476</v>
      </c>
      <c r="G1030" s="2" t="s">
        <v>3477</v>
      </c>
      <c r="H1030" s="2" t="s">
        <v>3478</v>
      </c>
      <c r="I1030" s="2" t="s">
        <v>3438</v>
      </c>
      <c r="J1030" s="2" t="s">
        <v>124</v>
      </c>
      <c r="K1030" s="2" t="s">
        <v>163</v>
      </c>
      <c r="L1030" s="3">
        <v>110</v>
      </c>
      <c r="M1030" s="3">
        <v>115.49</v>
      </c>
      <c r="N1030" s="3">
        <v>219.99</v>
      </c>
      <c r="O1030" s="2" t="s">
        <v>97</v>
      </c>
      <c r="P1030" s="2" t="s">
        <v>98</v>
      </c>
      <c r="Q1030" s="2" t="s">
        <v>99</v>
      </c>
      <c r="R1030" s="2" t="s">
        <v>100</v>
      </c>
      <c r="S1030" s="2" t="s">
        <v>3489</v>
      </c>
      <c r="T1030" s="2" t="s">
        <v>100</v>
      </c>
      <c r="U1030" s="2" t="s">
        <v>3387</v>
      </c>
      <c r="V1030" s="2" t="s">
        <v>344</v>
      </c>
      <c r="W1030" s="2" t="s">
        <v>244</v>
      </c>
      <c r="X1030" s="2" t="s">
        <v>285</v>
      </c>
      <c r="Y1030" s="2" t="s">
        <v>3490</v>
      </c>
      <c r="Z1030" s="4">
        <v>167</v>
      </c>
      <c r="AA1030" s="4">
        <f>=ROUNDDOWN(20.875,0)</f>
      </c>
      <c r="AB1030" s="5">
        <v>8</v>
      </c>
      <c r="AC1030" s="2" t="s">
        <v>400</v>
      </c>
      <c r="AD1030" s="4">
        <v>60</v>
      </c>
      <c r="AE1030" s="4">
        <v>150</v>
      </c>
      <c r="AF1030" s="6">
        <v>65</v>
      </c>
      <c r="AG1030" s="6">
        <v>48</v>
      </c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/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 t="s">
        <v>100</v>
      </c>
      <c r="BJ1030" s="4">
        <v>2</v>
      </c>
      <c r="BK1030" s="8">
        <v>239.8</v>
      </c>
      <c r="BL1030" s="2" t="s">
        <v>625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266</v>
      </c>
      <c r="BX1030" s="2" t="s">
        <v>363</v>
      </c>
      <c r="BY1030" s="2" t="s">
        <v>112</v>
      </c>
      <c r="BZ1030" s="2" t="s">
        <v>100</v>
      </c>
    </row>
    <row r="1031">
      <c r="A1031" s="2" t="s">
        <v>3495</v>
      </c>
      <c r="B1031" s="2" t="s">
        <v>87</v>
      </c>
      <c r="C1031" s="2" t="s">
        <v>3381</v>
      </c>
      <c r="D1031" s="2" t="s">
        <v>89</v>
      </c>
      <c r="E1031" s="2" t="s">
        <v>3382</v>
      </c>
      <c r="F1031" s="2" t="s">
        <v>3496</v>
      </c>
      <c r="G1031" s="2" t="s">
        <v>3497</v>
      </c>
      <c r="H1031" s="2" t="s">
        <v>3498</v>
      </c>
      <c r="I1031" s="2" t="s">
        <v>3385</v>
      </c>
      <c r="J1031" s="2" t="s">
        <v>114</v>
      </c>
      <c r="K1031" s="2" t="s">
        <v>434</v>
      </c>
      <c r="L1031" s="3">
        <v>94.3</v>
      </c>
      <c r="M1031" s="3">
        <v>99.02</v>
      </c>
      <c r="N1031" s="3">
        <v>184.99</v>
      </c>
      <c r="O1031" s="2" t="s">
        <v>473</v>
      </c>
      <c r="P1031" s="2" t="s">
        <v>447</v>
      </c>
      <c r="Q1031" s="2" t="s">
        <v>99</v>
      </c>
      <c r="R1031" s="2" t="s">
        <v>100</v>
      </c>
      <c r="S1031" s="2" t="s">
        <v>3499</v>
      </c>
      <c r="T1031" s="2" t="s">
        <v>100</v>
      </c>
      <c r="U1031" s="2" t="s">
        <v>3387</v>
      </c>
      <c r="V1031" s="2" t="s">
        <v>344</v>
      </c>
      <c r="W1031" s="2" t="s">
        <v>244</v>
      </c>
      <c r="X1031" s="2" t="s">
        <v>285</v>
      </c>
      <c r="Y1031" s="2" t="s">
        <v>131</v>
      </c>
      <c r="Z1031" s="4">
        <v>354</v>
      </c>
      <c r="AA1031" s="4">
        <f>=ROUNDDOWN(35.4,0)</f>
      </c>
      <c r="AB1031" s="5">
        <v>10</v>
      </c>
      <c r="AC1031" s="2" t="s">
        <v>3400</v>
      </c>
      <c r="AD1031" s="4">
        <v>1</v>
      </c>
      <c r="AE1031" s="4">
        <v>1</v>
      </c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>
        <v>1</v>
      </c>
      <c r="AW1031" s="8">
        <v>105.85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/>
      <c r="BC1031" s="4">
        <v>1</v>
      </c>
      <c r="BD1031" s="8">
        <v>105.85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>
        <v>1</v>
      </c>
      <c r="BJ1031" s="4">
        <v>9</v>
      </c>
      <c r="BK1031" s="8">
        <v>887.76</v>
      </c>
      <c r="BL1031" s="2" t="s">
        <v>1307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544</v>
      </c>
      <c r="BX1031" s="2" t="s">
        <v>634</v>
      </c>
      <c r="BY1031" s="2" t="s">
        <v>112</v>
      </c>
      <c r="BZ1031" s="2" t="s">
        <v>100</v>
      </c>
    </row>
    <row r="1032">
      <c r="A1032" s="2" t="s">
        <v>3500</v>
      </c>
      <c r="B1032" s="2" t="s">
        <v>87</v>
      </c>
      <c r="C1032" s="2" t="s">
        <v>3381</v>
      </c>
      <c r="D1032" s="2" t="s">
        <v>89</v>
      </c>
      <c r="E1032" s="2" t="s">
        <v>3382</v>
      </c>
      <c r="F1032" s="2" t="s">
        <v>3496</v>
      </c>
      <c r="G1032" s="2" t="s">
        <v>3497</v>
      </c>
      <c r="H1032" s="2" t="s">
        <v>3498</v>
      </c>
      <c r="I1032" s="2" t="s">
        <v>3385</v>
      </c>
      <c r="J1032" s="2" t="s">
        <v>120</v>
      </c>
      <c r="K1032" s="2" t="s">
        <v>434</v>
      </c>
      <c r="L1032" s="3">
        <v>105.56</v>
      </c>
      <c r="M1032" s="3">
        <v>110.84</v>
      </c>
      <c r="N1032" s="3">
        <v>204.99</v>
      </c>
      <c r="O1032" s="2" t="s">
        <v>473</v>
      </c>
      <c r="P1032" s="2" t="s">
        <v>447</v>
      </c>
      <c r="Q1032" s="2" t="s">
        <v>99</v>
      </c>
      <c r="R1032" s="2" t="s">
        <v>100</v>
      </c>
      <c r="S1032" s="2" t="s">
        <v>3499</v>
      </c>
      <c r="T1032" s="2" t="s">
        <v>100</v>
      </c>
      <c r="U1032" s="2" t="s">
        <v>3387</v>
      </c>
      <c r="V1032" s="2" t="s">
        <v>344</v>
      </c>
      <c r="W1032" s="2" t="s">
        <v>244</v>
      </c>
      <c r="X1032" s="2" t="s">
        <v>285</v>
      </c>
      <c r="Y1032" s="2" t="s">
        <v>131</v>
      </c>
      <c r="Z1032" s="4">
        <v>254</v>
      </c>
      <c r="AA1032" s="4">
        <f>=ROUNDDOWN(42.3333333333333,0)</f>
      </c>
      <c r="AB1032" s="5">
        <v>6</v>
      </c>
      <c r="AC1032" s="2" t="s">
        <v>100</v>
      </c>
      <c r="AD1032" s="4"/>
      <c r="AE1032" s="4"/>
      <c r="AF1032" s="6">
        <v>64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1</v>
      </c>
      <c r="AQ1032" s="8">
        <v>105.85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1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9</v>
      </c>
      <c r="BK1032" s="8">
        <v>904.62</v>
      </c>
      <c r="BL1032" s="2" t="s">
        <v>3501</v>
      </c>
      <c r="BM1032" s="7">
        <v>0.1111</v>
      </c>
      <c r="BN1032" s="7">
        <v>0.117</v>
      </c>
      <c r="BO1032" s="4">
        <v>1</v>
      </c>
      <c r="BP1032" s="8">
        <v>105.85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544</v>
      </c>
      <c r="BX1032" s="2" t="s">
        <v>170</v>
      </c>
      <c r="BY1032" s="2" t="s">
        <v>112</v>
      </c>
      <c r="BZ1032" s="2" t="s">
        <v>100</v>
      </c>
    </row>
    <row r="1033">
      <c r="A1033" s="2" t="s">
        <v>3502</v>
      </c>
      <c r="B1033" s="2" t="s">
        <v>87</v>
      </c>
      <c r="C1033" s="2" t="s">
        <v>3381</v>
      </c>
      <c r="D1033" s="2" t="s">
        <v>89</v>
      </c>
      <c r="E1033" s="2" t="s">
        <v>3382</v>
      </c>
      <c r="F1033" s="2" t="s">
        <v>3496</v>
      </c>
      <c r="G1033" s="2" t="s">
        <v>3497</v>
      </c>
      <c r="H1033" s="2" t="s">
        <v>3498</v>
      </c>
      <c r="I1033" s="2" t="s">
        <v>3385</v>
      </c>
      <c r="J1033" s="2" t="s">
        <v>124</v>
      </c>
      <c r="K1033" s="2" t="s">
        <v>434</v>
      </c>
      <c r="L1033" s="3">
        <v>105.56</v>
      </c>
      <c r="M1033" s="3">
        <v>110.84</v>
      </c>
      <c r="N1033" s="3">
        <v>204.99</v>
      </c>
      <c r="O1033" s="2" t="s">
        <v>473</v>
      </c>
      <c r="P1033" s="2" t="s">
        <v>447</v>
      </c>
      <c r="Q1033" s="2" t="s">
        <v>99</v>
      </c>
      <c r="R1033" s="2" t="s">
        <v>100</v>
      </c>
      <c r="S1033" s="2" t="s">
        <v>3499</v>
      </c>
      <c r="T1033" s="2" t="s">
        <v>100</v>
      </c>
      <c r="U1033" s="2" t="s">
        <v>3387</v>
      </c>
      <c r="V1033" s="2" t="s">
        <v>344</v>
      </c>
      <c r="W1033" s="2" t="s">
        <v>244</v>
      </c>
      <c r="X1033" s="2" t="s">
        <v>285</v>
      </c>
      <c r="Y1033" s="2" t="s">
        <v>131</v>
      </c>
      <c r="Z1033" s="4">
        <v>269</v>
      </c>
      <c r="AA1033" s="4">
        <f>=ROUNDDOWN(53.8,0)</f>
      </c>
      <c r="AB1033" s="5">
        <v>5</v>
      </c>
      <c r="AC1033" s="2" t="s">
        <v>3400</v>
      </c>
      <c r="AD1033" s="4">
        <v>2</v>
      </c>
      <c r="AE1033" s="4">
        <v>2</v>
      </c>
      <c r="AF1033" s="6">
        <v>64</v>
      </c>
      <c r="AG1033" s="6"/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/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9</v>
      </c>
      <c r="BK1033" s="8">
        <v>896.87</v>
      </c>
      <c r="BL1033" s="2" t="s">
        <v>3503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544</v>
      </c>
      <c r="BX1033" s="2" t="s">
        <v>621</v>
      </c>
      <c r="BY1033" s="2" t="s">
        <v>112</v>
      </c>
      <c r="BZ1033" s="2" t="s">
        <v>100</v>
      </c>
    </row>
    <row r="1034">
      <c r="A1034" s="2" t="s">
        <v>3504</v>
      </c>
      <c r="B1034" s="2" t="s">
        <v>87</v>
      </c>
      <c r="C1034" s="2" t="s">
        <v>3381</v>
      </c>
      <c r="D1034" s="2" t="s">
        <v>89</v>
      </c>
      <c r="E1034" s="2" t="s">
        <v>3382</v>
      </c>
      <c r="F1034" s="2" t="s">
        <v>3505</v>
      </c>
      <c r="G1034" s="2" t="s">
        <v>3506</v>
      </c>
      <c r="H1034" s="2" t="s">
        <v>2031</v>
      </c>
      <c r="I1034" s="2" t="s">
        <v>3385</v>
      </c>
      <c r="J1034" s="2" t="s">
        <v>124</v>
      </c>
      <c r="K1034" s="2" t="s">
        <v>146</v>
      </c>
      <c r="L1034" s="3">
        <v>114.74</v>
      </c>
      <c r="M1034" s="3">
        <v>120.48</v>
      </c>
      <c r="N1034" s="3">
        <v>224.99</v>
      </c>
      <c r="O1034" s="2" t="s">
        <v>473</v>
      </c>
      <c r="P1034" s="2" t="s">
        <v>447</v>
      </c>
      <c r="Q1034" s="2" t="s">
        <v>99</v>
      </c>
      <c r="R1034" s="2" t="s">
        <v>100</v>
      </c>
      <c r="S1034" s="2" t="s">
        <v>3507</v>
      </c>
      <c r="T1034" s="2" t="s">
        <v>100</v>
      </c>
      <c r="U1034" s="2" t="s">
        <v>3387</v>
      </c>
      <c r="V1034" s="2" t="s">
        <v>284</v>
      </c>
      <c r="W1034" s="2" t="s">
        <v>244</v>
      </c>
      <c r="X1034" s="2" t="s">
        <v>285</v>
      </c>
      <c r="Y1034" s="2" t="s">
        <v>619</v>
      </c>
      <c r="Z1034" s="4">
        <v>57</v>
      </c>
      <c r="AA1034" s="4">
        <f>=ROUNDDOWN(14.25,0)</f>
      </c>
      <c r="AB1034" s="5">
        <v>4</v>
      </c>
      <c r="AC1034" s="2" t="s">
        <v>100</v>
      </c>
      <c r="AD1034" s="4"/>
      <c r="AE1034" s="4"/>
      <c r="AF1034" s="6">
        <v>64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>
        <v>3</v>
      </c>
      <c r="BK1034" s="8">
        <v>250.88</v>
      </c>
      <c r="BL1034" s="2" t="s">
        <v>599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544</v>
      </c>
      <c r="BX1034" s="2" t="s">
        <v>192</v>
      </c>
      <c r="BY1034" s="2" t="s">
        <v>112</v>
      </c>
      <c r="BZ1034" s="2" t="s">
        <v>100</v>
      </c>
    </row>
    <row r="1035">
      <c r="A1035" s="2" t="s">
        <v>3508</v>
      </c>
      <c r="B1035" s="2" t="s">
        <v>87</v>
      </c>
      <c r="C1035" s="2" t="s">
        <v>3381</v>
      </c>
      <c r="D1035" s="2" t="s">
        <v>89</v>
      </c>
      <c r="E1035" s="2" t="s">
        <v>3382</v>
      </c>
      <c r="F1035" s="2" t="s">
        <v>3509</v>
      </c>
      <c r="G1035" s="2" t="s">
        <v>3510</v>
      </c>
      <c r="H1035" s="2" t="s">
        <v>3511</v>
      </c>
      <c r="I1035" s="2" t="s">
        <v>3385</v>
      </c>
      <c r="J1035" s="2" t="s">
        <v>114</v>
      </c>
      <c r="K1035" s="2" t="s">
        <v>185</v>
      </c>
      <c r="L1035" s="3">
        <v>98.79</v>
      </c>
      <c r="M1035" s="3">
        <v>103.73</v>
      </c>
      <c r="N1035" s="3">
        <v>189.99</v>
      </c>
      <c r="O1035" s="2" t="s">
        <v>97</v>
      </c>
      <c r="P1035" s="2" t="s">
        <v>447</v>
      </c>
      <c r="Q1035" s="2" t="s">
        <v>99</v>
      </c>
      <c r="R1035" s="2" t="s">
        <v>100</v>
      </c>
      <c r="S1035" s="2" t="s">
        <v>3512</v>
      </c>
      <c r="T1035" s="2" t="s">
        <v>100</v>
      </c>
      <c r="U1035" s="2" t="s">
        <v>3387</v>
      </c>
      <c r="V1035" s="2" t="s">
        <v>284</v>
      </c>
      <c r="W1035" s="2" t="s">
        <v>244</v>
      </c>
      <c r="X1035" s="2" t="s">
        <v>1240</v>
      </c>
      <c r="Y1035" s="2" t="s">
        <v>131</v>
      </c>
      <c r="Z1035" s="4">
        <v>82</v>
      </c>
      <c r="AA1035" s="4">
        <f>=ROUNDDOWN(6.83333333333333,0)</f>
      </c>
      <c r="AB1035" s="5">
        <v>12</v>
      </c>
      <c r="AC1035" s="2" t="s">
        <v>100</v>
      </c>
      <c r="AD1035" s="4"/>
      <c r="AE1035" s="4"/>
      <c r="AF1035" s="6">
        <v>64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 t="s">
        <v>100</v>
      </c>
      <c r="AW1035" s="8" t="s">
        <v>100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/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/>
      <c r="BJ1035" s="4">
        <v>4</v>
      </c>
      <c r="BK1035" s="8">
        <v>357.14</v>
      </c>
      <c r="BL1035" s="2" t="s">
        <v>741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544</v>
      </c>
      <c r="BX1035" s="2" t="s">
        <v>222</v>
      </c>
      <c r="BY1035" s="2" t="s">
        <v>112</v>
      </c>
      <c r="BZ1035" s="2" t="s">
        <v>100</v>
      </c>
    </row>
    <row r="1036">
      <c r="A1036" s="2" t="s">
        <v>3513</v>
      </c>
      <c r="B1036" s="2" t="s">
        <v>87</v>
      </c>
      <c r="C1036" s="2" t="s">
        <v>3381</v>
      </c>
      <c r="D1036" s="2" t="s">
        <v>89</v>
      </c>
      <c r="E1036" s="2" t="s">
        <v>3382</v>
      </c>
      <c r="F1036" s="2" t="s">
        <v>3509</v>
      </c>
      <c r="G1036" s="2" t="s">
        <v>3510</v>
      </c>
      <c r="H1036" s="2" t="s">
        <v>3511</v>
      </c>
      <c r="I1036" s="2" t="s">
        <v>3385</v>
      </c>
      <c r="J1036" s="2" t="s">
        <v>120</v>
      </c>
      <c r="K1036" s="2" t="s">
        <v>185</v>
      </c>
      <c r="L1036" s="3">
        <v>109.19</v>
      </c>
      <c r="M1036" s="3">
        <v>114.65</v>
      </c>
      <c r="N1036" s="3">
        <v>209.99</v>
      </c>
      <c r="O1036" s="2" t="s">
        <v>97</v>
      </c>
      <c r="P1036" s="2" t="s">
        <v>447</v>
      </c>
      <c r="Q1036" s="2" t="s">
        <v>99</v>
      </c>
      <c r="R1036" s="2" t="s">
        <v>100</v>
      </c>
      <c r="S1036" s="2" t="s">
        <v>3512</v>
      </c>
      <c r="T1036" s="2" t="s">
        <v>100</v>
      </c>
      <c r="U1036" s="2" t="s">
        <v>3387</v>
      </c>
      <c r="V1036" s="2" t="s">
        <v>284</v>
      </c>
      <c r="W1036" s="2" t="s">
        <v>244</v>
      </c>
      <c r="X1036" s="2" t="s">
        <v>1240</v>
      </c>
      <c r="Y1036" s="2" t="s">
        <v>131</v>
      </c>
      <c r="Z1036" s="4">
        <v>96</v>
      </c>
      <c r="AA1036" s="4">
        <f>=ROUNDDOWN(13.7142857142857,0)</f>
      </c>
      <c r="AB1036" s="5">
        <v>7</v>
      </c>
      <c r="AC1036" s="2" t="s">
        <v>100</v>
      </c>
      <c r="AD1036" s="4"/>
      <c r="AE1036" s="4"/>
      <c r="AF1036" s="6">
        <v>64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/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/>
      <c r="BJ1036" s="4">
        <v>2</v>
      </c>
      <c r="BK1036" s="8">
        <v>173.16</v>
      </c>
      <c r="BL1036" s="2" t="s">
        <v>133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544</v>
      </c>
      <c r="BX1036" s="2" t="s">
        <v>170</v>
      </c>
      <c r="BY1036" s="2" t="s">
        <v>112</v>
      </c>
      <c r="BZ1036" s="2" t="s">
        <v>100</v>
      </c>
    </row>
    <row r="1037">
      <c r="A1037" s="2" t="s">
        <v>3514</v>
      </c>
      <c r="B1037" s="2" t="s">
        <v>87</v>
      </c>
      <c r="C1037" s="2" t="s">
        <v>3381</v>
      </c>
      <c r="D1037" s="2" t="s">
        <v>89</v>
      </c>
      <c r="E1037" s="2" t="s">
        <v>3382</v>
      </c>
      <c r="F1037" s="2" t="s">
        <v>3509</v>
      </c>
      <c r="G1037" s="2" t="s">
        <v>3510</v>
      </c>
      <c r="H1037" s="2" t="s">
        <v>3511</v>
      </c>
      <c r="I1037" s="2" t="s">
        <v>3385</v>
      </c>
      <c r="J1037" s="2" t="s">
        <v>124</v>
      </c>
      <c r="K1037" s="2" t="s">
        <v>185</v>
      </c>
      <c r="L1037" s="3">
        <v>109.19</v>
      </c>
      <c r="M1037" s="3">
        <v>114.65</v>
      </c>
      <c r="N1037" s="3">
        <v>209.99</v>
      </c>
      <c r="O1037" s="2" t="s">
        <v>97</v>
      </c>
      <c r="P1037" s="2" t="s">
        <v>447</v>
      </c>
      <c r="Q1037" s="2" t="s">
        <v>99</v>
      </c>
      <c r="R1037" s="2" t="s">
        <v>100</v>
      </c>
      <c r="S1037" s="2" t="s">
        <v>3512</v>
      </c>
      <c r="T1037" s="2" t="s">
        <v>100</v>
      </c>
      <c r="U1037" s="2" t="s">
        <v>3387</v>
      </c>
      <c r="V1037" s="2" t="s">
        <v>284</v>
      </c>
      <c r="W1037" s="2" t="s">
        <v>244</v>
      </c>
      <c r="X1037" s="2" t="s">
        <v>1240</v>
      </c>
      <c r="Y1037" s="2" t="s">
        <v>131</v>
      </c>
      <c r="Z1037" s="4">
        <v>109</v>
      </c>
      <c r="AA1037" s="4">
        <f>=ROUNDDOWN(27.25,0)</f>
      </c>
      <c r="AB1037" s="5">
        <v>4</v>
      </c>
      <c r="AC1037" s="2" t="s">
        <v>100</v>
      </c>
      <c r="AD1037" s="4"/>
      <c r="AE1037" s="4"/>
      <c r="AF1037" s="6">
        <v>64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 t="s">
        <v>100</v>
      </c>
      <c r="AW1037" s="8" t="s">
        <v>100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/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/>
      <c r="BJ1037" s="4">
        <v>1</v>
      </c>
      <c r="BK1037" s="8">
        <v>111.83</v>
      </c>
      <c r="BL1037" s="2" t="s">
        <v>210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544</v>
      </c>
      <c r="BX1037" s="2" t="s">
        <v>634</v>
      </c>
      <c r="BY1037" s="2" t="s">
        <v>112</v>
      </c>
      <c r="BZ1037" s="2" t="s">
        <v>100</v>
      </c>
    </row>
    <row r="1038">
      <c r="A1038" s="2" t="s">
        <v>3515</v>
      </c>
      <c r="B1038" s="2" t="s">
        <v>87</v>
      </c>
      <c r="C1038" s="2" t="s">
        <v>3381</v>
      </c>
      <c r="D1038" s="2" t="s">
        <v>89</v>
      </c>
      <c r="E1038" s="2" t="s">
        <v>3382</v>
      </c>
      <c r="F1038" s="2" t="s">
        <v>3516</v>
      </c>
      <c r="G1038" s="2" t="s">
        <v>3517</v>
      </c>
      <c r="H1038" s="2" t="s">
        <v>1694</v>
      </c>
      <c r="I1038" s="2" t="s">
        <v>3518</v>
      </c>
      <c r="J1038" s="2" t="s">
        <v>114</v>
      </c>
      <c r="K1038" s="2" t="s">
        <v>3519</v>
      </c>
      <c r="L1038" s="3">
        <v>98</v>
      </c>
      <c r="M1038" s="3">
        <v>102.89</v>
      </c>
      <c r="N1038" s="3">
        <v>199.99</v>
      </c>
      <c r="O1038" s="2" t="s">
        <v>97</v>
      </c>
      <c r="P1038" s="2" t="s">
        <v>447</v>
      </c>
      <c r="Q1038" s="2" t="s">
        <v>99</v>
      </c>
      <c r="R1038" s="2" t="s">
        <v>100</v>
      </c>
      <c r="S1038" s="2" t="s">
        <v>3520</v>
      </c>
      <c r="T1038" s="2" t="s">
        <v>100</v>
      </c>
      <c r="U1038" s="2" t="s">
        <v>3387</v>
      </c>
      <c r="V1038" s="2" t="s">
        <v>344</v>
      </c>
      <c r="W1038" s="2" t="s">
        <v>244</v>
      </c>
      <c r="X1038" s="2" t="s">
        <v>285</v>
      </c>
      <c r="Y1038" s="2" t="s">
        <v>590</v>
      </c>
      <c r="Z1038" s="4">
        <v>37</v>
      </c>
      <c r="AA1038" s="4">
        <f>=ROUNDDOWN(3.27433628318584,0)</f>
      </c>
      <c r="AB1038" s="5">
        <v>11.3</v>
      </c>
      <c r="AC1038" s="2" t="s">
        <v>100</v>
      </c>
      <c r="AD1038" s="4"/>
      <c r="AE1038" s="4"/>
      <c r="AF1038" s="6">
        <v>64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/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/>
      <c r="BJ1038" s="4">
        <v>7</v>
      </c>
      <c r="BK1038" s="8">
        <v>514.52</v>
      </c>
      <c r="BL1038" s="2" t="s">
        <v>880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266</v>
      </c>
      <c r="BX1038" s="2" t="s">
        <v>1792</v>
      </c>
      <c r="BY1038" s="2" t="s">
        <v>112</v>
      </c>
      <c r="BZ1038" s="2" t="s">
        <v>100</v>
      </c>
    </row>
    <row r="1039">
      <c r="A1039" s="2" t="s">
        <v>3521</v>
      </c>
      <c r="B1039" s="2" t="s">
        <v>87</v>
      </c>
      <c r="C1039" s="2" t="s">
        <v>3381</v>
      </c>
      <c r="D1039" s="2" t="s">
        <v>89</v>
      </c>
      <c r="E1039" s="2" t="s">
        <v>3382</v>
      </c>
      <c r="F1039" s="2" t="s">
        <v>3516</v>
      </c>
      <c r="G1039" s="2" t="s">
        <v>3517</v>
      </c>
      <c r="H1039" s="2" t="s">
        <v>1694</v>
      </c>
      <c r="I1039" s="2" t="s">
        <v>3518</v>
      </c>
      <c r="J1039" s="2" t="s">
        <v>120</v>
      </c>
      <c r="K1039" s="2" t="s">
        <v>3519</v>
      </c>
      <c r="L1039" s="3">
        <v>107.8</v>
      </c>
      <c r="M1039" s="3">
        <v>113.18</v>
      </c>
      <c r="N1039" s="3">
        <v>219.99</v>
      </c>
      <c r="O1039" s="2" t="s">
        <v>97</v>
      </c>
      <c r="P1039" s="2" t="s">
        <v>447</v>
      </c>
      <c r="Q1039" s="2" t="s">
        <v>99</v>
      </c>
      <c r="R1039" s="2" t="s">
        <v>100</v>
      </c>
      <c r="S1039" s="2" t="s">
        <v>3520</v>
      </c>
      <c r="T1039" s="2" t="s">
        <v>100</v>
      </c>
      <c r="U1039" s="2" t="s">
        <v>3387</v>
      </c>
      <c r="V1039" s="2" t="s">
        <v>344</v>
      </c>
      <c r="W1039" s="2" t="s">
        <v>244</v>
      </c>
      <c r="X1039" s="2" t="s">
        <v>285</v>
      </c>
      <c r="Y1039" s="2" t="s">
        <v>590</v>
      </c>
      <c r="Z1039" s="4">
        <v>96</v>
      </c>
      <c r="AA1039" s="4">
        <f>=ROUNDDOWN(16,0)</f>
      </c>
      <c r="AB1039" s="5">
        <v>6</v>
      </c>
      <c r="AC1039" s="2" t="s">
        <v>100</v>
      </c>
      <c r="AD1039" s="4"/>
      <c r="AE1039" s="4"/>
      <c r="AF1039" s="6">
        <v>64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 t="s">
        <v>100</v>
      </c>
      <c r="AW1039" s="8" t="s">
        <v>100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/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/>
      <c r="BJ1039" s="4">
        <v>12</v>
      </c>
      <c r="BK1039" s="8">
        <v>769.17</v>
      </c>
      <c r="BL1039" s="2" t="s">
        <v>3522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266</v>
      </c>
      <c r="BX1039" s="2" t="s">
        <v>3061</v>
      </c>
      <c r="BY1039" s="2" t="s">
        <v>112</v>
      </c>
      <c r="BZ1039" s="2" t="s">
        <v>100</v>
      </c>
    </row>
    <row r="1040">
      <c r="A1040" s="2" t="s">
        <v>3523</v>
      </c>
      <c r="B1040" s="2" t="s">
        <v>87</v>
      </c>
      <c r="C1040" s="2" t="s">
        <v>3381</v>
      </c>
      <c r="D1040" s="2" t="s">
        <v>89</v>
      </c>
      <c r="E1040" s="2" t="s">
        <v>3382</v>
      </c>
      <c r="F1040" s="2" t="s">
        <v>3516</v>
      </c>
      <c r="G1040" s="2" t="s">
        <v>3517</v>
      </c>
      <c r="H1040" s="2" t="s">
        <v>1694</v>
      </c>
      <c r="I1040" s="2" t="s">
        <v>3518</v>
      </c>
      <c r="J1040" s="2" t="s">
        <v>124</v>
      </c>
      <c r="K1040" s="2" t="s">
        <v>3519</v>
      </c>
      <c r="L1040" s="3">
        <v>107.8</v>
      </c>
      <c r="M1040" s="3">
        <v>113.18</v>
      </c>
      <c r="N1040" s="3">
        <v>219.99</v>
      </c>
      <c r="O1040" s="2" t="s">
        <v>97</v>
      </c>
      <c r="P1040" s="2" t="s">
        <v>447</v>
      </c>
      <c r="Q1040" s="2" t="s">
        <v>99</v>
      </c>
      <c r="R1040" s="2" t="s">
        <v>100</v>
      </c>
      <c r="S1040" s="2" t="s">
        <v>3520</v>
      </c>
      <c r="T1040" s="2" t="s">
        <v>100</v>
      </c>
      <c r="U1040" s="2" t="s">
        <v>3387</v>
      </c>
      <c r="V1040" s="2" t="s">
        <v>344</v>
      </c>
      <c r="W1040" s="2" t="s">
        <v>244</v>
      </c>
      <c r="X1040" s="2" t="s">
        <v>285</v>
      </c>
      <c r="Y1040" s="2" t="s">
        <v>590</v>
      </c>
      <c r="Z1040" s="4">
        <v>96</v>
      </c>
      <c r="AA1040" s="4">
        <f>=ROUNDDOWN(24,0)</f>
      </c>
      <c r="AB1040" s="5">
        <v>4</v>
      </c>
      <c r="AC1040" s="2" t="s">
        <v>100</v>
      </c>
      <c r="AD1040" s="4"/>
      <c r="AE1040" s="4"/>
      <c r="AF1040" s="6">
        <v>64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/>
      <c r="AQ1040" s="8"/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/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/>
      <c r="BJ1040" s="4">
        <v>2</v>
      </c>
      <c r="BK1040" s="8">
        <v>183.39</v>
      </c>
      <c r="BL1040" s="2" t="s">
        <v>986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266</v>
      </c>
      <c r="BX1040" s="2" t="s">
        <v>3054</v>
      </c>
      <c r="BY1040" s="2" t="s">
        <v>112</v>
      </c>
      <c r="BZ1040" s="2" t="s">
        <v>100</v>
      </c>
    </row>
    <row r="1041">
      <c r="A1041" s="2" t="s">
        <v>3524</v>
      </c>
      <c r="B1041" s="2" t="s">
        <v>87</v>
      </c>
      <c r="C1041" s="2" t="s">
        <v>3381</v>
      </c>
      <c r="D1041" s="2" t="s">
        <v>89</v>
      </c>
      <c r="E1041" s="2" t="s">
        <v>1944</v>
      </c>
      <c r="F1041" s="2" t="s">
        <v>3525</v>
      </c>
      <c r="G1041" s="2" t="s">
        <v>1369</v>
      </c>
      <c r="H1041" s="2" t="s">
        <v>3526</v>
      </c>
      <c r="I1041" s="2" t="s">
        <v>3527</v>
      </c>
      <c r="J1041" s="2" t="s">
        <v>2236</v>
      </c>
      <c r="K1041" s="2" t="s">
        <v>340</v>
      </c>
      <c r="L1041" s="3">
        <v>50.77</v>
      </c>
      <c r="M1041" s="3">
        <v>53.31</v>
      </c>
      <c r="N1041" s="3">
        <v>89.99</v>
      </c>
      <c r="O1041" s="2" t="s">
        <v>97</v>
      </c>
      <c r="P1041" s="2" t="s">
        <v>98</v>
      </c>
      <c r="Q1041" s="2" t="s">
        <v>99</v>
      </c>
      <c r="R1041" s="2" t="s">
        <v>100</v>
      </c>
      <c r="S1041" s="2" t="s">
        <v>3528</v>
      </c>
      <c r="T1041" s="2" t="s">
        <v>100</v>
      </c>
      <c r="U1041" s="2" t="s">
        <v>102</v>
      </c>
      <c r="V1041" s="2" t="s">
        <v>677</v>
      </c>
      <c r="W1041" s="2" t="s">
        <v>104</v>
      </c>
      <c r="X1041" s="2" t="s">
        <v>450</v>
      </c>
      <c r="Y1041" s="2" t="s">
        <v>3529</v>
      </c>
      <c r="Z1041" s="4">
        <v>172</v>
      </c>
      <c r="AA1041" s="4">
        <f>=ROUNDDOWN(43,0)</f>
      </c>
      <c r="AB1041" s="5">
        <v>4</v>
      </c>
      <c r="AC1041" s="2" t="s">
        <v>553</v>
      </c>
      <c r="AD1041" s="4">
        <v>60</v>
      </c>
      <c r="AE1041" s="4">
        <v>100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>
        <v>2</v>
      </c>
      <c r="AW1041" s="8">
        <v>149.03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/>
      <c r="BC1041" s="4">
        <v>3</v>
      </c>
      <c r="BD1041" s="8">
        <v>214.95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>
        <v>0.6933</v>
      </c>
      <c r="BJ1041" s="4">
        <v>6</v>
      </c>
      <c r="BK1041" s="8">
        <v>316.12</v>
      </c>
      <c r="BL1041" s="2" t="s">
        <v>3530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544</v>
      </c>
      <c r="BX1041" s="2" t="s">
        <v>454</v>
      </c>
      <c r="BY1041" s="2" t="s">
        <v>112</v>
      </c>
      <c r="BZ1041" s="2" t="s">
        <v>100</v>
      </c>
    </row>
    <row r="1042">
      <c r="A1042" s="2" t="s">
        <v>3531</v>
      </c>
      <c r="B1042" s="2" t="s">
        <v>87</v>
      </c>
      <c r="C1042" s="2" t="s">
        <v>3381</v>
      </c>
      <c r="D1042" s="2" t="s">
        <v>89</v>
      </c>
      <c r="E1042" s="2" t="s">
        <v>1944</v>
      </c>
      <c r="F1042" s="2" t="s">
        <v>3525</v>
      </c>
      <c r="G1042" s="2" t="s">
        <v>1369</v>
      </c>
      <c r="H1042" s="2" t="s">
        <v>3526</v>
      </c>
      <c r="I1042" s="2" t="s">
        <v>3532</v>
      </c>
      <c r="J1042" s="2" t="s">
        <v>95</v>
      </c>
      <c r="K1042" s="2" t="s">
        <v>340</v>
      </c>
      <c r="L1042" s="3">
        <v>55.61</v>
      </c>
      <c r="M1042" s="3">
        <v>58.39</v>
      </c>
      <c r="N1042" s="3">
        <v>99.99</v>
      </c>
      <c r="O1042" s="2" t="s">
        <v>97</v>
      </c>
      <c r="P1042" s="2" t="s">
        <v>98</v>
      </c>
      <c r="Q1042" s="2" t="s">
        <v>99</v>
      </c>
      <c r="R1042" s="2" t="s">
        <v>100</v>
      </c>
      <c r="S1042" s="2" t="s">
        <v>3528</v>
      </c>
      <c r="T1042" s="2" t="s">
        <v>100</v>
      </c>
      <c r="U1042" s="2" t="s">
        <v>343</v>
      </c>
      <c r="V1042" s="2" t="s">
        <v>677</v>
      </c>
      <c r="W1042" s="2" t="s">
        <v>104</v>
      </c>
      <c r="X1042" s="2" t="s">
        <v>450</v>
      </c>
      <c r="Y1042" s="2" t="s">
        <v>3529</v>
      </c>
      <c r="Z1042" s="4">
        <v>284</v>
      </c>
      <c r="AA1042" s="4">
        <f>=ROUNDDOWN(35.5,0)</f>
      </c>
      <c r="AB1042" s="5">
        <v>8</v>
      </c>
      <c r="AC1042" s="2" t="s">
        <v>287</v>
      </c>
      <c r="AD1042" s="4">
        <v>50</v>
      </c>
      <c r="AE1042" s="4">
        <v>290</v>
      </c>
      <c r="AF1042" s="6">
        <v>65</v>
      </c>
      <c r="AG1042" s="6">
        <v>73</v>
      </c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/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6</v>
      </c>
      <c r="BK1042" s="8">
        <v>368.12</v>
      </c>
      <c r="BL1042" s="2" t="s">
        <v>3533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544</v>
      </c>
      <c r="BX1042" s="2" t="s">
        <v>758</v>
      </c>
      <c r="BY1042" s="2" t="s">
        <v>112</v>
      </c>
      <c r="BZ1042" s="2" t="s">
        <v>100</v>
      </c>
    </row>
    <row r="1043">
      <c r="A1043" s="2" t="s">
        <v>3534</v>
      </c>
      <c r="B1043" s="2" t="s">
        <v>87</v>
      </c>
      <c r="C1043" s="2" t="s">
        <v>3381</v>
      </c>
      <c r="D1043" s="2" t="s">
        <v>89</v>
      </c>
      <c r="E1043" s="2" t="s">
        <v>1944</v>
      </c>
      <c r="F1043" s="2" t="s">
        <v>3525</v>
      </c>
      <c r="G1043" s="2" t="s">
        <v>1369</v>
      </c>
      <c r="H1043" s="2" t="s">
        <v>3526</v>
      </c>
      <c r="I1043" s="2" t="s">
        <v>3532</v>
      </c>
      <c r="J1043" s="2" t="s">
        <v>114</v>
      </c>
      <c r="K1043" s="2" t="s">
        <v>340</v>
      </c>
      <c r="L1043" s="3">
        <v>60.44</v>
      </c>
      <c r="M1043" s="3">
        <v>63.46</v>
      </c>
      <c r="N1043" s="3">
        <v>109.99</v>
      </c>
      <c r="O1043" s="2" t="s">
        <v>97</v>
      </c>
      <c r="P1043" s="2" t="s">
        <v>98</v>
      </c>
      <c r="Q1043" s="2" t="s">
        <v>99</v>
      </c>
      <c r="R1043" s="2" t="s">
        <v>100</v>
      </c>
      <c r="S1043" s="2" t="s">
        <v>3528</v>
      </c>
      <c r="T1043" s="2" t="s">
        <v>100</v>
      </c>
      <c r="U1043" s="2" t="s">
        <v>343</v>
      </c>
      <c r="V1043" s="2" t="s">
        <v>677</v>
      </c>
      <c r="W1043" s="2" t="s">
        <v>104</v>
      </c>
      <c r="X1043" s="2" t="s">
        <v>450</v>
      </c>
      <c r="Y1043" s="2" t="s">
        <v>3529</v>
      </c>
      <c r="Z1043" s="4">
        <v>472</v>
      </c>
      <c r="AA1043" s="4">
        <f>=ROUNDDOWN(24.8421052631579,0)</f>
      </c>
      <c r="AB1043" s="5">
        <v>19</v>
      </c>
      <c r="AC1043" s="2" t="s">
        <v>553</v>
      </c>
      <c r="AD1043" s="4">
        <v>190</v>
      </c>
      <c r="AE1043" s="4">
        <v>530</v>
      </c>
      <c r="AF1043" s="6">
        <v>65</v>
      </c>
      <c r="AG1043" s="6">
        <v>73</v>
      </c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>
        <v>1</v>
      </c>
      <c r="AQ1043" s="8">
        <v>71.65</v>
      </c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>
        <v>0.4808</v>
      </c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 t="s">
        <v>100</v>
      </c>
      <c r="BJ1043" s="4">
        <v>15</v>
      </c>
      <c r="BK1043" s="8">
        <v>1062.22</v>
      </c>
      <c r="BL1043" s="2" t="s">
        <v>3535</v>
      </c>
      <c r="BM1043" s="7">
        <v>0.0667</v>
      </c>
      <c r="BN1043" s="7">
        <v>0.0675</v>
      </c>
      <c r="BO1043" s="4">
        <v>1</v>
      </c>
      <c r="BP1043" s="8">
        <v>71.65</v>
      </c>
      <c r="BQ1043" s="4"/>
      <c r="BR1043" s="8"/>
      <c r="BS1043" s="7"/>
      <c r="BT1043" s="7"/>
      <c r="BU1043" s="2" t="s">
        <v>109</v>
      </c>
      <c r="BV1043" s="2" t="s">
        <v>97</v>
      </c>
      <c r="BW1043" s="2" t="s">
        <v>544</v>
      </c>
      <c r="BX1043" s="2" t="s">
        <v>260</v>
      </c>
      <c r="BY1043" s="2" t="s">
        <v>112</v>
      </c>
      <c r="BZ1043" s="2" t="s">
        <v>100</v>
      </c>
    </row>
    <row r="1044">
      <c r="A1044" s="2" t="s">
        <v>3536</v>
      </c>
      <c r="B1044" s="2" t="s">
        <v>87</v>
      </c>
      <c r="C1044" s="2" t="s">
        <v>3381</v>
      </c>
      <c r="D1044" s="2" t="s">
        <v>89</v>
      </c>
      <c r="E1044" s="2" t="s">
        <v>1944</v>
      </c>
      <c r="F1044" s="2" t="s">
        <v>3525</v>
      </c>
      <c r="G1044" s="2" t="s">
        <v>1369</v>
      </c>
      <c r="H1044" s="2" t="s">
        <v>3526</v>
      </c>
      <c r="I1044" s="2" t="s">
        <v>3532</v>
      </c>
      <c r="J1044" s="2" t="s">
        <v>120</v>
      </c>
      <c r="K1044" s="2" t="s">
        <v>340</v>
      </c>
      <c r="L1044" s="3">
        <v>65.28</v>
      </c>
      <c r="M1044" s="3">
        <v>68.54</v>
      </c>
      <c r="N1044" s="3">
        <v>119.99</v>
      </c>
      <c r="O1044" s="2" t="s">
        <v>97</v>
      </c>
      <c r="P1044" s="2" t="s">
        <v>98</v>
      </c>
      <c r="Q1044" s="2" t="s">
        <v>99</v>
      </c>
      <c r="R1044" s="2" t="s">
        <v>100</v>
      </c>
      <c r="S1044" s="2" t="s">
        <v>3528</v>
      </c>
      <c r="T1044" s="2" t="s">
        <v>100</v>
      </c>
      <c r="U1044" s="2" t="s">
        <v>343</v>
      </c>
      <c r="V1044" s="2" t="s">
        <v>677</v>
      </c>
      <c r="W1044" s="2" t="s">
        <v>104</v>
      </c>
      <c r="X1044" s="2" t="s">
        <v>450</v>
      </c>
      <c r="Y1044" s="2" t="s">
        <v>3529</v>
      </c>
      <c r="Z1044" s="4">
        <v>346</v>
      </c>
      <c r="AA1044" s="4">
        <f>=ROUNDDOWN(28.8333333333333,0)</f>
      </c>
      <c r="AB1044" s="5">
        <v>12</v>
      </c>
      <c r="AC1044" s="2" t="s">
        <v>287</v>
      </c>
      <c r="AD1044" s="4">
        <v>49</v>
      </c>
      <c r="AE1044" s="4">
        <v>469</v>
      </c>
      <c r="AF1044" s="6">
        <v>65</v>
      </c>
      <c r="AG1044" s="6">
        <v>73</v>
      </c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>
        <v>1</v>
      </c>
      <c r="AQ1044" s="8">
        <v>77.38</v>
      </c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>
        <v>0.5192</v>
      </c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4</v>
      </c>
      <c r="BK1044" s="8">
        <v>293.94</v>
      </c>
      <c r="BL1044" s="2" t="s">
        <v>259</v>
      </c>
      <c r="BM1044" s="7">
        <v>0.25</v>
      </c>
      <c r="BN1044" s="7">
        <v>0.2633</v>
      </c>
      <c r="BO1044" s="4">
        <v>1</v>
      </c>
      <c r="BP1044" s="8">
        <v>77.38</v>
      </c>
      <c r="BQ1044" s="4"/>
      <c r="BR1044" s="8"/>
      <c r="BS1044" s="7"/>
      <c r="BT1044" s="7"/>
      <c r="BU1044" s="2" t="s">
        <v>109</v>
      </c>
      <c r="BV1044" s="2" t="s">
        <v>97</v>
      </c>
      <c r="BW1044" s="2" t="s">
        <v>544</v>
      </c>
      <c r="BX1044" s="2" t="s">
        <v>3537</v>
      </c>
      <c r="BY1044" s="2" t="s">
        <v>112</v>
      </c>
      <c r="BZ1044" s="2" t="s">
        <v>100</v>
      </c>
    </row>
    <row r="1045">
      <c r="A1045" s="2" t="s">
        <v>3538</v>
      </c>
      <c r="B1045" s="2" t="s">
        <v>87</v>
      </c>
      <c r="C1045" s="2" t="s">
        <v>3381</v>
      </c>
      <c r="D1045" s="2" t="s">
        <v>89</v>
      </c>
      <c r="E1045" s="2" t="s">
        <v>1944</v>
      </c>
      <c r="F1045" s="2" t="s">
        <v>3525</v>
      </c>
      <c r="G1045" s="2" t="s">
        <v>1369</v>
      </c>
      <c r="H1045" s="2" t="s">
        <v>3526</v>
      </c>
      <c r="I1045" s="2" t="s">
        <v>3532</v>
      </c>
      <c r="J1045" s="2" t="s">
        <v>124</v>
      </c>
      <c r="K1045" s="2" t="s">
        <v>340</v>
      </c>
      <c r="L1045" s="3">
        <v>65.28</v>
      </c>
      <c r="M1045" s="3">
        <v>68.54</v>
      </c>
      <c r="N1045" s="3">
        <v>119.99</v>
      </c>
      <c r="O1045" s="2" t="s">
        <v>97</v>
      </c>
      <c r="P1045" s="2" t="s">
        <v>98</v>
      </c>
      <c r="Q1045" s="2" t="s">
        <v>99</v>
      </c>
      <c r="R1045" s="2" t="s">
        <v>100</v>
      </c>
      <c r="S1045" s="2" t="s">
        <v>3528</v>
      </c>
      <c r="T1045" s="2" t="s">
        <v>100</v>
      </c>
      <c r="U1045" s="2" t="s">
        <v>343</v>
      </c>
      <c r="V1045" s="2" t="s">
        <v>677</v>
      </c>
      <c r="W1045" s="2" t="s">
        <v>104</v>
      </c>
      <c r="X1045" s="2" t="s">
        <v>450</v>
      </c>
      <c r="Y1045" s="2" t="s">
        <v>3529</v>
      </c>
      <c r="Z1045" s="4">
        <v>131</v>
      </c>
      <c r="AA1045" s="4">
        <f>=ROUNDDOWN(26.2,0)</f>
      </c>
      <c r="AB1045" s="5">
        <v>5</v>
      </c>
      <c r="AC1045" s="2" t="s">
        <v>553</v>
      </c>
      <c r="AD1045" s="4">
        <v>70</v>
      </c>
      <c r="AE1045" s="4">
        <v>180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/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 t="s">
        <v>100</v>
      </c>
      <c r="BJ1045" s="4">
        <v>1</v>
      </c>
      <c r="BK1045" s="8">
        <v>64.04</v>
      </c>
      <c r="BL1045" s="2" t="s">
        <v>210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109</v>
      </c>
      <c r="BV1045" s="2" t="s">
        <v>97</v>
      </c>
      <c r="BW1045" s="2" t="s">
        <v>544</v>
      </c>
      <c r="BX1045" s="2" t="s">
        <v>189</v>
      </c>
      <c r="BY1045" s="2" t="s">
        <v>112</v>
      </c>
      <c r="BZ1045" s="2" t="s">
        <v>100</v>
      </c>
    </row>
    <row r="1046">
      <c r="A1046" s="2" t="s">
        <v>3539</v>
      </c>
      <c r="B1046" s="2" t="s">
        <v>87</v>
      </c>
      <c r="C1046" s="2" t="s">
        <v>3381</v>
      </c>
      <c r="D1046" s="2" t="s">
        <v>89</v>
      </c>
      <c r="E1046" s="2" t="s">
        <v>1944</v>
      </c>
      <c r="F1046" s="2" t="s">
        <v>3525</v>
      </c>
      <c r="G1046" s="2" t="s">
        <v>1369</v>
      </c>
      <c r="H1046" s="2" t="s">
        <v>3526</v>
      </c>
      <c r="I1046" s="2" t="s">
        <v>3527</v>
      </c>
      <c r="J1046" s="2" t="s">
        <v>2236</v>
      </c>
      <c r="K1046" s="2" t="s">
        <v>416</v>
      </c>
      <c r="L1046" s="3">
        <v>50.77</v>
      </c>
      <c r="M1046" s="3">
        <v>53.31</v>
      </c>
      <c r="N1046" s="3">
        <v>89.99</v>
      </c>
      <c r="O1046" s="2" t="s">
        <v>97</v>
      </c>
      <c r="P1046" s="2" t="s">
        <v>98</v>
      </c>
      <c r="Q1046" s="2" t="s">
        <v>99</v>
      </c>
      <c r="R1046" s="2" t="s">
        <v>100</v>
      </c>
      <c r="S1046" s="2" t="s">
        <v>3540</v>
      </c>
      <c r="T1046" s="2" t="s">
        <v>100</v>
      </c>
      <c r="U1046" s="2" t="s">
        <v>102</v>
      </c>
      <c r="V1046" s="2" t="s">
        <v>677</v>
      </c>
      <c r="W1046" s="2" t="s">
        <v>104</v>
      </c>
      <c r="X1046" s="2" t="s">
        <v>450</v>
      </c>
      <c r="Y1046" s="2" t="s">
        <v>3529</v>
      </c>
      <c r="Z1046" s="4">
        <v>226</v>
      </c>
      <c r="AA1046" s="4">
        <f>=ROUNDDOWN(56.5,0)</f>
      </c>
      <c r="AB1046" s="5">
        <v>4</v>
      </c>
      <c r="AC1046" s="2" t="s">
        <v>553</v>
      </c>
      <c r="AD1046" s="4">
        <v>70</v>
      </c>
      <c r="AE1046" s="4">
        <v>70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>
        <v>1</v>
      </c>
      <c r="AW1046" s="8">
        <v>65.92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/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>
        <v>0.3067</v>
      </c>
      <c r="BJ1046" s="4">
        <v>4</v>
      </c>
      <c r="BK1046" s="8">
        <v>229.82</v>
      </c>
      <c r="BL1046" s="2" t="s">
        <v>3541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109</v>
      </c>
      <c r="BV1046" s="2" t="s">
        <v>97</v>
      </c>
      <c r="BW1046" s="2" t="s">
        <v>3420</v>
      </c>
      <c r="BX1046" s="2" t="s">
        <v>3542</v>
      </c>
      <c r="BY1046" s="2" t="s">
        <v>112</v>
      </c>
      <c r="BZ1046" s="2" t="s">
        <v>100</v>
      </c>
    </row>
    <row r="1047">
      <c r="A1047" s="2" t="s">
        <v>3543</v>
      </c>
      <c r="B1047" s="2" t="s">
        <v>87</v>
      </c>
      <c r="C1047" s="2" t="s">
        <v>3381</v>
      </c>
      <c r="D1047" s="2" t="s">
        <v>89</v>
      </c>
      <c r="E1047" s="2" t="s">
        <v>1944</v>
      </c>
      <c r="F1047" s="2" t="s">
        <v>3525</v>
      </c>
      <c r="G1047" s="2" t="s">
        <v>1369</v>
      </c>
      <c r="H1047" s="2" t="s">
        <v>3526</v>
      </c>
      <c r="I1047" s="2" t="s">
        <v>3532</v>
      </c>
      <c r="J1047" s="2" t="s">
        <v>95</v>
      </c>
      <c r="K1047" s="2" t="s">
        <v>416</v>
      </c>
      <c r="L1047" s="3">
        <v>55.61</v>
      </c>
      <c r="M1047" s="3">
        <v>58.39</v>
      </c>
      <c r="N1047" s="3">
        <v>99.99</v>
      </c>
      <c r="O1047" s="2" t="s">
        <v>97</v>
      </c>
      <c r="P1047" s="2" t="s">
        <v>98</v>
      </c>
      <c r="Q1047" s="2" t="s">
        <v>99</v>
      </c>
      <c r="R1047" s="2" t="s">
        <v>100</v>
      </c>
      <c r="S1047" s="2" t="s">
        <v>3540</v>
      </c>
      <c r="T1047" s="2" t="s">
        <v>100</v>
      </c>
      <c r="U1047" s="2" t="s">
        <v>343</v>
      </c>
      <c r="V1047" s="2" t="s">
        <v>677</v>
      </c>
      <c r="W1047" s="2" t="s">
        <v>104</v>
      </c>
      <c r="X1047" s="2" t="s">
        <v>450</v>
      </c>
      <c r="Y1047" s="2" t="s">
        <v>3529</v>
      </c>
      <c r="Z1047" s="4">
        <v>206</v>
      </c>
      <c r="AA1047" s="4">
        <f>=ROUNDDOWN(29.4285714285714,0)</f>
      </c>
      <c r="AB1047" s="5">
        <v>7</v>
      </c>
      <c r="AC1047" s="2" t="s">
        <v>553</v>
      </c>
      <c r="AD1047" s="4">
        <v>100</v>
      </c>
      <c r="AE1047" s="4">
        <v>400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>
        <v>1</v>
      </c>
      <c r="AQ1047" s="8">
        <v>65.92</v>
      </c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>
        <v>1</v>
      </c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 t="s">
        <v>100</v>
      </c>
      <c r="BJ1047" s="4">
        <v>10</v>
      </c>
      <c r="BK1047" s="8">
        <v>590.93</v>
      </c>
      <c r="BL1047" s="2" t="s">
        <v>3544</v>
      </c>
      <c r="BM1047" s="7">
        <v>0.1</v>
      </c>
      <c r="BN1047" s="7">
        <v>0.1116</v>
      </c>
      <c r="BO1047" s="4">
        <v>1</v>
      </c>
      <c r="BP1047" s="8">
        <v>65.92</v>
      </c>
      <c r="BQ1047" s="4"/>
      <c r="BR1047" s="8"/>
      <c r="BS1047" s="7"/>
      <c r="BT1047" s="7"/>
      <c r="BU1047" s="2" t="s">
        <v>109</v>
      </c>
      <c r="BV1047" s="2" t="s">
        <v>97</v>
      </c>
      <c r="BW1047" s="2" t="s">
        <v>3420</v>
      </c>
      <c r="BX1047" s="2" t="s">
        <v>3545</v>
      </c>
      <c r="BY1047" s="2" t="s">
        <v>112</v>
      </c>
      <c r="BZ1047" s="2" t="s">
        <v>100</v>
      </c>
    </row>
    <row r="1048">
      <c r="A1048" s="2" t="s">
        <v>3546</v>
      </c>
      <c r="B1048" s="2" t="s">
        <v>87</v>
      </c>
      <c r="C1048" s="2" t="s">
        <v>3381</v>
      </c>
      <c r="D1048" s="2" t="s">
        <v>89</v>
      </c>
      <c r="E1048" s="2" t="s">
        <v>1944</v>
      </c>
      <c r="F1048" s="2" t="s">
        <v>3525</v>
      </c>
      <c r="G1048" s="2" t="s">
        <v>1369</v>
      </c>
      <c r="H1048" s="2" t="s">
        <v>3526</v>
      </c>
      <c r="I1048" s="2" t="s">
        <v>3532</v>
      </c>
      <c r="J1048" s="2" t="s">
        <v>114</v>
      </c>
      <c r="K1048" s="2" t="s">
        <v>416</v>
      </c>
      <c r="L1048" s="3">
        <v>60.44</v>
      </c>
      <c r="M1048" s="3">
        <v>63.46</v>
      </c>
      <c r="N1048" s="3">
        <v>109.99</v>
      </c>
      <c r="O1048" s="2" t="s">
        <v>97</v>
      </c>
      <c r="P1048" s="2" t="s">
        <v>98</v>
      </c>
      <c r="Q1048" s="2" t="s">
        <v>99</v>
      </c>
      <c r="R1048" s="2" t="s">
        <v>100</v>
      </c>
      <c r="S1048" s="2" t="s">
        <v>3540</v>
      </c>
      <c r="T1048" s="2" t="s">
        <v>100</v>
      </c>
      <c r="U1048" s="2" t="s">
        <v>343</v>
      </c>
      <c r="V1048" s="2" t="s">
        <v>677</v>
      </c>
      <c r="W1048" s="2" t="s">
        <v>104</v>
      </c>
      <c r="X1048" s="2" t="s">
        <v>450</v>
      </c>
      <c r="Y1048" s="2" t="s">
        <v>3529</v>
      </c>
      <c r="Z1048" s="4">
        <v>394</v>
      </c>
      <c r="AA1048" s="4">
        <f>=ROUNDDOWN(30.3076923076923,0)</f>
      </c>
      <c r="AB1048" s="5">
        <v>13</v>
      </c>
      <c r="AC1048" s="2" t="s">
        <v>553</v>
      </c>
      <c r="AD1048" s="4">
        <v>150</v>
      </c>
      <c r="AE1048" s="4">
        <v>350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/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14</v>
      </c>
      <c r="BK1048" s="8">
        <v>881.17</v>
      </c>
      <c r="BL1048" s="2" t="s">
        <v>3547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3420</v>
      </c>
      <c r="BX1048" s="2" t="s">
        <v>1364</v>
      </c>
      <c r="BY1048" s="2" t="s">
        <v>112</v>
      </c>
      <c r="BZ1048" s="2" t="s">
        <v>100</v>
      </c>
    </row>
    <row r="1049">
      <c r="A1049" s="2" t="s">
        <v>3548</v>
      </c>
      <c r="B1049" s="2" t="s">
        <v>87</v>
      </c>
      <c r="C1049" s="2" t="s">
        <v>3381</v>
      </c>
      <c r="D1049" s="2" t="s">
        <v>89</v>
      </c>
      <c r="E1049" s="2" t="s">
        <v>1944</v>
      </c>
      <c r="F1049" s="2" t="s">
        <v>3525</v>
      </c>
      <c r="G1049" s="2" t="s">
        <v>1369</v>
      </c>
      <c r="H1049" s="2" t="s">
        <v>3526</v>
      </c>
      <c r="I1049" s="2" t="s">
        <v>3532</v>
      </c>
      <c r="J1049" s="2" t="s">
        <v>120</v>
      </c>
      <c r="K1049" s="2" t="s">
        <v>416</v>
      </c>
      <c r="L1049" s="3">
        <v>65.28</v>
      </c>
      <c r="M1049" s="3">
        <v>68.54</v>
      </c>
      <c r="N1049" s="3">
        <v>119.99</v>
      </c>
      <c r="O1049" s="2" t="s">
        <v>97</v>
      </c>
      <c r="P1049" s="2" t="s">
        <v>98</v>
      </c>
      <c r="Q1049" s="2" t="s">
        <v>99</v>
      </c>
      <c r="R1049" s="2" t="s">
        <v>100</v>
      </c>
      <c r="S1049" s="2" t="s">
        <v>3540</v>
      </c>
      <c r="T1049" s="2" t="s">
        <v>100</v>
      </c>
      <c r="U1049" s="2" t="s">
        <v>343</v>
      </c>
      <c r="V1049" s="2" t="s">
        <v>677</v>
      </c>
      <c r="W1049" s="2" t="s">
        <v>104</v>
      </c>
      <c r="X1049" s="2" t="s">
        <v>450</v>
      </c>
      <c r="Y1049" s="2" t="s">
        <v>3529</v>
      </c>
      <c r="Z1049" s="4">
        <v>243</v>
      </c>
      <c r="AA1049" s="4">
        <f>=ROUNDDOWN(30.375,0)</f>
      </c>
      <c r="AB1049" s="5">
        <v>8</v>
      </c>
      <c r="AC1049" s="2" t="s">
        <v>553</v>
      </c>
      <c r="AD1049" s="4">
        <v>120</v>
      </c>
      <c r="AE1049" s="4">
        <v>320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/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</v>
      </c>
      <c r="BK1049" s="8">
        <v>74.47</v>
      </c>
      <c r="BL1049" s="2" t="s">
        <v>715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3420</v>
      </c>
      <c r="BX1049" s="2" t="s">
        <v>3549</v>
      </c>
      <c r="BY1049" s="2" t="s">
        <v>112</v>
      </c>
      <c r="BZ1049" s="2" t="s">
        <v>100</v>
      </c>
    </row>
    <row r="1050">
      <c r="A1050" s="2" t="s">
        <v>3550</v>
      </c>
      <c r="B1050" s="2" t="s">
        <v>87</v>
      </c>
      <c r="C1050" s="2" t="s">
        <v>3381</v>
      </c>
      <c r="D1050" s="2" t="s">
        <v>89</v>
      </c>
      <c r="E1050" s="2" t="s">
        <v>1944</v>
      </c>
      <c r="F1050" s="2" t="s">
        <v>3525</v>
      </c>
      <c r="G1050" s="2" t="s">
        <v>1369</v>
      </c>
      <c r="H1050" s="2" t="s">
        <v>3526</v>
      </c>
      <c r="I1050" s="2" t="s">
        <v>3532</v>
      </c>
      <c r="J1050" s="2" t="s">
        <v>124</v>
      </c>
      <c r="K1050" s="2" t="s">
        <v>416</v>
      </c>
      <c r="L1050" s="3">
        <v>65.28</v>
      </c>
      <c r="M1050" s="3">
        <v>68.54</v>
      </c>
      <c r="N1050" s="3">
        <v>119.99</v>
      </c>
      <c r="O1050" s="2" t="s">
        <v>97</v>
      </c>
      <c r="P1050" s="2" t="s">
        <v>98</v>
      </c>
      <c r="Q1050" s="2" t="s">
        <v>99</v>
      </c>
      <c r="R1050" s="2" t="s">
        <v>100</v>
      </c>
      <c r="S1050" s="2" t="s">
        <v>3540</v>
      </c>
      <c r="T1050" s="2" t="s">
        <v>100</v>
      </c>
      <c r="U1050" s="2" t="s">
        <v>343</v>
      </c>
      <c r="V1050" s="2" t="s">
        <v>677</v>
      </c>
      <c r="W1050" s="2" t="s">
        <v>104</v>
      </c>
      <c r="X1050" s="2" t="s">
        <v>450</v>
      </c>
      <c r="Y1050" s="2" t="s">
        <v>3529</v>
      </c>
      <c r="Z1050" s="4">
        <v>130</v>
      </c>
      <c r="AA1050" s="4">
        <f>=ROUNDDOWN(43.3333333333333,0)</f>
      </c>
      <c r="AB1050" s="5">
        <v>3</v>
      </c>
      <c r="AC1050" s="2" t="s">
        <v>553</v>
      </c>
      <c r="AD1050" s="4">
        <v>40</v>
      </c>
      <c r="AE1050" s="4">
        <v>140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/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2</v>
      </c>
      <c r="BK1050" s="8">
        <v>138.51</v>
      </c>
      <c r="BL1050" s="2" t="s">
        <v>1490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3420</v>
      </c>
      <c r="BX1050" s="2" t="s">
        <v>3549</v>
      </c>
      <c r="BY1050" s="2" t="s">
        <v>112</v>
      </c>
      <c r="BZ1050" s="2" t="s">
        <v>100</v>
      </c>
    </row>
    <row r="1051">
      <c r="A1051" s="2" t="s">
        <v>3551</v>
      </c>
      <c r="B1051" s="2" t="s">
        <v>87</v>
      </c>
      <c r="C1051" s="2" t="s">
        <v>3381</v>
      </c>
      <c r="D1051" s="2" t="s">
        <v>89</v>
      </c>
      <c r="E1051" s="2" t="s">
        <v>1944</v>
      </c>
      <c r="F1051" s="2" t="s">
        <v>3525</v>
      </c>
      <c r="G1051" s="2" t="s">
        <v>1369</v>
      </c>
      <c r="H1051" s="2" t="s">
        <v>3526</v>
      </c>
      <c r="I1051" s="2" t="s">
        <v>3527</v>
      </c>
      <c r="J1051" s="2" t="s">
        <v>2236</v>
      </c>
      <c r="K1051" s="2" t="s">
        <v>3552</v>
      </c>
      <c r="L1051" s="3">
        <v>50.77</v>
      </c>
      <c r="M1051" s="3">
        <v>53.31</v>
      </c>
      <c r="N1051" s="3">
        <v>89.99</v>
      </c>
      <c r="O1051" s="2" t="s">
        <v>97</v>
      </c>
      <c r="P1051" s="2" t="s">
        <v>98</v>
      </c>
      <c r="Q1051" s="2" t="s">
        <v>99</v>
      </c>
      <c r="R1051" s="2" t="s">
        <v>100</v>
      </c>
      <c r="S1051" s="2" t="s">
        <v>3553</v>
      </c>
      <c r="T1051" s="2" t="s">
        <v>100</v>
      </c>
      <c r="U1051" s="2" t="s">
        <v>102</v>
      </c>
      <c r="V1051" s="2" t="s">
        <v>677</v>
      </c>
      <c r="W1051" s="2" t="s">
        <v>104</v>
      </c>
      <c r="X1051" s="2" t="s">
        <v>499</v>
      </c>
      <c r="Y1051" s="2" t="s">
        <v>3327</v>
      </c>
      <c r="Z1051" s="4">
        <v>108</v>
      </c>
      <c r="AA1051" s="4">
        <f>=ROUNDDOWN(21.6,0)</f>
      </c>
      <c r="AB1051" s="5">
        <v>5</v>
      </c>
      <c r="AC1051" s="2" t="s">
        <v>368</v>
      </c>
      <c r="AD1051" s="4">
        <v>60</v>
      </c>
      <c r="AE1051" s="4">
        <v>187</v>
      </c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 t="s">
        <v>100</v>
      </c>
      <c r="AW1051" s="8" t="s">
        <v>100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/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 t="s">
        <v>100</v>
      </c>
      <c r="BJ1051" s="4">
        <v>6</v>
      </c>
      <c r="BK1051" s="8">
        <v>293.04</v>
      </c>
      <c r="BL1051" s="2" t="s">
        <v>3554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266</v>
      </c>
      <c r="BX1051" s="2" t="s">
        <v>3555</v>
      </c>
      <c r="BY1051" s="2" t="s">
        <v>112</v>
      </c>
      <c r="BZ1051" s="2" t="s">
        <v>100</v>
      </c>
    </row>
    <row r="1052">
      <c r="A1052" s="2" t="s">
        <v>3556</v>
      </c>
      <c r="B1052" s="2" t="s">
        <v>87</v>
      </c>
      <c r="C1052" s="2" t="s">
        <v>3381</v>
      </c>
      <c r="D1052" s="2" t="s">
        <v>89</v>
      </c>
      <c r="E1052" s="2" t="s">
        <v>1944</v>
      </c>
      <c r="F1052" s="2" t="s">
        <v>3525</v>
      </c>
      <c r="G1052" s="2" t="s">
        <v>1369</v>
      </c>
      <c r="H1052" s="2" t="s">
        <v>3526</v>
      </c>
      <c r="I1052" s="2" t="s">
        <v>3532</v>
      </c>
      <c r="J1052" s="2" t="s">
        <v>95</v>
      </c>
      <c r="K1052" s="2" t="s">
        <v>3552</v>
      </c>
      <c r="L1052" s="3">
        <v>55.61</v>
      </c>
      <c r="M1052" s="3">
        <v>58.39</v>
      </c>
      <c r="N1052" s="3">
        <v>99.99</v>
      </c>
      <c r="O1052" s="2" t="s">
        <v>97</v>
      </c>
      <c r="P1052" s="2" t="s">
        <v>98</v>
      </c>
      <c r="Q1052" s="2" t="s">
        <v>99</v>
      </c>
      <c r="R1052" s="2" t="s">
        <v>100</v>
      </c>
      <c r="S1052" s="2" t="s">
        <v>3553</v>
      </c>
      <c r="T1052" s="2" t="s">
        <v>100</v>
      </c>
      <c r="U1052" s="2" t="s">
        <v>343</v>
      </c>
      <c r="V1052" s="2" t="s">
        <v>677</v>
      </c>
      <c r="W1052" s="2" t="s">
        <v>104</v>
      </c>
      <c r="X1052" s="2" t="s">
        <v>499</v>
      </c>
      <c r="Y1052" s="2" t="s">
        <v>3327</v>
      </c>
      <c r="Z1052" s="4">
        <v>191</v>
      </c>
      <c r="AA1052" s="4">
        <f>=ROUNDDOWN(23.875,0)</f>
      </c>
      <c r="AB1052" s="5">
        <v>8</v>
      </c>
      <c r="AC1052" s="2" t="s">
        <v>368</v>
      </c>
      <c r="AD1052" s="4">
        <v>50</v>
      </c>
      <c r="AE1052" s="4">
        <v>233</v>
      </c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/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6</v>
      </c>
      <c r="BK1052" s="8">
        <v>321.24</v>
      </c>
      <c r="BL1052" s="2" t="s">
        <v>3197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266</v>
      </c>
      <c r="BX1052" s="2" t="s">
        <v>3061</v>
      </c>
      <c r="BY1052" s="2" t="s">
        <v>112</v>
      </c>
      <c r="BZ1052" s="2" t="s">
        <v>100</v>
      </c>
    </row>
    <row r="1053">
      <c r="A1053" s="2" t="s">
        <v>3557</v>
      </c>
      <c r="B1053" s="2" t="s">
        <v>87</v>
      </c>
      <c r="C1053" s="2" t="s">
        <v>3381</v>
      </c>
      <c r="D1053" s="2" t="s">
        <v>89</v>
      </c>
      <c r="E1053" s="2" t="s">
        <v>1944</v>
      </c>
      <c r="F1053" s="2" t="s">
        <v>3525</v>
      </c>
      <c r="G1053" s="2" t="s">
        <v>1369</v>
      </c>
      <c r="H1053" s="2" t="s">
        <v>3526</v>
      </c>
      <c r="I1053" s="2" t="s">
        <v>3532</v>
      </c>
      <c r="J1053" s="2" t="s">
        <v>114</v>
      </c>
      <c r="K1053" s="2" t="s">
        <v>3552</v>
      </c>
      <c r="L1053" s="3">
        <v>60.44</v>
      </c>
      <c r="M1053" s="3">
        <v>63.46</v>
      </c>
      <c r="N1053" s="3">
        <v>109.99</v>
      </c>
      <c r="O1053" s="2" t="s">
        <v>97</v>
      </c>
      <c r="P1053" s="2" t="s">
        <v>98</v>
      </c>
      <c r="Q1053" s="2" t="s">
        <v>99</v>
      </c>
      <c r="R1053" s="2" t="s">
        <v>100</v>
      </c>
      <c r="S1053" s="2" t="s">
        <v>3553</v>
      </c>
      <c r="T1053" s="2" t="s">
        <v>100</v>
      </c>
      <c r="U1053" s="2" t="s">
        <v>343</v>
      </c>
      <c r="V1053" s="2" t="s">
        <v>677</v>
      </c>
      <c r="W1053" s="2" t="s">
        <v>104</v>
      </c>
      <c r="X1053" s="2" t="s">
        <v>499</v>
      </c>
      <c r="Y1053" s="2" t="s">
        <v>3327</v>
      </c>
      <c r="Z1053" s="4">
        <v>213</v>
      </c>
      <c r="AA1053" s="4">
        <f>=ROUNDDOWN(10.65,0)</f>
      </c>
      <c r="AB1053" s="5">
        <v>20</v>
      </c>
      <c r="AC1053" s="2" t="s">
        <v>368</v>
      </c>
      <c r="AD1053" s="4">
        <v>160</v>
      </c>
      <c r="AE1053" s="4">
        <v>656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/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 t="s">
        <v>100</v>
      </c>
      <c r="BJ1053" s="4">
        <v>11</v>
      </c>
      <c r="BK1053" s="8">
        <v>695.59</v>
      </c>
      <c r="BL1053" s="2" t="s">
        <v>374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266</v>
      </c>
      <c r="BX1053" s="2" t="s">
        <v>3054</v>
      </c>
      <c r="BY1053" s="2" t="s">
        <v>112</v>
      </c>
      <c r="BZ1053" s="2" t="s">
        <v>100</v>
      </c>
    </row>
    <row r="1054">
      <c r="A1054" s="2" t="s">
        <v>3558</v>
      </c>
      <c r="B1054" s="2" t="s">
        <v>87</v>
      </c>
      <c r="C1054" s="2" t="s">
        <v>3381</v>
      </c>
      <c r="D1054" s="2" t="s">
        <v>89</v>
      </c>
      <c r="E1054" s="2" t="s">
        <v>1944</v>
      </c>
      <c r="F1054" s="2" t="s">
        <v>3525</v>
      </c>
      <c r="G1054" s="2" t="s">
        <v>1369</v>
      </c>
      <c r="H1054" s="2" t="s">
        <v>3526</v>
      </c>
      <c r="I1054" s="2" t="s">
        <v>3532</v>
      </c>
      <c r="J1054" s="2" t="s">
        <v>120</v>
      </c>
      <c r="K1054" s="2" t="s">
        <v>3552</v>
      </c>
      <c r="L1054" s="3">
        <v>65.28</v>
      </c>
      <c r="M1054" s="3">
        <v>68.54</v>
      </c>
      <c r="N1054" s="3">
        <v>119.99</v>
      </c>
      <c r="O1054" s="2" t="s">
        <v>97</v>
      </c>
      <c r="P1054" s="2" t="s">
        <v>98</v>
      </c>
      <c r="Q1054" s="2" t="s">
        <v>99</v>
      </c>
      <c r="R1054" s="2" t="s">
        <v>100</v>
      </c>
      <c r="S1054" s="2" t="s">
        <v>3553</v>
      </c>
      <c r="T1054" s="2" t="s">
        <v>100</v>
      </c>
      <c r="U1054" s="2" t="s">
        <v>343</v>
      </c>
      <c r="V1054" s="2" t="s">
        <v>677</v>
      </c>
      <c r="W1054" s="2" t="s">
        <v>104</v>
      </c>
      <c r="X1054" s="2" t="s">
        <v>499</v>
      </c>
      <c r="Y1054" s="2" t="s">
        <v>3327</v>
      </c>
      <c r="Z1054" s="4">
        <v>397</v>
      </c>
      <c r="AA1054" s="4">
        <f>=ROUNDDOWN(28.3571428571429,0)</f>
      </c>
      <c r="AB1054" s="5">
        <v>14</v>
      </c>
      <c r="AC1054" s="2" t="s">
        <v>2579</v>
      </c>
      <c r="AD1054" s="4">
        <v>267</v>
      </c>
      <c r="AE1054" s="4">
        <v>297</v>
      </c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/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11</v>
      </c>
      <c r="BK1054" s="8">
        <v>775.11</v>
      </c>
      <c r="BL1054" s="2" t="s">
        <v>3559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266</v>
      </c>
      <c r="BX1054" s="2" t="s">
        <v>3555</v>
      </c>
      <c r="BY1054" s="2" t="s">
        <v>112</v>
      </c>
      <c r="BZ1054" s="2" t="s">
        <v>100</v>
      </c>
    </row>
    <row r="1055">
      <c r="A1055" s="2" t="s">
        <v>3560</v>
      </c>
      <c r="B1055" s="2" t="s">
        <v>87</v>
      </c>
      <c r="C1055" s="2" t="s">
        <v>3381</v>
      </c>
      <c r="D1055" s="2" t="s">
        <v>89</v>
      </c>
      <c r="E1055" s="2" t="s">
        <v>1944</v>
      </c>
      <c r="F1055" s="2" t="s">
        <v>3525</v>
      </c>
      <c r="G1055" s="2" t="s">
        <v>1369</v>
      </c>
      <c r="H1055" s="2" t="s">
        <v>3526</v>
      </c>
      <c r="I1055" s="2" t="s">
        <v>3532</v>
      </c>
      <c r="J1055" s="2" t="s">
        <v>124</v>
      </c>
      <c r="K1055" s="2" t="s">
        <v>3552</v>
      </c>
      <c r="L1055" s="3">
        <v>65.28</v>
      </c>
      <c r="M1055" s="3">
        <v>68.54</v>
      </c>
      <c r="N1055" s="3">
        <v>119.99</v>
      </c>
      <c r="O1055" s="2" t="s">
        <v>97</v>
      </c>
      <c r="P1055" s="2" t="s">
        <v>98</v>
      </c>
      <c r="Q1055" s="2" t="s">
        <v>99</v>
      </c>
      <c r="R1055" s="2" t="s">
        <v>100</v>
      </c>
      <c r="S1055" s="2" t="s">
        <v>3553</v>
      </c>
      <c r="T1055" s="2" t="s">
        <v>100</v>
      </c>
      <c r="U1055" s="2" t="s">
        <v>343</v>
      </c>
      <c r="V1055" s="2" t="s">
        <v>677</v>
      </c>
      <c r="W1055" s="2" t="s">
        <v>104</v>
      </c>
      <c r="X1055" s="2" t="s">
        <v>499</v>
      </c>
      <c r="Y1055" s="2" t="s">
        <v>3327</v>
      </c>
      <c r="Z1055" s="4">
        <v>167</v>
      </c>
      <c r="AA1055" s="4">
        <f>=ROUNDDOWN(20.875,0)</f>
      </c>
      <c r="AB1055" s="5">
        <v>8</v>
      </c>
      <c r="AC1055" s="2" t="s">
        <v>2552</v>
      </c>
      <c r="AD1055" s="4">
        <v>80</v>
      </c>
      <c r="AE1055" s="4">
        <v>313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 t="s">
        <v>100</v>
      </c>
      <c r="AW1055" s="8" t="s">
        <v>100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/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 t="s">
        <v>100</v>
      </c>
      <c r="BJ1055" s="4">
        <v>8</v>
      </c>
      <c r="BK1055" s="8">
        <v>582.67</v>
      </c>
      <c r="BL1055" s="2" t="s">
        <v>3561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266</v>
      </c>
      <c r="BX1055" s="2" t="s">
        <v>3562</v>
      </c>
      <c r="BY1055" s="2" t="s">
        <v>112</v>
      </c>
      <c r="BZ1055" s="2" t="s">
        <v>100</v>
      </c>
    </row>
    <row r="1056">
      <c r="A1056" s="2" t="s">
        <v>3563</v>
      </c>
      <c r="B1056" s="2" t="s">
        <v>87</v>
      </c>
      <c r="C1056" s="2" t="s">
        <v>3381</v>
      </c>
      <c r="D1056" s="2" t="s">
        <v>89</v>
      </c>
      <c r="E1056" s="2" t="s">
        <v>1944</v>
      </c>
      <c r="F1056" s="2" t="s">
        <v>3564</v>
      </c>
      <c r="G1056" s="2" t="s">
        <v>3150</v>
      </c>
      <c r="H1056" s="2" t="s">
        <v>3565</v>
      </c>
      <c r="I1056" s="2" t="s">
        <v>3527</v>
      </c>
      <c r="J1056" s="2" t="s">
        <v>2236</v>
      </c>
      <c r="K1056" s="2" t="s">
        <v>416</v>
      </c>
      <c r="L1056" s="3">
        <v>51.99</v>
      </c>
      <c r="M1056" s="3">
        <v>54.59</v>
      </c>
      <c r="N1056" s="3">
        <v>99.99</v>
      </c>
      <c r="O1056" s="2" t="s">
        <v>473</v>
      </c>
      <c r="P1056" s="2" t="s">
        <v>447</v>
      </c>
      <c r="Q1056" s="2" t="s">
        <v>99</v>
      </c>
      <c r="R1056" s="2" t="s">
        <v>100</v>
      </c>
      <c r="S1056" s="2" t="s">
        <v>3566</v>
      </c>
      <c r="T1056" s="2" t="s">
        <v>100</v>
      </c>
      <c r="U1056" s="2" t="s">
        <v>102</v>
      </c>
      <c r="V1056" s="2" t="s">
        <v>677</v>
      </c>
      <c r="W1056" s="2" t="s">
        <v>104</v>
      </c>
      <c r="X1056" s="2" t="s">
        <v>450</v>
      </c>
      <c r="Y1056" s="2" t="s">
        <v>131</v>
      </c>
      <c r="Z1056" s="4">
        <v>97</v>
      </c>
      <c r="AA1056" s="4">
        <f>=ROUNDDOWN(97,0)</f>
      </c>
      <c r="AB1056" s="5">
        <v>1</v>
      </c>
      <c r="AC1056" s="2" t="s">
        <v>100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>
        <v>3</v>
      </c>
      <c r="AW1056" s="8">
        <v>195.35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/>
      <c r="BC1056" s="4">
        <v>3</v>
      </c>
      <c r="BD1056" s="8">
        <v>195.35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>
        <v>1</v>
      </c>
      <c r="BJ1056" s="4">
        <v>4</v>
      </c>
      <c r="BK1056" s="8">
        <v>231.17</v>
      </c>
      <c r="BL1056" s="2" t="s">
        <v>273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544</v>
      </c>
      <c r="BX1056" s="2" t="s">
        <v>1842</v>
      </c>
      <c r="BY1056" s="2" t="s">
        <v>112</v>
      </c>
      <c r="BZ1056" s="2" t="s">
        <v>100</v>
      </c>
    </row>
    <row r="1057">
      <c r="A1057" s="2" t="s">
        <v>3567</v>
      </c>
      <c r="B1057" s="2" t="s">
        <v>87</v>
      </c>
      <c r="C1057" s="2" t="s">
        <v>3381</v>
      </c>
      <c r="D1057" s="2" t="s">
        <v>89</v>
      </c>
      <c r="E1057" s="2" t="s">
        <v>1944</v>
      </c>
      <c r="F1057" s="2" t="s">
        <v>3564</v>
      </c>
      <c r="G1057" s="2" t="s">
        <v>3150</v>
      </c>
      <c r="H1057" s="2" t="s">
        <v>3565</v>
      </c>
      <c r="I1057" s="2" t="s">
        <v>3532</v>
      </c>
      <c r="J1057" s="2" t="s">
        <v>95</v>
      </c>
      <c r="K1057" s="2" t="s">
        <v>416</v>
      </c>
      <c r="L1057" s="3">
        <v>57.19</v>
      </c>
      <c r="M1057" s="3">
        <v>60.05</v>
      </c>
      <c r="N1057" s="3">
        <v>109.99</v>
      </c>
      <c r="O1057" s="2" t="s">
        <v>97</v>
      </c>
      <c r="P1057" s="2" t="s">
        <v>447</v>
      </c>
      <c r="Q1057" s="2" t="s">
        <v>99</v>
      </c>
      <c r="R1057" s="2" t="s">
        <v>100</v>
      </c>
      <c r="S1057" s="2" t="s">
        <v>3566</v>
      </c>
      <c r="T1057" s="2" t="s">
        <v>100</v>
      </c>
      <c r="U1057" s="2" t="s">
        <v>343</v>
      </c>
      <c r="V1057" s="2" t="s">
        <v>677</v>
      </c>
      <c r="W1057" s="2" t="s">
        <v>104</v>
      </c>
      <c r="X1057" s="2" t="s">
        <v>450</v>
      </c>
      <c r="Y1057" s="2" t="s">
        <v>131</v>
      </c>
      <c r="Z1057" s="4">
        <v>56</v>
      </c>
      <c r="AA1057" s="4">
        <f>=ROUNDDOWN(11.2,0)</f>
      </c>
      <c r="AB1057" s="5">
        <v>5</v>
      </c>
      <c r="AC1057" s="2" t="s">
        <v>100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1</v>
      </c>
      <c r="AQ1057" s="8">
        <v>61.05</v>
      </c>
      <c r="AR1057" s="4"/>
      <c r="AS1057" s="8"/>
      <c r="AT1057" s="7"/>
      <c r="AU1057" s="7"/>
      <c r="AV1057" s="4" t="s">
        <v>100</v>
      </c>
      <c r="AW1057" s="8" t="s">
        <v>100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0.3125</v>
      </c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 t="s">
        <v>100</v>
      </c>
      <c r="BJ1057" s="4">
        <v>4</v>
      </c>
      <c r="BK1057" s="8">
        <v>237.65</v>
      </c>
      <c r="BL1057" s="2" t="s">
        <v>3568</v>
      </c>
      <c r="BM1057" s="7">
        <v>0.25</v>
      </c>
      <c r="BN1057" s="7">
        <v>0.2569</v>
      </c>
      <c r="BO1057" s="4">
        <v>1</v>
      </c>
      <c r="BP1057" s="8">
        <v>61.05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544</v>
      </c>
      <c r="BX1057" s="2" t="s">
        <v>634</v>
      </c>
      <c r="BY1057" s="2" t="s">
        <v>112</v>
      </c>
      <c r="BZ1057" s="2" t="s">
        <v>100</v>
      </c>
    </row>
    <row r="1058">
      <c r="A1058" s="2" t="s">
        <v>3569</v>
      </c>
      <c r="B1058" s="2" t="s">
        <v>87</v>
      </c>
      <c r="C1058" s="2" t="s">
        <v>3381</v>
      </c>
      <c r="D1058" s="2" t="s">
        <v>89</v>
      </c>
      <c r="E1058" s="2" t="s">
        <v>1944</v>
      </c>
      <c r="F1058" s="2" t="s">
        <v>3564</v>
      </c>
      <c r="G1058" s="2" t="s">
        <v>3150</v>
      </c>
      <c r="H1058" s="2" t="s">
        <v>3565</v>
      </c>
      <c r="I1058" s="2" t="s">
        <v>3532</v>
      </c>
      <c r="J1058" s="2" t="s">
        <v>114</v>
      </c>
      <c r="K1058" s="2" t="s">
        <v>416</v>
      </c>
      <c r="L1058" s="3">
        <v>62.39</v>
      </c>
      <c r="M1058" s="3">
        <v>65.51</v>
      </c>
      <c r="N1058" s="3">
        <v>119.99</v>
      </c>
      <c r="O1058" s="2" t="s">
        <v>97</v>
      </c>
      <c r="P1058" s="2" t="s">
        <v>447</v>
      </c>
      <c r="Q1058" s="2" t="s">
        <v>99</v>
      </c>
      <c r="R1058" s="2" t="s">
        <v>100</v>
      </c>
      <c r="S1058" s="2" t="s">
        <v>3566</v>
      </c>
      <c r="T1058" s="2" t="s">
        <v>100</v>
      </c>
      <c r="U1058" s="2" t="s">
        <v>343</v>
      </c>
      <c r="V1058" s="2" t="s">
        <v>677</v>
      </c>
      <c r="W1058" s="2" t="s">
        <v>104</v>
      </c>
      <c r="X1058" s="2" t="s">
        <v>450</v>
      </c>
      <c r="Y1058" s="2" t="s">
        <v>131</v>
      </c>
      <c r="Z1058" s="4">
        <v>278</v>
      </c>
      <c r="AA1058" s="4">
        <f>=ROUNDDOWN(23.1666666666667,0)</f>
      </c>
      <c r="AB1058" s="5">
        <v>12</v>
      </c>
      <c r="AC1058" s="2" t="s">
        <v>100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>
        <v>2</v>
      </c>
      <c r="AQ1058" s="8">
        <v>134.3</v>
      </c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0.6875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17</v>
      </c>
      <c r="BK1058" s="8">
        <v>1072.75</v>
      </c>
      <c r="BL1058" s="2" t="s">
        <v>3570</v>
      </c>
      <c r="BM1058" s="7">
        <v>0.1176</v>
      </c>
      <c r="BN1058" s="7">
        <v>0.1252</v>
      </c>
      <c r="BO1058" s="4">
        <v>2</v>
      </c>
      <c r="BP1058" s="8">
        <v>134.3</v>
      </c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544</v>
      </c>
      <c r="BX1058" s="2" t="s">
        <v>457</v>
      </c>
      <c r="BY1058" s="2" t="s">
        <v>112</v>
      </c>
      <c r="BZ1058" s="2" t="s">
        <v>100</v>
      </c>
    </row>
    <row r="1059">
      <c r="A1059" s="2" t="s">
        <v>3571</v>
      </c>
      <c r="B1059" s="2" t="s">
        <v>87</v>
      </c>
      <c r="C1059" s="2" t="s">
        <v>3381</v>
      </c>
      <c r="D1059" s="2" t="s">
        <v>89</v>
      </c>
      <c r="E1059" s="2" t="s">
        <v>1944</v>
      </c>
      <c r="F1059" s="2" t="s">
        <v>3564</v>
      </c>
      <c r="G1059" s="2" t="s">
        <v>3150</v>
      </c>
      <c r="H1059" s="2" t="s">
        <v>3565</v>
      </c>
      <c r="I1059" s="2" t="s">
        <v>3532</v>
      </c>
      <c r="J1059" s="2" t="s">
        <v>120</v>
      </c>
      <c r="K1059" s="2" t="s">
        <v>416</v>
      </c>
      <c r="L1059" s="3">
        <v>67.59</v>
      </c>
      <c r="M1059" s="3">
        <v>70.97</v>
      </c>
      <c r="N1059" s="3">
        <v>129.99</v>
      </c>
      <c r="O1059" s="2" t="s">
        <v>97</v>
      </c>
      <c r="P1059" s="2" t="s">
        <v>447</v>
      </c>
      <c r="Q1059" s="2" t="s">
        <v>99</v>
      </c>
      <c r="R1059" s="2" t="s">
        <v>100</v>
      </c>
      <c r="S1059" s="2" t="s">
        <v>3566</v>
      </c>
      <c r="T1059" s="2" t="s">
        <v>100</v>
      </c>
      <c r="U1059" s="2" t="s">
        <v>343</v>
      </c>
      <c r="V1059" s="2" t="s">
        <v>677</v>
      </c>
      <c r="W1059" s="2" t="s">
        <v>104</v>
      </c>
      <c r="X1059" s="2" t="s">
        <v>450</v>
      </c>
      <c r="Y1059" s="2" t="s">
        <v>131</v>
      </c>
      <c r="Z1059" s="4">
        <v>154</v>
      </c>
      <c r="AA1059" s="4">
        <f>=ROUNDDOWN(26.1016949152542,0)</f>
      </c>
      <c r="AB1059" s="5">
        <v>5.9</v>
      </c>
      <c r="AC1059" s="2" t="s">
        <v>100</v>
      </c>
      <c r="AD1059" s="4"/>
      <c r="AE1059" s="4"/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 t="s">
        <v>100</v>
      </c>
      <c r="AW1059" s="8" t="s">
        <v>100</v>
      </c>
      <c r="AX1059" s="4" t="s">
        <v>100</v>
      </c>
      <c r="AY1059" s="8" t="s">
        <v>100</v>
      </c>
      <c r="AZ1059" s="7" t="s">
        <v>100</v>
      </c>
      <c r="BA1059" s="7" t="s">
        <v>100</v>
      </c>
      <c r="BB1059" s="7"/>
      <c r="BC1059" s="4" t="s">
        <v>100</v>
      </c>
      <c r="BD1059" s="8" t="s">
        <v>100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 t="s">
        <v>100</v>
      </c>
      <c r="BJ1059" s="4">
        <v>7</v>
      </c>
      <c r="BK1059" s="8">
        <v>500.13</v>
      </c>
      <c r="BL1059" s="2" t="s">
        <v>3572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544</v>
      </c>
      <c r="BX1059" s="2" t="s">
        <v>723</v>
      </c>
      <c r="BY1059" s="2" t="s">
        <v>112</v>
      </c>
      <c r="BZ1059" s="2" t="s">
        <v>100</v>
      </c>
    </row>
    <row r="1060">
      <c r="A1060" s="2" t="s">
        <v>3573</v>
      </c>
      <c r="B1060" s="2" t="s">
        <v>87</v>
      </c>
      <c r="C1060" s="2" t="s">
        <v>3381</v>
      </c>
      <c r="D1060" s="2" t="s">
        <v>89</v>
      </c>
      <c r="E1060" s="2" t="s">
        <v>1944</v>
      </c>
      <c r="F1060" s="2" t="s">
        <v>3564</v>
      </c>
      <c r="G1060" s="2" t="s">
        <v>3150</v>
      </c>
      <c r="H1060" s="2" t="s">
        <v>3565</v>
      </c>
      <c r="I1060" s="2" t="s">
        <v>3532</v>
      </c>
      <c r="J1060" s="2" t="s">
        <v>124</v>
      </c>
      <c r="K1060" s="2" t="s">
        <v>416</v>
      </c>
      <c r="L1060" s="3">
        <v>67.59</v>
      </c>
      <c r="M1060" s="3">
        <v>70.97</v>
      </c>
      <c r="N1060" s="3">
        <v>129.99</v>
      </c>
      <c r="O1060" s="2" t="s">
        <v>97</v>
      </c>
      <c r="P1060" s="2" t="s">
        <v>447</v>
      </c>
      <c r="Q1060" s="2" t="s">
        <v>99</v>
      </c>
      <c r="R1060" s="2" t="s">
        <v>100</v>
      </c>
      <c r="S1060" s="2" t="s">
        <v>3566</v>
      </c>
      <c r="T1060" s="2" t="s">
        <v>100</v>
      </c>
      <c r="U1060" s="2" t="s">
        <v>343</v>
      </c>
      <c r="V1060" s="2" t="s">
        <v>677</v>
      </c>
      <c r="W1060" s="2" t="s">
        <v>104</v>
      </c>
      <c r="X1060" s="2" t="s">
        <v>450</v>
      </c>
      <c r="Y1060" s="2" t="s">
        <v>131</v>
      </c>
      <c r="Z1060" s="4">
        <v>81</v>
      </c>
      <c r="AA1060" s="4">
        <f>=ROUNDDOWN(20.25,0)</f>
      </c>
      <c r="AB1060" s="5">
        <v>4</v>
      </c>
      <c r="AC1060" s="2" t="s">
        <v>100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 t="s">
        <v>100</v>
      </c>
      <c r="AW1060" s="8" t="s">
        <v>100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 t="s">
        <v>100</v>
      </c>
      <c r="BJ1060" s="4">
        <v>3</v>
      </c>
      <c r="BK1060" s="8">
        <v>233.84</v>
      </c>
      <c r="BL1060" s="2" t="s">
        <v>3574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544</v>
      </c>
      <c r="BX1060" s="2" t="s">
        <v>1013</v>
      </c>
      <c r="BY1060" s="2" t="s">
        <v>112</v>
      </c>
      <c r="BZ1060" s="2" t="s">
        <v>100</v>
      </c>
    </row>
    <row r="1061">
      <c r="A1061" s="2" t="s">
        <v>3575</v>
      </c>
      <c r="B1061" s="2" t="s">
        <v>87</v>
      </c>
      <c r="C1061" s="2" t="s">
        <v>3381</v>
      </c>
      <c r="D1061" s="2" t="s">
        <v>89</v>
      </c>
      <c r="E1061" s="2" t="s">
        <v>1944</v>
      </c>
      <c r="F1061" s="2" t="s">
        <v>3576</v>
      </c>
      <c r="G1061" s="2" t="s">
        <v>3577</v>
      </c>
      <c r="H1061" s="2" t="s">
        <v>3578</v>
      </c>
      <c r="I1061" s="2" t="s">
        <v>3579</v>
      </c>
      <c r="J1061" s="2" t="s">
        <v>2236</v>
      </c>
      <c r="K1061" s="2" t="s">
        <v>253</v>
      </c>
      <c r="L1061" s="3">
        <v>38.4</v>
      </c>
      <c r="M1061" s="3">
        <v>40.31</v>
      </c>
      <c r="N1061" s="3">
        <v>79.99</v>
      </c>
      <c r="O1061" s="2" t="s">
        <v>97</v>
      </c>
      <c r="P1061" s="2" t="s">
        <v>341</v>
      </c>
      <c r="Q1061" s="2" t="s">
        <v>99</v>
      </c>
      <c r="R1061" s="2" t="s">
        <v>100</v>
      </c>
      <c r="S1061" s="2" t="s">
        <v>3580</v>
      </c>
      <c r="T1061" s="2" t="s">
        <v>100</v>
      </c>
      <c r="U1061" s="2" t="s">
        <v>676</v>
      </c>
      <c r="V1061" s="2" t="s">
        <v>663</v>
      </c>
      <c r="W1061" s="2" t="s">
        <v>976</v>
      </c>
      <c r="X1061" s="2" t="s">
        <v>1241</v>
      </c>
      <c r="Y1061" s="2" t="s">
        <v>704</v>
      </c>
      <c r="Z1061" s="4">
        <v>394</v>
      </c>
      <c r="AA1061" s="4">
        <f>=ROUNDDOWN(24.625,0)</f>
      </c>
      <c r="AB1061" s="5">
        <v>16</v>
      </c>
      <c r="AC1061" s="2" t="s">
        <v>871</v>
      </c>
      <c r="AD1061" s="4">
        <v>30</v>
      </c>
      <c r="AE1061" s="4">
        <v>210</v>
      </c>
      <c r="AF1061" s="6">
        <v>65</v>
      </c>
      <c r="AG1061" s="6">
        <v>73</v>
      </c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1</v>
      </c>
      <c r="AQ1061" s="8">
        <v>42.34</v>
      </c>
      <c r="AR1061" s="4"/>
      <c r="AS1061" s="8"/>
      <c r="AT1061" s="7"/>
      <c r="AU1061" s="7"/>
      <c r="AV1061" s="4">
        <v>2</v>
      </c>
      <c r="AW1061" s="8">
        <v>102.98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>
        <v>0.4111</v>
      </c>
      <c r="BC1061" s="4">
        <v>2</v>
      </c>
      <c r="BD1061" s="8">
        <v>102.98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>
        <v>1</v>
      </c>
      <c r="BJ1061" s="4">
        <v>15</v>
      </c>
      <c r="BK1061" s="8">
        <v>614.64</v>
      </c>
      <c r="BL1061" s="2" t="s">
        <v>3581</v>
      </c>
      <c r="BM1061" s="7">
        <v>0.0667</v>
      </c>
      <c r="BN1061" s="7">
        <v>0.0689</v>
      </c>
      <c r="BO1061" s="4">
        <v>1</v>
      </c>
      <c r="BP1061" s="8">
        <v>42.34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110</v>
      </c>
      <c r="BX1061" s="2" t="s">
        <v>964</v>
      </c>
      <c r="BY1061" s="2" t="s">
        <v>112</v>
      </c>
      <c r="BZ1061" s="2" t="s">
        <v>100</v>
      </c>
    </row>
    <row r="1062">
      <c r="A1062" s="2" t="s">
        <v>3582</v>
      </c>
      <c r="B1062" s="2" t="s">
        <v>87</v>
      </c>
      <c r="C1062" s="2" t="s">
        <v>3381</v>
      </c>
      <c r="D1062" s="2" t="s">
        <v>89</v>
      </c>
      <c r="E1062" s="2" t="s">
        <v>1944</v>
      </c>
      <c r="F1062" s="2" t="s">
        <v>3576</v>
      </c>
      <c r="G1062" s="2" t="s">
        <v>3577</v>
      </c>
      <c r="H1062" s="2" t="s">
        <v>3578</v>
      </c>
      <c r="I1062" s="2" t="s">
        <v>3583</v>
      </c>
      <c r="J1062" s="2" t="s">
        <v>95</v>
      </c>
      <c r="K1062" s="2" t="s">
        <v>253</v>
      </c>
      <c r="L1062" s="3">
        <v>44.99</v>
      </c>
      <c r="M1062" s="3">
        <v>47.24</v>
      </c>
      <c r="N1062" s="3">
        <v>89.99</v>
      </c>
      <c r="O1062" s="2" t="s">
        <v>97</v>
      </c>
      <c r="P1062" s="2" t="s">
        <v>341</v>
      </c>
      <c r="Q1062" s="2" t="s">
        <v>99</v>
      </c>
      <c r="R1062" s="2" t="s">
        <v>100</v>
      </c>
      <c r="S1062" s="2" t="s">
        <v>3580</v>
      </c>
      <c r="T1062" s="2" t="s">
        <v>100</v>
      </c>
      <c r="U1062" s="2" t="s">
        <v>283</v>
      </c>
      <c r="V1062" s="2" t="s">
        <v>663</v>
      </c>
      <c r="W1062" s="2" t="s">
        <v>976</v>
      </c>
      <c r="X1062" s="2" t="s">
        <v>1241</v>
      </c>
      <c r="Y1062" s="2" t="s">
        <v>704</v>
      </c>
      <c r="Z1062" s="4">
        <v>362</v>
      </c>
      <c r="AA1062" s="4">
        <f>=ROUNDDOWN(21.2941176470588,0)</f>
      </c>
      <c r="AB1062" s="5">
        <v>17</v>
      </c>
      <c r="AC1062" s="2" t="s">
        <v>871</v>
      </c>
      <c r="AD1062" s="4">
        <v>30</v>
      </c>
      <c r="AE1062" s="4">
        <v>260</v>
      </c>
      <c r="AF1062" s="6">
        <v>65</v>
      </c>
      <c r="AG1062" s="6">
        <v>73</v>
      </c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100</v>
      </c>
      <c r="AW1062" s="8" t="s">
        <v>100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 t="s">
        <v>100</v>
      </c>
      <c r="BJ1062" s="4">
        <v>15</v>
      </c>
      <c r="BK1062" s="8">
        <v>689.11</v>
      </c>
      <c r="BL1062" s="2" t="s">
        <v>2060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110</v>
      </c>
      <c r="BX1062" s="2" t="s">
        <v>3584</v>
      </c>
      <c r="BY1062" s="2" t="s">
        <v>112</v>
      </c>
      <c r="BZ1062" s="2" t="s">
        <v>100</v>
      </c>
    </row>
    <row r="1063">
      <c r="A1063" s="2" t="s">
        <v>3585</v>
      </c>
      <c r="B1063" s="2" t="s">
        <v>87</v>
      </c>
      <c r="C1063" s="2" t="s">
        <v>3381</v>
      </c>
      <c r="D1063" s="2" t="s">
        <v>89</v>
      </c>
      <c r="E1063" s="2" t="s">
        <v>1944</v>
      </c>
      <c r="F1063" s="2" t="s">
        <v>3576</v>
      </c>
      <c r="G1063" s="2" t="s">
        <v>3577</v>
      </c>
      <c r="H1063" s="2" t="s">
        <v>3578</v>
      </c>
      <c r="I1063" s="2" t="s">
        <v>3583</v>
      </c>
      <c r="J1063" s="2" t="s">
        <v>114</v>
      </c>
      <c r="K1063" s="2" t="s">
        <v>253</v>
      </c>
      <c r="L1063" s="3">
        <v>49.99</v>
      </c>
      <c r="M1063" s="3">
        <v>52.49</v>
      </c>
      <c r="N1063" s="3">
        <v>99.99</v>
      </c>
      <c r="O1063" s="2" t="s">
        <v>97</v>
      </c>
      <c r="P1063" s="2" t="s">
        <v>341</v>
      </c>
      <c r="Q1063" s="2" t="s">
        <v>99</v>
      </c>
      <c r="R1063" s="2" t="s">
        <v>100</v>
      </c>
      <c r="S1063" s="2" t="s">
        <v>3580</v>
      </c>
      <c r="T1063" s="2" t="s">
        <v>100</v>
      </c>
      <c r="U1063" s="2" t="s">
        <v>283</v>
      </c>
      <c r="V1063" s="2" t="s">
        <v>663</v>
      </c>
      <c r="W1063" s="2" t="s">
        <v>976</v>
      </c>
      <c r="X1063" s="2" t="s">
        <v>1241</v>
      </c>
      <c r="Y1063" s="2" t="s">
        <v>3091</v>
      </c>
      <c r="Z1063" s="4">
        <v>772</v>
      </c>
      <c r="AA1063" s="4">
        <f>=ROUNDDOWN(17.1555555555556,0)</f>
      </c>
      <c r="AB1063" s="5">
        <v>45</v>
      </c>
      <c r="AC1063" s="2" t="s">
        <v>871</v>
      </c>
      <c r="AD1063" s="4">
        <v>30</v>
      </c>
      <c r="AE1063" s="4">
        <v>760</v>
      </c>
      <c r="AF1063" s="6">
        <v>65</v>
      </c>
      <c r="AG1063" s="6">
        <v>73</v>
      </c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>
        <v>35</v>
      </c>
      <c r="BK1063" s="8">
        <v>1836.89</v>
      </c>
      <c r="BL1063" s="2" t="s">
        <v>3586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110</v>
      </c>
      <c r="BX1063" s="2" t="s">
        <v>363</v>
      </c>
      <c r="BY1063" s="2" t="s">
        <v>112</v>
      </c>
      <c r="BZ1063" s="2" t="s">
        <v>100</v>
      </c>
    </row>
    <row r="1064">
      <c r="A1064" s="2" t="s">
        <v>3587</v>
      </c>
      <c r="B1064" s="2" t="s">
        <v>87</v>
      </c>
      <c r="C1064" s="2" t="s">
        <v>3381</v>
      </c>
      <c r="D1064" s="2" t="s">
        <v>89</v>
      </c>
      <c r="E1064" s="2" t="s">
        <v>1944</v>
      </c>
      <c r="F1064" s="2" t="s">
        <v>3576</v>
      </c>
      <c r="G1064" s="2" t="s">
        <v>3577</v>
      </c>
      <c r="H1064" s="2" t="s">
        <v>3578</v>
      </c>
      <c r="I1064" s="2" t="s">
        <v>3583</v>
      </c>
      <c r="J1064" s="2" t="s">
        <v>120</v>
      </c>
      <c r="K1064" s="2" t="s">
        <v>253</v>
      </c>
      <c r="L1064" s="3">
        <v>54.99</v>
      </c>
      <c r="M1064" s="3">
        <v>57.74</v>
      </c>
      <c r="N1064" s="3">
        <v>109.99</v>
      </c>
      <c r="O1064" s="2" t="s">
        <v>97</v>
      </c>
      <c r="P1064" s="2" t="s">
        <v>341</v>
      </c>
      <c r="Q1064" s="2" t="s">
        <v>99</v>
      </c>
      <c r="R1064" s="2" t="s">
        <v>100</v>
      </c>
      <c r="S1064" s="2" t="s">
        <v>3580</v>
      </c>
      <c r="T1064" s="2" t="s">
        <v>100</v>
      </c>
      <c r="U1064" s="2" t="s">
        <v>283</v>
      </c>
      <c r="V1064" s="2" t="s">
        <v>663</v>
      </c>
      <c r="W1064" s="2" t="s">
        <v>976</v>
      </c>
      <c r="X1064" s="2" t="s">
        <v>1241</v>
      </c>
      <c r="Y1064" s="2" t="s">
        <v>704</v>
      </c>
      <c r="Z1064" s="4">
        <v>550</v>
      </c>
      <c r="AA1064" s="4">
        <f>=ROUNDDOWN(22,0)</f>
      </c>
      <c r="AB1064" s="5">
        <v>25</v>
      </c>
      <c r="AC1064" s="2" t="s">
        <v>871</v>
      </c>
      <c r="AD1064" s="4">
        <v>30</v>
      </c>
      <c r="AE1064" s="4">
        <v>460</v>
      </c>
      <c r="AF1064" s="6">
        <v>65</v>
      </c>
      <c r="AG1064" s="6">
        <v>73</v>
      </c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>
        <v>1</v>
      </c>
      <c r="AQ1064" s="8">
        <v>60.64</v>
      </c>
      <c r="AR1064" s="4"/>
      <c r="AS1064" s="8"/>
      <c r="AT1064" s="7"/>
      <c r="AU1064" s="7"/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>
        <v>0.5889</v>
      </c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 t="s">
        <v>100</v>
      </c>
      <c r="BJ1064" s="4">
        <v>24</v>
      </c>
      <c r="BK1064" s="8">
        <v>1370.26</v>
      </c>
      <c r="BL1064" s="2" t="s">
        <v>3588</v>
      </c>
      <c r="BM1064" s="7">
        <v>0.0417</v>
      </c>
      <c r="BN1064" s="7">
        <v>0.0443</v>
      </c>
      <c r="BO1064" s="4">
        <v>1</v>
      </c>
      <c r="BP1064" s="8">
        <v>60.64</v>
      </c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110</v>
      </c>
      <c r="BX1064" s="2" t="s">
        <v>267</v>
      </c>
      <c r="BY1064" s="2" t="s">
        <v>112</v>
      </c>
      <c r="BZ1064" s="2" t="s">
        <v>100</v>
      </c>
    </row>
    <row r="1065">
      <c r="A1065" s="2" t="s">
        <v>3589</v>
      </c>
      <c r="B1065" s="2" t="s">
        <v>87</v>
      </c>
      <c r="C1065" s="2" t="s">
        <v>3381</v>
      </c>
      <c r="D1065" s="2" t="s">
        <v>89</v>
      </c>
      <c r="E1065" s="2" t="s">
        <v>1944</v>
      </c>
      <c r="F1065" s="2" t="s">
        <v>3576</v>
      </c>
      <c r="G1065" s="2" t="s">
        <v>3577</v>
      </c>
      <c r="H1065" s="2" t="s">
        <v>3578</v>
      </c>
      <c r="I1065" s="2" t="s">
        <v>3583</v>
      </c>
      <c r="J1065" s="2" t="s">
        <v>124</v>
      </c>
      <c r="K1065" s="2" t="s">
        <v>253</v>
      </c>
      <c r="L1065" s="3">
        <v>54.99</v>
      </c>
      <c r="M1065" s="3">
        <v>57.74</v>
      </c>
      <c r="N1065" s="3">
        <v>109.99</v>
      </c>
      <c r="O1065" s="2" t="s">
        <v>97</v>
      </c>
      <c r="P1065" s="2" t="s">
        <v>341</v>
      </c>
      <c r="Q1065" s="2" t="s">
        <v>99</v>
      </c>
      <c r="R1065" s="2" t="s">
        <v>100</v>
      </c>
      <c r="S1065" s="2" t="s">
        <v>3580</v>
      </c>
      <c r="T1065" s="2" t="s">
        <v>100</v>
      </c>
      <c r="U1065" s="2" t="s">
        <v>283</v>
      </c>
      <c r="V1065" s="2" t="s">
        <v>663</v>
      </c>
      <c r="W1065" s="2" t="s">
        <v>976</v>
      </c>
      <c r="X1065" s="2" t="s">
        <v>1241</v>
      </c>
      <c r="Y1065" s="2" t="s">
        <v>704</v>
      </c>
      <c r="Z1065" s="4">
        <v>174</v>
      </c>
      <c r="AA1065" s="4">
        <f>=ROUNDDOWN(21.75,0)</f>
      </c>
      <c r="AB1065" s="5">
        <v>8</v>
      </c>
      <c r="AC1065" s="2" t="s">
        <v>871</v>
      </c>
      <c r="AD1065" s="4">
        <v>40</v>
      </c>
      <c r="AE1065" s="4">
        <v>250</v>
      </c>
      <c r="AF1065" s="6">
        <v>65</v>
      </c>
      <c r="AG1065" s="6">
        <v>73</v>
      </c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 t="s">
        <v>100</v>
      </c>
      <c r="AW1065" s="8" t="s">
        <v>100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/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 t="s">
        <v>100</v>
      </c>
      <c r="BJ1065" s="4">
        <v>11</v>
      </c>
      <c r="BK1065" s="8">
        <v>627.51</v>
      </c>
      <c r="BL1065" s="2" t="s">
        <v>1307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110</v>
      </c>
      <c r="BX1065" s="2" t="s">
        <v>3555</v>
      </c>
      <c r="BY1065" s="2" t="s">
        <v>112</v>
      </c>
      <c r="BZ1065" s="2" t="s">
        <v>100</v>
      </c>
    </row>
    <row r="1066">
      <c r="A1066" s="2" t="s">
        <v>3590</v>
      </c>
      <c r="B1066" s="2" t="s">
        <v>87</v>
      </c>
      <c r="C1066" s="2" t="s">
        <v>3381</v>
      </c>
      <c r="D1066" s="2" t="s">
        <v>89</v>
      </c>
      <c r="E1066" s="2" t="s">
        <v>1944</v>
      </c>
      <c r="F1066" s="2" t="s">
        <v>3591</v>
      </c>
      <c r="G1066" s="2" t="s">
        <v>3592</v>
      </c>
      <c r="H1066" s="2" t="s">
        <v>3593</v>
      </c>
      <c r="I1066" s="2" t="s">
        <v>3527</v>
      </c>
      <c r="J1066" s="2" t="s">
        <v>2236</v>
      </c>
      <c r="K1066" s="2" t="s">
        <v>372</v>
      </c>
      <c r="L1066" s="3">
        <v>49.39</v>
      </c>
      <c r="M1066" s="3">
        <v>51.86</v>
      </c>
      <c r="N1066" s="3">
        <v>89.99</v>
      </c>
      <c r="O1066" s="2" t="s">
        <v>97</v>
      </c>
      <c r="P1066" s="2" t="s">
        <v>447</v>
      </c>
      <c r="Q1066" s="2" t="s">
        <v>99</v>
      </c>
      <c r="R1066" s="2" t="s">
        <v>100</v>
      </c>
      <c r="S1066" s="2" t="s">
        <v>3594</v>
      </c>
      <c r="T1066" s="2" t="s">
        <v>100</v>
      </c>
      <c r="U1066" s="2" t="s">
        <v>102</v>
      </c>
      <c r="V1066" s="2" t="s">
        <v>608</v>
      </c>
      <c r="W1066" s="2" t="s">
        <v>1064</v>
      </c>
      <c r="X1066" s="2" t="s">
        <v>552</v>
      </c>
      <c r="Y1066" s="2" t="s">
        <v>131</v>
      </c>
      <c r="Z1066" s="4">
        <v>121</v>
      </c>
      <c r="AA1066" s="4">
        <f>=ROUNDDOWN(30.25,0)</f>
      </c>
      <c r="AB1066" s="5">
        <v>4</v>
      </c>
      <c r="AC1066" s="2" t="s">
        <v>100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>
        <v>1</v>
      </c>
      <c r="AW1066" s="8">
        <v>74.52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/>
      <c r="BC1066" s="4">
        <v>1</v>
      </c>
      <c r="BD1066" s="8">
        <v>74.52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1</v>
      </c>
      <c r="BJ1066" s="4">
        <v>2</v>
      </c>
      <c r="BK1066" s="8">
        <v>109.87</v>
      </c>
      <c r="BL1066" s="2" t="s">
        <v>3284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544</v>
      </c>
      <c r="BX1066" s="2" t="s">
        <v>469</v>
      </c>
      <c r="BY1066" s="2" t="s">
        <v>112</v>
      </c>
      <c r="BZ1066" s="2" t="s">
        <v>100</v>
      </c>
    </row>
    <row r="1067">
      <c r="A1067" s="2" t="s">
        <v>3595</v>
      </c>
      <c r="B1067" s="2" t="s">
        <v>87</v>
      </c>
      <c r="C1067" s="2" t="s">
        <v>3381</v>
      </c>
      <c r="D1067" s="2" t="s">
        <v>89</v>
      </c>
      <c r="E1067" s="2" t="s">
        <v>1944</v>
      </c>
      <c r="F1067" s="2" t="s">
        <v>3591</v>
      </c>
      <c r="G1067" s="2" t="s">
        <v>3592</v>
      </c>
      <c r="H1067" s="2" t="s">
        <v>3593</v>
      </c>
      <c r="I1067" s="2" t="s">
        <v>3527</v>
      </c>
      <c r="J1067" s="2" t="s">
        <v>3596</v>
      </c>
      <c r="K1067" s="2" t="s">
        <v>372</v>
      </c>
      <c r="L1067" s="3">
        <v>51.86</v>
      </c>
      <c r="M1067" s="3">
        <v>54.45</v>
      </c>
      <c r="N1067" s="3">
        <v>94.99</v>
      </c>
      <c r="O1067" s="2" t="s">
        <v>97</v>
      </c>
      <c r="P1067" s="2" t="s">
        <v>447</v>
      </c>
      <c r="Q1067" s="2" t="s">
        <v>99</v>
      </c>
      <c r="R1067" s="2" t="s">
        <v>100</v>
      </c>
      <c r="S1067" s="2" t="s">
        <v>3594</v>
      </c>
      <c r="T1067" s="2" t="s">
        <v>100</v>
      </c>
      <c r="U1067" s="2" t="s">
        <v>102</v>
      </c>
      <c r="V1067" s="2" t="s">
        <v>608</v>
      </c>
      <c r="W1067" s="2" t="s">
        <v>1064</v>
      </c>
      <c r="X1067" s="2" t="s">
        <v>552</v>
      </c>
      <c r="Y1067" s="2" t="s">
        <v>3597</v>
      </c>
      <c r="Z1067" s="4">
        <v>138</v>
      </c>
      <c r="AA1067" s="4">
        <f>=ROUNDDOWN(46,0)</f>
      </c>
      <c r="AB1067" s="5">
        <v>3</v>
      </c>
      <c r="AC1067" s="2" t="s">
        <v>100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/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/>
      <c r="BK1067" s="8"/>
      <c r="BL1067" s="2" t="s">
        <v>100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716</v>
      </c>
      <c r="BX1067" s="2" t="s">
        <v>3598</v>
      </c>
      <c r="BY1067" s="2" t="s">
        <v>112</v>
      </c>
      <c r="BZ1067" s="2" t="s">
        <v>100</v>
      </c>
    </row>
    <row r="1068">
      <c r="A1068" s="2" t="s">
        <v>3599</v>
      </c>
      <c r="B1068" s="2" t="s">
        <v>87</v>
      </c>
      <c r="C1068" s="2" t="s">
        <v>3381</v>
      </c>
      <c r="D1068" s="2" t="s">
        <v>89</v>
      </c>
      <c r="E1068" s="2" t="s">
        <v>1944</v>
      </c>
      <c r="F1068" s="2" t="s">
        <v>3591</v>
      </c>
      <c r="G1068" s="2" t="s">
        <v>3592</v>
      </c>
      <c r="H1068" s="2" t="s">
        <v>3593</v>
      </c>
      <c r="I1068" s="2" t="s">
        <v>3532</v>
      </c>
      <c r="J1068" s="2" t="s">
        <v>95</v>
      </c>
      <c r="K1068" s="2" t="s">
        <v>372</v>
      </c>
      <c r="L1068" s="3">
        <v>54.33</v>
      </c>
      <c r="M1068" s="3">
        <v>57.05</v>
      </c>
      <c r="N1068" s="3">
        <v>99.99</v>
      </c>
      <c r="O1068" s="2" t="s">
        <v>97</v>
      </c>
      <c r="P1068" s="2" t="s">
        <v>447</v>
      </c>
      <c r="Q1068" s="2" t="s">
        <v>99</v>
      </c>
      <c r="R1068" s="2" t="s">
        <v>100</v>
      </c>
      <c r="S1068" s="2" t="s">
        <v>3594</v>
      </c>
      <c r="T1068" s="2" t="s">
        <v>100</v>
      </c>
      <c r="U1068" s="2" t="s">
        <v>343</v>
      </c>
      <c r="V1068" s="2" t="s">
        <v>608</v>
      </c>
      <c r="W1068" s="2" t="s">
        <v>1064</v>
      </c>
      <c r="X1068" s="2" t="s">
        <v>552</v>
      </c>
      <c r="Y1068" s="2" t="s">
        <v>131</v>
      </c>
      <c r="Z1068" s="4">
        <v>109</v>
      </c>
      <c r="AA1068" s="4">
        <f>=ROUNDDOWN(27.25,0)</f>
      </c>
      <c r="AB1068" s="5">
        <v>4</v>
      </c>
      <c r="AC1068" s="2" t="s">
        <v>100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 t="s">
        <v>100</v>
      </c>
      <c r="AW1068" s="8" t="s">
        <v>100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/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 t="s">
        <v>100</v>
      </c>
      <c r="BJ1068" s="4">
        <v>1</v>
      </c>
      <c r="BK1068" s="8">
        <v>66.15</v>
      </c>
      <c r="BL1068" s="2" t="s">
        <v>625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544</v>
      </c>
      <c r="BX1068" s="2" t="s">
        <v>621</v>
      </c>
      <c r="BY1068" s="2" t="s">
        <v>112</v>
      </c>
      <c r="BZ1068" s="2" t="s">
        <v>100</v>
      </c>
    </row>
    <row r="1069">
      <c r="A1069" s="2" t="s">
        <v>3600</v>
      </c>
      <c r="B1069" s="2" t="s">
        <v>87</v>
      </c>
      <c r="C1069" s="2" t="s">
        <v>3381</v>
      </c>
      <c r="D1069" s="2" t="s">
        <v>89</v>
      </c>
      <c r="E1069" s="2" t="s">
        <v>1944</v>
      </c>
      <c r="F1069" s="2" t="s">
        <v>3591</v>
      </c>
      <c r="G1069" s="2" t="s">
        <v>3592</v>
      </c>
      <c r="H1069" s="2" t="s">
        <v>3593</v>
      </c>
      <c r="I1069" s="2" t="s">
        <v>3532</v>
      </c>
      <c r="J1069" s="2" t="s">
        <v>114</v>
      </c>
      <c r="K1069" s="2" t="s">
        <v>372</v>
      </c>
      <c r="L1069" s="3">
        <v>59.27</v>
      </c>
      <c r="M1069" s="3">
        <v>62.23</v>
      </c>
      <c r="N1069" s="3">
        <v>109.99</v>
      </c>
      <c r="O1069" s="2" t="s">
        <v>97</v>
      </c>
      <c r="P1069" s="2" t="s">
        <v>447</v>
      </c>
      <c r="Q1069" s="2" t="s">
        <v>99</v>
      </c>
      <c r="R1069" s="2" t="s">
        <v>100</v>
      </c>
      <c r="S1069" s="2" t="s">
        <v>3594</v>
      </c>
      <c r="T1069" s="2" t="s">
        <v>100</v>
      </c>
      <c r="U1069" s="2" t="s">
        <v>343</v>
      </c>
      <c r="V1069" s="2" t="s">
        <v>608</v>
      </c>
      <c r="W1069" s="2" t="s">
        <v>1064</v>
      </c>
      <c r="X1069" s="2" t="s">
        <v>552</v>
      </c>
      <c r="Y1069" s="2" t="s">
        <v>131</v>
      </c>
      <c r="Z1069" s="4">
        <v>353</v>
      </c>
      <c r="AA1069" s="4">
        <f>=ROUNDDOWN(35.3,0)</f>
      </c>
      <c r="AB1069" s="5">
        <v>10</v>
      </c>
      <c r="AC1069" s="2" t="s">
        <v>100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/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 t="s">
        <v>100</v>
      </c>
      <c r="BJ1069" s="4">
        <v>4</v>
      </c>
      <c r="BK1069" s="8">
        <v>273.36</v>
      </c>
      <c r="BL1069" s="2" t="s">
        <v>736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544</v>
      </c>
      <c r="BX1069" s="2" t="s">
        <v>189</v>
      </c>
      <c r="BY1069" s="2" t="s">
        <v>112</v>
      </c>
      <c r="BZ1069" s="2" t="s">
        <v>100</v>
      </c>
    </row>
    <row r="1070">
      <c r="A1070" s="2" t="s">
        <v>3601</v>
      </c>
      <c r="B1070" s="2" t="s">
        <v>87</v>
      </c>
      <c r="C1070" s="2" t="s">
        <v>3381</v>
      </c>
      <c r="D1070" s="2" t="s">
        <v>89</v>
      </c>
      <c r="E1070" s="2" t="s">
        <v>1944</v>
      </c>
      <c r="F1070" s="2" t="s">
        <v>3591</v>
      </c>
      <c r="G1070" s="2" t="s">
        <v>3592</v>
      </c>
      <c r="H1070" s="2" t="s">
        <v>3593</v>
      </c>
      <c r="I1070" s="2" t="s">
        <v>3532</v>
      </c>
      <c r="J1070" s="2" t="s">
        <v>120</v>
      </c>
      <c r="K1070" s="2" t="s">
        <v>372</v>
      </c>
      <c r="L1070" s="3">
        <v>64.21</v>
      </c>
      <c r="M1070" s="3">
        <v>67.42</v>
      </c>
      <c r="N1070" s="3">
        <v>119.99</v>
      </c>
      <c r="O1070" s="2" t="s">
        <v>97</v>
      </c>
      <c r="P1070" s="2" t="s">
        <v>447</v>
      </c>
      <c r="Q1070" s="2" t="s">
        <v>99</v>
      </c>
      <c r="R1070" s="2" t="s">
        <v>100</v>
      </c>
      <c r="S1070" s="2" t="s">
        <v>3594</v>
      </c>
      <c r="T1070" s="2" t="s">
        <v>100</v>
      </c>
      <c r="U1070" s="2" t="s">
        <v>343</v>
      </c>
      <c r="V1070" s="2" t="s">
        <v>608</v>
      </c>
      <c r="W1070" s="2" t="s">
        <v>1064</v>
      </c>
      <c r="X1070" s="2" t="s">
        <v>552</v>
      </c>
      <c r="Y1070" s="2" t="s">
        <v>131</v>
      </c>
      <c r="Z1070" s="4">
        <v>200</v>
      </c>
      <c r="AA1070" s="4">
        <f>=ROUNDDOWN(20,0)</f>
      </c>
      <c r="AB1070" s="5">
        <v>10</v>
      </c>
      <c r="AC1070" s="2" t="s">
        <v>100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>
        <v>1</v>
      </c>
      <c r="AQ1070" s="8">
        <v>74.52</v>
      </c>
      <c r="AR1070" s="4"/>
      <c r="AS1070" s="8"/>
      <c r="AT1070" s="7"/>
      <c r="AU1070" s="7"/>
      <c r="AV1070" s="4" t="s">
        <v>100</v>
      </c>
      <c r="AW1070" s="8" t="s">
        <v>100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>
        <v>1</v>
      </c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 t="s">
        <v>100</v>
      </c>
      <c r="BJ1070" s="4">
        <v>12</v>
      </c>
      <c r="BK1070" s="8">
        <v>837.48</v>
      </c>
      <c r="BL1070" s="2" t="s">
        <v>3602</v>
      </c>
      <c r="BM1070" s="7">
        <v>0.0833</v>
      </c>
      <c r="BN1070" s="7">
        <v>0.089</v>
      </c>
      <c r="BO1070" s="4">
        <v>1</v>
      </c>
      <c r="BP1070" s="8">
        <v>74.52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544</v>
      </c>
      <c r="BX1070" s="2" t="s">
        <v>1842</v>
      </c>
      <c r="BY1070" s="2" t="s">
        <v>112</v>
      </c>
      <c r="BZ1070" s="2" t="s">
        <v>100</v>
      </c>
    </row>
    <row r="1071">
      <c r="A1071" s="2" t="s">
        <v>3603</v>
      </c>
      <c r="B1071" s="2" t="s">
        <v>87</v>
      </c>
      <c r="C1071" s="2" t="s">
        <v>3381</v>
      </c>
      <c r="D1071" s="2" t="s">
        <v>89</v>
      </c>
      <c r="E1071" s="2" t="s">
        <v>1944</v>
      </c>
      <c r="F1071" s="2" t="s">
        <v>3591</v>
      </c>
      <c r="G1071" s="2" t="s">
        <v>3592</v>
      </c>
      <c r="H1071" s="2" t="s">
        <v>3593</v>
      </c>
      <c r="I1071" s="2" t="s">
        <v>3532</v>
      </c>
      <c r="J1071" s="2" t="s">
        <v>124</v>
      </c>
      <c r="K1071" s="2" t="s">
        <v>372</v>
      </c>
      <c r="L1071" s="3">
        <v>64.21</v>
      </c>
      <c r="M1071" s="3">
        <v>67.42</v>
      </c>
      <c r="N1071" s="3">
        <v>119.99</v>
      </c>
      <c r="O1071" s="2" t="s">
        <v>97</v>
      </c>
      <c r="P1071" s="2" t="s">
        <v>447</v>
      </c>
      <c r="Q1071" s="2" t="s">
        <v>99</v>
      </c>
      <c r="R1071" s="2" t="s">
        <v>100</v>
      </c>
      <c r="S1071" s="2" t="s">
        <v>3594</v>
      </c>
      <c r="T1071" s="2" t="s">
        <v>100</v>
      </c>
      <c r="U1071" s="2" t="s">
        <v>343</v>
      </c>
      <c r="V1071" s="2" t="s">
        <v>608</v>
      </c>
      <c r="W1071" s="2" t="s">
        <v>1064</v>
      </c>
      <c r="X1071" s="2" t="s">
        <v>552</v>
      </c>
      <c r="Y1071" s="2" t="s">
        <v>131</v>
      </c>
      <c r="Z1071" s="4">
        <v>136</v>
      </c>
      <c r="AA1071" s="4">
        <f>=ROUNDDOWN(27.2,0)</f>
      </c>
      <c r="AB1071" s="5">
        <v>5</v>
      </c>
      <c r="AC1071" s="2" t="s">
        <v>100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/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 t="s">
        <v>100</v>
      </c>
      <c r="BJ1071" s="4">
        <v>5</v>
      </c>
      <c r="BK1071" s="8">
        <v>366.7</v>
      </c>
      <c r="BL1071" s="2" t="s">
        <v>1963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544</v>
      </c>
      <c r="BX1071" s="2" t="s">
        <v>621</v>
      </c>
      <c r="BY1071" s="2" t="s">
        <v>112</v>
      </c>
      <c r="BZ1071" s="2" t="s">
        <v>100</v>
      </c>
    </row>
    <row r="1072">
      <c r="A1072" s="2" t="s">
        <v>3604</v>
      </c>
      <c r="B1072" s="2" t="s">
        <v>87</v>
      </c>
      <c r="C1072" s="2" t="s">
        <v>3381</v>
      </c>
      <c r="D1072" s="2" t="s">
        <v>89</v>
      </c>
      <c r="E1072" s="2" t="s">
        <v>1944</v>
      </c>
      <c r="F1072" s="2" t="s">
        <v>3591</v>
      </c>
      <c r="G1072" s="2" t="s">
        <v>3592</v>
      </c>
      <c r="H1072" s="2" t="s">
        <v>3593</v>
      </c>
      <c r="I1072" s="2" t="s">
        <v>3527</v>
      </c>
      <c r="J1072" s="2" t="s">
        <v>2236</v>
      </c>
      <c r="K1072" s="2" t="s">
        <v>175</v>
      </c>
      <c r="L1072" s="3">
        <v>49.39</v>
      </c>
      <c r="M1072" s="3">
        <v>51.86</v>
      </c>
      <c r="N1072" s="3">
        <v>89.99</v>
      </c>
      <c r="O1072" s="2" t="s">
        <v>473</v>
      </c>
      <c r="P1072" s="2" t="s">
        <v>447</v>
      </c>
      <c r="Q1072" s="2" t="s">
        <v>99</v>
      </c>
      <c r="R1072" s="2" t="s">
        <v>100</v>
      </c>
      <c r="S1072" s="2" t="s">
        <v>3605</v>
      </c>
      <c r="T1072" s="2" t="s">
        <v>100</v>
      </c>
      <c r="U1072" s="2" t="s">
        <v>102</v>
      </c>
      <c r="V1072" s="2" t="s">
        <v>608</v>
      </c>
      <c r="W1072" s="2" t="s">
        <v>1064</v>
      </c>
      <c r="X1072" s="2" t="s">
        <v>552</v>
      </c>
      <c r="Y1072" s="2" t="s">
        <v>131</v>
      </c>
      <c r="Z1072" s="4">
        <v>192</v>
      </c>
      <c r="AA1072" s="4">
        <f>=ROUNDDOWN(192,0)</f>
      </c>
      <c r="AB1072" s="5">
        <v>1</v>
      </c>
      <c r="AC1072" s="2" t="s">
        <v>680</v>
      </c>
      <c r="AD1072" s="4">
        <v>60</v>
      </c>
      <c r="AE1072" s="4">
        <v>60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 t="s">
        <v>100</v>
      </c>
      <c r="AW1072" s="8" t="s">
        <v>100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/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 t="s">
        <v>100</v>
      </c>
      <c r="BJ1072" s="4"/>
      <c r="BK1072" s="8"/>
      <c r="BL1072" s="2" t="s">
        <v>100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544</v>
      </c>
      <c r="BX1072" s="2" t="s">
        <v>127</v>
      </c>
      <c r="BY1072" s="2" t="s">
        <v>112</v>
      </c>
      <c r="BZ1072" s="2" t="s">
        <v>100</v>
      </c>
    </row>
    <row r="1073">
      <c r="A1073" s="2" t="s">
        <v>3606</v>
      </c>
      <c r="B1073" s="2" t="s">
        <v>87</v>
      </c>
      <c r="C1073" s="2" t="s">
        <v>3381</v>
      </c>
      <c r="D1073" s="2" t="s">
        <v>89</v>
      </c>
      <c r="E1073" s="2" t="s">
        <v>1944</v>
      </c>
      <c r="F1073" s="2" t="s">
        <v>3591</v>
      </c>
      <c r="G1073" s="2" t="s">
        <v>3592</v>
      </c>
      <c r="H1073" s="2" t="s">
        <v>3593</v>
      </c>
      <c r="I1073" s="2" t="s">
        <v>3532</v>
      </c>
      <c r="J1073" s="2" t="s">
        <v>95</v>
      </c>
      <c r="K1073" s="2" t="s">
        <v>175</v>
      </c>
      <c r="L1073" s="3">
        <v>54.33</v>
      </c>
      <c r="M1073" s="3">
        <v>57.05</v>
      </c>
      <c r="N1073" s="3">
        <v>99.99</v>
      </c>
      <c r="O1073" s="2" t="s">
        <v>97</v>
      </c>
      <c r="P1073" s="2" t="s">
        <v>447</v>
      </c>
      <c r="Q1073" s="2" t="s">
        <v>99</v>
      </c>
      <c r="R1073" s="2" t="s">
        <v>100</v>
      </c>
      <c r="S1073" s="2" t="s">
        <v>3605</v>
      </c>
      <c r="T1073" s="2" t="s">
        <v>100</v>
      </c>
      <c r="U1073" s="2" t="s">
        <v>343</v>
      </c>
      <c r="V1073" s="2" t="s">
        <v>608</v>
      </c>
      <c r="W1073" s="2" t="s">
        <v>1064</v>
      </c>
      <c r="X1073" s="2" t="s">
        <v>552</v>
      </c>
      <c r="Y1073" s="2" t="s">
        <v>131</v>
      </c>
      <c r="Z1073" s="4">
        <v>159</v>
      </c>
      <c r="AA1073" s="4">
        <f>=ROUNDDOWN(53,0)</f>
      </c>
      <c r="AB1073" s="5">
        <v>3</v>
      </c>
      <c r="AC1073" s="2" t="s">
        <v>680</v>
      </c>
      <c r="AD1073" s="4">
        <v>65</v>
      </c>
      <c r="AE1073" s="4">
        <v>65</v>
      </c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/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 t="s">
        <v>100</v>
      </c>
      <c r="BJ1073" s="4"/>
      <c r="BK1073" s="8"/>
      <c r="BL1073" s="2" t="s">
        <v>100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544</v>
      </c>
      <c r="BX1073" s="2" t="s">
        <v>691</v>
      </c>
      <c r="BY1073" s="2" t="s">
        <v>112</v>
      </c>
      <c r="BZ1073" s="2" t="s">
        <v>100</v>
      </c>
    </row>
    <row r="1074">
      <c r="A1074" s="2" t="s">
        <v>3607</v>
      </c>
      <c r="B1074" s="2" t="s">
        <v>87</v>
      </c>
      <c r="C1074" s="2" t="s">
        <v>3381</v>
      </c>
      <c r="D1074" s="2" t="s">
        <v>89</v>
      </c>
      <c r="E1074" s="2" t="s">
        <v>1944</v>
      </c>
      <c r="F1074" s="2" t="s">
        <v>3591</v>
      </c>
      <c r="G1074" s="2" t="s">
        <v>3592</v>
      </c>
      <c r="H1074" s="2" t="s">
        <v>3593</v>
      </c>
      <c r="I1074" s="2" t="s">
        <v>3532</v>
      </c>
      <c r="J1074" s="2" t="s">
        <v>114</v>
      </c>
      <c r="K1074" s="2" t="s">
        <v>175</v>
      </c>
      <c r="L1074" s="3">
        <v>59.27</v>
      </c>
      <c r="M1074" s="3">
        <v>62.23</v>
      </c>
      <c r="N1074" s="3">
        <v>109.99</v>
      </c>
      <c r="O1074" s="2" t="s">
        <v>473</v>
      </c>
      <c r="P1074" s="2" t="s">
        <v>447</v>
      </c>
      <c r="Q1074" s="2" t="s">
        <v>99</v>
      </c>
      <c r="R1074" s="2" t="s">
        <v>100</v>
      </c>
      <c r="S1074" s="2" t="s">
        <v>3605</v>
      </c>
      <c r="T1074" s="2" t="s">
        <v>100</v>
      </c>
      <c r="U1074" s="2" t="s">
        <v>343</v>
      </c>
      <c r="V1074" s="2" t="s">
        <v>608</v>
      </c>
      <c r="W1074" s="2" t="s">
        <v>1064</v>
      </c>
      <c r="X1074" s="2" t="s">
        <v>552</v>
      </c>
      <c r="Y1074" s="2" t="s">
        <v>131</v>
      </c>
      <c r="Z1074" s="4">
        <v>459</v>
      </c>
      <c r="AA1074" s="4">
        <f>=ROUNDDOWN(163.928571428571,0)</f>
      </c>
      <c r="AB1074" s="5">
        <v>2.8</v>
      </c>
      <c r="AC1074" s="2" t="s">
        <v>680</v>
      </c>
      <c r="AD1074" s="4">
        <v>204</v>
      </c>
      <c r="AE1074" s="4">
        <v>204</v>
      </c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/>
      <c r="AQ1074" s="8"/>
      <c r="AR1074" s="4"/>
      <c r="AS1074" s="8"/>
      <c r="AT1074" s="7"/>
      <c r="AU1074" s="7"/>
      <c r="AV1074" s="4" t="s">
        <v>100</v>
      </c>
      <c r="AW1074" s="8" t="s">
        <v>100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/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 t="s">
        <v>100</v>
      </c>
      <c r="BJ1074" s="4">
        <v>3</v>
      </c>
      <c r="BK1074" s="8">
        <v>184.26</v>
      </c>
      <c r="BL1074" s="2" t="s">
        <v>1643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544</v>
      </c>
      <c r="BX1074" s="2" t="s">
        <v>723</v>
      </c>
      <c r="BY1074" s="2" t="s">
        <v>112</v>
      </c>
      <c r="BZ1074" s="2" t="s">
        <v>100</v>
      </c>
    </row>
    <row r="1075">
      <c r="A1075" s="2" t="s">
        <v>3608</v>
      </c>
      <c r="B1075" s="2" t="s">
        <v>87</v>
      </c>
      <c r="C1075" s="2" t="s">
        <v>3381</v>
      </c>
      <c r="D1075" s="2" t="s">
        <v>89</v>
      </c>
      <c r="E1075" s="2" t="s">
        <v>1944</v>
      </c>
      <c r="F1075" s="2" t="s">
        <v>3591</v>
      </c>
      <c r="G1075" s="2" t="s">
        <v>3592</v>
      </c>
      <c r="H1075" s="2" t="s">
        <v>3593</v>
      </c>
      <c r="I1075" s="2" t="s">
        <v>3532</v>
      </c>
      <c r="J1075" s="2" t="s">
        <v>120</v>
      </c>
      <c r="K1075" s="2" t="s">
        <v>175</v>
      </c>
      <c r="L1075" s="3">
        <v>64.21</v>
      </c>
      <c r="M1075" s="3">
        <v>67.42</v>
      </c>
      <c r="N1075" s="3">
        <v>119.99</v>
      </c>
      <c r="O1075" s="2" t="s">
        <v>97</v>
      </c>
      <c r="P1075" s="2" t="s">
        <v>447</v>
      </c>
      <c r="Q1075" s="2" t="s">
        <v>99</v>
      </c>
      <c r="R1075" s="2" t="s">
        <v>100</v>
      </c>
      <c r="S1075" s="2" t="s">
        <v>3605</v>
      </c>
      <c r="T1075" s="2" t="s">
        <v>100</v>
      </c>
      <c r="U1075" s="2" t="s">
        <v>343</v>
      </c>
      <c r="V1075" s="2" t="s">
        <v>608</v>
      </c>
      <c r="W1075" s="2" t="s">
        <v>1064</v>
      </c>
      <c r="X1075" s="2" t="s">
        <v>552</v>
      </c>
      <c r="Y1075" s="2" t="s">
        <v>131</v>
      </c>
      <c r="Z1075" s="4">
        <v>253</v>
      </c>
      <c r="AA1075" s="4">
        <f>=ROUNDDOWN(45.1785714285714,0)</f>
      </c>
      <c r="AB1075" s="5">
        <v>5.6</v>
      </c>
      <c r="AC1075" s="2" t="s">
        <v>680</v>
      </c>
      <c r="AD1075" s="4">
        <v>106</v>
      </c>
      <c r="AE1075" s="4">
        <v>130</v>
      </c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/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7</v>
      </c>
      <c r="BK1075" s="8">
        <v>482.79</v>
      </c>
      <c r="BL1075" s="2" t="s">
        <v>3609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544</v>
      </c>
      <c r="BX1075" s="2" t="s">
        <v>1842</v>
      </c>
      <c r="BY1075" s="2" t="s">
        <v>112</v>
      </c>
      <c r="BZ1075" s="2" t="s">
        <v>100</v>
      </c>
    </row>
    <row r="1076">
      <c r="A1076" s="2" t="s">
        <v>3610</v>
      </c>
      <c r="B1076" s="2" t="s">
        <v>87</v>
      </c>
      <c r="C1076" s="2" t="s">
        <v>3381</v>
      </c>
      <c r="D1076" s="2" t="s">
        <v>89</v>
      </c>
      <c r="E1076" s="2" t="s">
        <v>1944</v>
      </c>
      <c r="F1076" s="2" t="s">
        <v>3591</v>
      </c>
      <c r="G1076" s="2" t="s">
        <v>3592</v>
      </c>
      <c r="H1076" s="2" t="s">
        <v>3593</v>
      </c>
      <c r="I1076" s="2" t="s">
        <v>3532</v>
      </c>
      <c r="J1076" s="2" t="s">
        <v>124</v>
      </c>
      <c r="K1076" s="2" t="s">
        <v>175</v>
      </c>
      <c r="L1076" s="3">
        <v>64.21</v>
      </c>
      <c r="M1076" s="3">
        <v>67.42</v>
      </c>
      <c r="N1076" s="3">
        <v>119.99</v>
      </c>
      <c r="O1076" s="2" t="s">
        <v>473</v>
      </c>
      <c r="P1076" s="2" t="s">
        <v>447</v>
      </c>
      <c r="Q1076" s="2" t="s">
        <v>99</v>
      </c>
      <c r="R1076" s="2" t="s">
        <v>100</v>
      </c>
      <c r="S1076" s="2" t="s">
        <v>3605</v>
      </c>
      <c r="T1076" s="2" t="s">
        <v>100</v>
      </c>
      <c r="U1076" s="2" t="s">
        <v>343</v>
      </c>
      <c r="V1076" s="2" t="s">
        <v>608</v>
      </c>
      <c r="W1076" s="2" t="s">
        <v>1064</v>
      </c>
      <c r="X1076" s="2" t="s">
        <v>552</v>
      </c>
      <c r="Y1076" s="2" t="s">
        <v>131</v>
      </c>
      <c r="Z1076" s="4">
        <v>587</v>
      </c>
      <c r="AA1076" s="4">
        <f>=ROUNDDOWN(117.4,0)</f>
      </c>
      <c r="AB1076" s="5">
        <v>5</v>
      </c>
      <c r="AC1076" s="2" t="s">
        <v>100</v>
      </c>
      <c r="AD1076" s="4"/>
      <c r="AE1076" s="4"/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 t="s">
        <v>100</v>
      </c>
      <c r="AW1076" s="8" t="s">
        <v>100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/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 t="s">
        <v>100</v>
      </c>
      <c r="BJ1076" s="4">
        <v>3</v>
      </c>
      <c r="BK1076" s="8">
        <v>170.58</v>
      </c>
      <c r="BL1076" s="2" t="s">
        <v>3611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544</v>
      </c>
      <c r="BX1076" s="2" t="s">
        <v>427</v>
      </c>
      <c r="BY1076" s="2" t="s">
        <v>112</v>
      </c>
      <c r="BZ1076" s="2" t="s">
        <v>100</v>
      </c>
    </row>
    <row r="1077">
      <c r="A1077" s="2" t="s">
        <v>3612</v>
      </c>
      <c r="B1077" s="2" t="s">
        <v>87</v>
      </c>
      <c r="C1077" s="2" t="s">
        <v>3381</v>
      </c>
      <c r="D1077" s="2" t="s">
        <v>89</v>
      </c>
      <c r="E1077" s="2" t="s">
        <v>1944</v>
      </c>
      <c r="F1077" s="2" t="s">
        <v>3613</v>
      </c>
      <c r="G1077" s="2" t="s">
        <v>3614</v>
      </c>
      <c r="H1077" s="2" t="s">
        <v>3615</v>
      </c>
      <c r="I1077" s="2" t="s">
        <v>3527</v>
      </c>
      <c r="J1077" s="2" t="s">
        <v>2236</v>
      </c>
      <c r="K1077" s="2" t="s">
        <v>146</v>
      </c>
      <c r="L1077" s="3">
        <v>51.99</v>
      </c>
      <c r="M1077" s="3">
        <v>54.59</v>
      </c>
      <c r="N1077" s="3">
        <v>99.99</v>
      </c>
      <c r="O1077" s="2" t="s">
        <v>97</v>
      </c>
      <c r="P1077" s="2" t="s">
        <v>98</v>
      </c>
      <c r="Q1077" s="2" t="s">
        <v>99</v>
      </c>
      <c r="R1077" s="2" t="s">
        <v>100</v>
      </c>
      <c r="S1077" s="2" t="s">
        <v>3616</v>
      </c>
      <c r="T1077" s="2" t="s">
        <v>100</v>
      </c>
      <c r="U1077" s="2" t="s">
        <v>102</v>
      </c>
      <c r="V1077" s="2" t="s">
        <v>734</v>
      </c>
      <c r="W1077" s="2" t="s">
        <v>976</v>
      </c>
      <c r="X1077" s="2" t="s">
        <v>3371</v>
      </c>
      <c r="Y1077" s="2" t="s">
        <v>131</v>
      </c>
      <c r="Z1077" s="4">
        <v>235</v>
      </c>
      <c r="AA1077" s="4">
        <f>=ROUNDDOWN(78.3333333333333,0)</f>
      </c>
      <c r="AB1077" s="5">
        <v>3</v>
      </c>
      <c r="AC1077" s="2" t="s">
        <v>100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>
        <v>1</v>
      </c>
      <c r="AW1077" s="8">
        <v>67.15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/>
      <c r="BC1077" s="4">
        <v>1</v>
      </c>
      <c r="BD1077" s="8">
        <v>67.15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>
        <v>1</v>
      </c>
      <c r="BJ1077" s="4">
        <v>2</v>
      </c>
      <c r="BK1077" s="8">
        <v>108.59</v>
      </c>
      <c r="BL1077" s="2" t="s">
        <v>986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544</v>
      </c>
      <c r="BX1077" s="2" t="s">
        <v>621</v>
      </c>
      <c r="BY1077" s="2" t="s">
        <v>112</v>
      </c>
      <c r="BZ1077" s="2" t="s">
        <v>100</v>
      </c>
    </row>
    <row r="1078">
      <c r="A1078" s="2" t="s">
        <v>3617</v>
      </c>
      <c r="B1078" s="2" t="s">
        <v>87</v>
      </c>
      <c r="C1078" s="2" t="s">
        <v>3381</v>
      </c>
      <c r="D1078" s="2" t="s">
        <v>89</v>
      </c>
      <c r="E1078" s="2" t="s">
        <v>1944</v>
      </c>
      <c r="F1078" s="2" t="s">
        <v>3613</v>
      </c>
      <c r="G1078" s="2" t="s">
        <v>3614</v>
      </c>
      <c r="H1078" s="2" t="s">
        <v>3615</v>
      </c>
      <c r="I1078" s="2" t="s">
        <v>3532</v>
      </c>
      <c r="J1078" s="2" t="s">
        <v>95</v>
      </c>
      <c r="K1078" s="2" t="s">
        <v>146</v>
      </c>
      <c r="L1078" s="3">
        <v>57.19</v>
      </c>
      <c r="M1078" s="3">
        <v>60.05</v>
      </c>
      <c r="N1078" s="3">
        <v>109.99</v>
      </c>
      <c r="O1078" s="2" t="s">
        <v>97</v>
      </c>
      <c r="P1078" s="2" t="s">
        <v>98</v>
      </c>
      <c r="Q1078" s="2" t="s">
        <v>99</v>
      </c>
      <c r="R1078" s="2" t="s">
        <v>100</v>
      </c>
      <c r="S1078" s="2" t="s">
        <v>3616</v>
      </c>
      <c r="T1078" s="2" t="s">
        <v>100</v>
      </c>
      <c r="U1078" s="2" t="s">
        <v>343</v>
      </c>
      <c r="V1078" s="2" t="s">
        <v>734</v>
      </c>
      <c r="W1078" s="2" t="s">
        <v>976</v>
      </c>
      <c r="X1078" s="2" t="s">
        <v>3371</v>
      </c>
      <c r="Y1078" s="2" t="s">
        <v>131</v>
      </c>
      <c r="Z1078" s="4">
        <v>180</v>
      </c>
      <c r="AA1078" s="4">
        <f>=ROUNDDOWN(36,0)</f>
      </c>
      <c r="AB1078" s="5">
        <v>5</v>
      </c>
      <c r="AC1078" s="2" t="s">
        <v>406</v>
      </c>
      <c r="AD1078" s="4">
        <v>50</v>
      </c>
      <c r="AE1078" s="4">
        <v>130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 t="s">
        <v>100</v>
      </c>
      <c r="AW1078" s="8" t="s">
        <v>100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/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 t="s">
        <v>100</v>
      </c>
      <c r="BJ1078" s="4"/>
      <c r="BK1078" s="8"/>
      <c r="BL1078" s="2" t="s">
        <v>100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544</v>
      </c>
      <c r="BX1078" s="2" t="s">
        <v>469</v>
      </c>
      <c r="BY1078" s="2" t="s">
        <v>112</v>
      </c>
      <c r="BZ1078" s="2" t="s">
        <v>100</v>
      </c>
    </row>
    <row r="1079">
      <c r="A1079" s="2" t="s">
        <v>3618</v>
      </c>
      <c r="B1079" s="2" t="s">
        <v>87</v>
      </c>
      <c r="C1079" s="2" t="s">
        <v>3381</v>
      </c>
      <c r="D1079" s="2" t="s">
        <v>89</v>
      </c>
      <c r="E1079" s="2" t="s">
        <v>1944</v>
      </c>
      <c r="F1079" s="2" t="s">
        <v>3613</v>
      </c>
      <c r="G1079" s="2" t="s">
        <v>3614</v>
      </c>
      <c r="H1079" s="2" t="s">
        <v>3615</v>
      </c>
      <c r="I1079" s="2" t="s">
        <v>3532</v>
      </c>
      <c r="J1079" s="2" t="s">
        <v>114</v>
      </c>
      <c r="K1079" s="2" t="s">
        <v>146</v>
      </c>
      <c r="L1079" s="3">
        <v>62.39</v>
      </c>
      <c r="M1079" s="3">
        <v>65.51</v>
      </c>
      <c r="N1079" s="3">
        <v>119.99</v>
      </c>
      <c r="O1079" s="2" t="s">
        <v>97</v>
      </c>
      <c r="P1079" s="2" t="s">
        <v>98</v>
      </c>
      <c r="Q1079" s="2" t="s">
        <v>99</v>
      </c>
      <c r="R1079" s="2" t="s">
        <v>100</v>
      </c>
      <c r="S1079" s="2" t="s">
        <v>3616</v>
      </c>
      <c r="T1079" s="2" t="s">
        <v>100</v>
      </c>
      <c r="U1079" s="2" t="s">
        <v>343</v>
      </c>
      <c r="V1079" s="2" t="s">
        <v>734</v>
      </c>
      <c r="W1079" s="2" t="s">
        <v>976</v>
      </c>
      <c r="X1079" s="2" t="s">
        <v>3371</v>
      </c>
      <c r="Y1079" s="2" t="s">
        <v>131</v>
      </c>
      <c r="Z1079" s="4">
        <v>240</v>
      </c>
      <c r="AA1079" s="4">
        <f>=ROUNDDOWN(20,0)</f>
      </c>
      <c r="AB1079" s="5">
        <v>12</v>
      </c>
      <c r="AC1079" s="2" t="s">
        <v>406</v>
      </c>
      <c r="AD1079" s="4">
        <v>200</v>
      </c>
      <c r="AE1079" s="4">
        <v>340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>
        <v>1</v>
      </c>
      <c r="AQ1079" s="8">
        <v>67.15</v>
      </c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1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 t="s">
        <v>100</v>
      </c>
      <c r="BJ1079" s="4">
        <v>9</v>
      </c>
      <c r="BK1079" s="8">
        <v>555.58</v>
      </c>
      <c r="BL1079" s="2" t="s">
        <v>2947</v>
      </c>
      <c r="BM1079" s="7">
        <v>0.1111</v>
      </c>
      <c r="BN1079" s="7">
        <v>0.1209</v>
      </c>
      <c r="BO1079" s="4">
        <v>1</v>
      </c>
      <c r="BP1079" s="8">
        <v>67.15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544</v>
      </c>
      <c r="BX1079" s="2" t="s">
        <v>189</v>
      </c>
      <c r="BY1079" s="2" t="s">
        <v>112</v>
      </c>
      <c r="BZ1079" s="2" t="s">
        <v>100</v>
      </c>
    </row>
    <row r="1080">
      <c r="A1080" s="2" t="s">
        <v>3619</v>
      </c>
      <c r="B1080" s="2" t="s">
        <v>87</v>
      </c>
      <c r="C1080" s="2" t="s">
        <v>3381</v>
      </c>
      <c r="D1080" s="2" t="s">
        <v>89</v>
      </c>
      <c r="E1080" s="2" t="s">
        <v>1944</v>
      </c>
      <c r="F1080" s="2" t="s">
        <v>3613</v>
      </c>
      <c r="G1080" s="2" t="s">
        <v>3614</v>
      </c>
      <c r="H1080" s="2" t="s">
        <v>3615</v>
      </c>
      <c r="I1080" s="2" t="s">
        <v>3532</v>
      </c>
      <c r="J1080" s="2" t="s">
        <v>120</v>
      </c>
      <c r="K1080" s="2" t="s">
        <v>146</v>
      </c>
      <c r="L1080" s="3">
        <v>67.59</v>
      </c>
      <c r="M1080" s="3">
        <v>70.97</v>
      </c>
      <c r="N1080" s="3">
        <v>129.99</v>
      </c>
      <c r="O1080" s="2" t="s">
        <v>97</v>
      </c>
      <c r="P1080" s="2" t="s">
        <v>98</v>
      </c>
      <c r="Q1080" s="2" t="s">
        <v>99</v>
      </c>
      <c r="R1080" s="2" t="s">
        <v>100</v>
      </c>
      <c r="S1080" s="2" t="s">
        <v>3616</v>
      </c>
      <c r="T1080" s="2" t="s">
        <v>100</v>
      </c>
      <c r="U1080" s="2" t="s">
        <v>343</v>
      </c>
      <c r="V1080" s="2" t="s">
        <v>734</v>
      </c>
      <c r="W1080" s="2" t="s">
        <v>976</v>
      </c>
      <c r="X1080" s="2" t="s">
        <v>3371</v>
      </c>
      <c r="Y1080" s="2" t="s">
        <v>131</v>
      </c>
      <c r="Z1080" s="4">
        <v>235</v>
      </c>
      <c r="AA1080" s="4">
        <f>=ROUNDDOWN(29.375,0)</f>
      </c>
      <c r="AB1080" s="5">
        <v>8</v>
      </c>
      <c r="AC1080" s="2" t="s">
        <v>406</v>
      </c>
      <c r="AD1080" s="4">
        <v>100</v>
      </c>
      <c r="AE1080" s="4">
        <v>160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 t="s">
        <v>100</v>
      </c>
      <c r="AW1080" s="8" t="s">
        <v>100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/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 t="s">
        <v>100</v>
      </c>
      <c r="BJ1080" s="4">
        <v>6</v>
      </c>
      <c r="BK1080" s="8">
        <v>401.02</v>
      </c>
      <c r="BL1080" s="2" t="s">
        <v>858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544</v>
      </c>
      <c r="BX1080" s="2" t="s">
        <v>3482</v>
      </c>
      <c r="BY1080" s="2" t="s">
        <v>112</v>
      </c>
      <c r="BZ1080" s="2" t="s">
        <v>100</v>
      </c>
    </row>
    <row r="1081">
      <c r="A1081" s="2" t="s">
        <v>3620</v>
      </c>
      <c r="B1081" s="2" t="s">
        <v>87</v>
      </c>
      <c r="C1081" s="2" t="s">
        <v>3381</v>
      </c>
      <c r="D1081" s="2" t="s">
        <v>89</v>
      </c>
      <c r="E1081" s="2" t="s">
        <v>1944</v>
      </c>
      <c r="F1081" s="2" t="s">
        <v>3613</v>
      </c>
      <c r="G1081" s="2" t="s">
        <v>3614</v>
      </c>
      <c r="H1081" s="2" t="s">
        <v>3615</v>
      </c>
      <c r="I1081" s="2" t="s">
        <v>3532</v>
      </c>
      <c r="J1081" s="2" t="s">
        <v>124</v>
      </c>
      <c r="K1081" s="2" t="s">
        <v>146</v>
      </c>
      <c r="L1081" s="3">
        <v>67.59</v>
      </c>
      <c r="M1081" s="3">
        <v>70.97</v>
      </c>
      <c r="N1081" s="3">
        <v>129.99</v>
      </c>
      <c r="O1081" s="2" t="s">
        <v>97</v>
      </c>
      <c r="P1081" s="2" t="s">
        <v>98</v>
      </c>
      <c r="Q1081" s="2" t="s">
        <v>99</v>
      </c>
      <c r="R1081" s="2" t="s">
        <v>100</v>
      </c>
      <c r="S1081" s="2" t="s">
        <v>3616</v>
      </c>
      <c r="T1081" s="2" t="s">
        <v>100</v>
      </c>
      <c r="U1081" s="2" t="s">
        <v>343</v>
      </c>
      <c r="V1081" s="2" t="s">
        <v>734</v>
      </c>
      <c r="W1081" s="2" t="s">
        <v>976</v>
      </c>
      <c r="X1081" s="2" t="s">
        <v>3371</v>
      </c>
      <c r="Y1081" s="2" t="s">
        <v>131</v>
      </c>
      <c r="Z1081" s="4">
        <v>129</v>
      </c>
      <c r="AA1081" s="4">
        <f>=ROUNDDOWN(25.8,0)</f>
      </c>
      <c r="AB1081" s="5">
        <v>5</v>
      </c>
      <c r="AC1081" s="2" t="s">
        <v>406</v>
      </c>
      <c r="AD1081" s="4">
        <v>100</v>
      </c>
      <c r="AE1081" s="4">
        <v>120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/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 t="s">
        <v>100</v>
      </c>
      <c r="BJ1081" s="4">
        <v>3</v>
      </c>
      <c r="BK1081" s="8">
        <v>198.12</v>
      </c>
      <c r="BL1081" s="2" t="s">
        <v>1896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544</v>
      </c>
      <c r="BX1081" s="2" t="s">
        <v>192</v>
      </c>
      <c r="BY1081" s="2" t="s">
        <v>112</v>
      </c>
      <c r="BZ1081" s="2" t="s">
        <v>100</v>
      </c>
    </row>
    <row r="1082">
      <c r="A1082" s="2" t="s">
        <v>3621</v>
      </c>
      <c r="B1082" s="2" t="s">
        <v>87</v>
      </c>
      <c r="C1082" s="2" t="s">
        <v>3381</v>
      </c>
      <c r="D1082" s="2" t="s">
        <v>89</v>
      </c>
      <c r="E1082" s="2" t="s">
        <v>1944</v>
      </c>
      <c r="F1082" s="2" t="s">
        <v>3613</v>
      </c>
      <c r="G1082" s="2" t="s">
        <v>3614</v>
      </c>
      <c r="H1082" s="2" t="s">
        <v>3615</v>
      </c>
      <c r="I1082" s="2" t="s">
        <v>3527</v>
      </c>
      <c r="J1082" s="2" t="s">
        <v>2236</v>
      </c>
      <c r="K1082" s="2" t="s">
        <v>340</v>
      </c>
      <c r="L1082" s="3">
        <v>51.99</v>
      </c>
      <c r="M1082" s="3">
        <v>54.59</v>
      </c>
      <c r="N1082" s="3">
        <v>99.99</v>
      </c>
      <c r="O1082" s="2" t="s">
        <v>97</v>
      </c>
      <c r="P1082" s="2" t="s">
        <v>98</v>
      </c>
      <c r="Q1082" s="2" t="s">
        <v>99</v>
      </c>
      <c r="R1082" s="2" t="s">
        <v>100</v>
      </c>
      <c r="S1082" s="2" t="s">
        <v>3622</v>
      </c>
      <c r="T1082" s="2" t="s">
        <v>100</v>
      </c>
      <c r="U1082" s="2" t="s">
        <v>102</v>
      </c>
      <c r="V1082" s="2" t="s">
        <v>734</v>
      </c>
      <c r="W1082" s="2" t="s">
        <v>976</v>
      </c>
      <c r="X1082" s="2" t="s">
        <v>3371</v>
      </c>
      <c r="Y1082" s="2" t="s">
        <v>131</v>
      </c>
      <c r="Z1082" s="4">
        <v>101</v>
      </c>
      <c r="AA1082" s="4">
        <f>=ROUNDDOWN(16.8333333333333,0)</f>
      </c>
      <c r="AB1082" s="5">
        <v>6</v>
      </c>
      <c r="AC1082" s="2" t="s">
        <v>3623</v>
      </c>
      <c r="AD1082" s="4">
        <v>40</v>
      </c>
      <c r="AE1082" s="4">
        <v>220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 t="s">
        <v>100</v>
      </c>
      <c r="AW1082" s="8" t="s">
        <v>100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/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 t="s">
        <v>100</v>
      </c>
      <c r="BJ1082" s="4">
        <v>6</v>
      </c>
      <c r="BK1082" s="8">
        <v>315.29</v>
      </c>
      <c r="BL1082" s="2" t="s">
        <v>3624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544</v>
      </c>
      <c r="BX1082" s="2" t="s">
        <v>1053</v>
      </c>
      <c r="BY1082" s="2" t="s">
        <v>112</v>
      </c>
      <c r="BZ1082" s="2" t="s">
        <v>100</v>
      </c>
    </row>
    <row r="1083">
      <c r="A1083" s="2" t="s">
        <v>3625</v>
      </c>
      <c r="B1083" s="2" t="s">
        <v>87</v>
      </c>
      <c r="C1083" s="2" t="s">
        <v>3381</v>
      </c>
      <c r="D1083" s="2" t="s">
        <v>89</v>
      </c>
      <c r="E1083" s="2" t="s">
        <v>1944</v>
      </c>
      <c r="F1083" s="2" t="s">
        <v>3613</v>
      </c>
      <c r="G1083" s="2" t="s">
        <v>3614</v>
      </c>
      <c r="H1083" s="2" t="s">
        <v>3615</v>
      </c>
      <c r="I1083" s="2" t="s">
        <v>3532</v>
      </c>
      <c r="J1083" s="2" t="s">
        <v>95</v>
      </c>
      <c r="K1083" s="2" t="s">
        <v>340</v>
      </c>
      <c r="L1083" s="3">
        <v>57.19</v>
      </c>
      <c r="M1083" s="3">
        <v>60.05</v>
      </c>
      <c r="N1083" s="3">
        <v>109.99</v>
      </c>
      <c r="O1083" s="2" t="s">
        <v>97</v>
      </c>
      <c r="P1083" s="2" t="s">
        <v>98</v>
      </c>
      <c r="Q1083" s="2" t="s">
        <v>99</v>
      </c>
      <c r="R1083" s="2" t="s">
        <v>100</v>
      </c>
      <c r="S1083" s="2" t="s">
        <v>3622</v>
      </c>
      <c r="T1083" s="2" t="s">
        <v>100</v>
      </c>
      <c r="U1083" s="2" t="s">
        <v>343</v>
      </c>
      <c r="V1083" s="2" t="s">
        <v>734</v>
      </c>
      <c r="W1083" s="2" t="s">
        <v>976</v>
      </c>
      <c r="X1083" s="2" t="s">
        <v>3371</v>
      </c>
      <c r="Y1083" s="2" t="s">
        <v>131</v>
      </c>
      <c r="Z1083" s="4">
        <v>147</v>
      </c>
      <c r="AA1083" s="4">
        <f>=ROUNDDOWN(21,0)</f>
      </c>
      <c r="AB1083" s="5">
        <v>7</v>
      </c>
      <c r="AC1083" s="2" t="s">
        <v>3623</v>
      </c>
      <c r="AD1083" s="4">
        <v>80</v>
      </c>
      <c r="AE1083" s="4">
        <v>250</v>
      </c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6</v>
      </c>
      <c r="BK1083" s="8">
        <v>341.17</v>
      </c>
      <c r="BL1083" s="2" t="s">
        <v>725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544</v>
      </c>
      <c r="BX1083" s="2" t="s">
        <v>621</v>
      </c>
      <c r="BY1083" s="2" t="s">
        <v>112</v>
      </c>
      <c r="BZ1083" s="2" t="s">
        <v>100</v>
      </c>
    </row>
    <row r="1084">
      <c r="A1084" s="2" t="s">
        <v>3626</v>
      </c>
      <c r="B1084" s="2" t="s">
        <v>87</v>
      </c>
      <c r="C1084" s="2" t="s">
        <v>3381</v>
      </c>
      <c r="D1084" s="2" t="s">
        <v>89</v>
      </c>
      <c r="E1084" s="2" t="s">
        <v>1944</v>
      </c>
      <c r="F1084" s="2" t="s">
        <v>3613</v>
      </c>
      <c r="G1084" s="2" t="s">
        <v>3614</v>
      </c>
      <c r="H1084" s="2" t="s">
        <v>3615</v>
      </c>
      <c r="I1084" s="2" t="s">
        <v>3532</v>
      </c>
      <c r="J1084" s="2" t="s">
        <v>114</v>
      </c>
      <c r="K1084" s="2" t="s">
        <v>340</v>
      </c>
      <c r="L1084" s="3">
        <v>62.39</v>
      </c>
      <c r="M1084" s="3">
        <v>65.51</v>
      </c>
      <c r="N1084" s="3">
        <v>119.99</v>
      </c>
      <c r="O1084" s="2" t="s">
        <v>97</v>
      </c>
      <c r="P1084" s="2" t="s">
        <v>98</v>
      </c>
      <c r="Q1084" s="2" t="s">
        <v>99</v>
      </c>
      <c r="R1084" s="2" t="s">
        <v>100</v>
      </c>
      <c r="S1084" s="2" t="s">
        <v>3622</v>
      </c>
      <c r="T1084" s="2" t="s">
        <v>100</v>
      </c>
      <c r="U1084" s="2" t="s">
        <v>343</v>
      </c>
      <c r="V1084" s="2" t="s">
        <v>734</v>
      </c>
      <c r="W1084" s="2" t="s">
        <v>976</v>
      </c>
      <c r="X1084" s="2" t="s">
        <v>3371</v>
      </c>
      <c r="Y1084" s="2" t="s">
        <v>131</v>
      </c>
      <c r="Z1084" s="4">
        <v>288</v>
      </c>
      <c r="AA1084" s="4">
        <f>=ROUNDDOWN(16,0)</f>
      </c>
      <c r="AB1084" s="5">
        <v>18</v>
      </c>
      <c r="AC1084" s="2" t="s">
        <v>553</v>
      </c>
      <c r="AD1084" s="4">
        <v>150</v>
      </c>
      <c r="AE1084" s="4">
        <v>500</v>
      </c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 t="s">
        <v>100</v>
      </c>
      <c r="BJ1084" s="4">
        <v>20</v>
      </c>
      <c r="BK1084" s="8">
        <v>1310.39</v>
      </c>
      <c r="BL1084" s="2" t="s">
        <v>3627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544</v>
      </c>
      <c r="BX1084" s="2" t="s">
        <v>222</v>
      </c>
      <c r="BY1084" s="2" t="s">
        <v>112</v>
      </c>
      <c r="BZ1084" s="2" t="s">
        <v>100</v>
      </c>
    </row>
    <row r="1085">
      <c r="A1085" s="2" t="s">
        <v>3628</v>
      </c>
      <c r="B1085" s="2" t="s">
        <v>87</v>
      </c>
      <c r="C1085" s="2" t="s">
        <v>3381</v>
      </c>
      <c r="D1085" s="2" t="s">
        <v>89</v>
      </c>
      <c r="E1085" s="2" t="s">
        <v>1944</v>
      </c>
      <c r="F1085" s="2" t="s">
        <v>3613</v>
      </c>
      <c r="G1085" s="2" t="s">
        <v>3614</v>
      </c>
      <c r="H1085" s="2" t="s">
        <v>3615</v>
      </c>
      <c r="I1085" s="2" t="s">
        <v>3532</v>
      </c>
      <c r="J1085" s="2" t="s">
        <v>120</v>
      </c>
      <c r="K1085" s="2" t="s">
        <v>340</v>
      </c>
      <c r="L1085" s="3">
        <v>67.59</v>
      </c>
      <c r="M1085" s="3">
        <v>70.97</v>
      </c>
      <c r="N1085" s="3">
        <v>129.99</v>
      </c>
      <c r="O1085" s="2" t="s">
        <v>97</v>
      </c>
      <c r="P1085" s="2" t="s">
        <v>98</v>
      </c>
      <c r="Q1085" s="2" t="s">
        <v>99</v>
      </c>
      <c r="R1085" s="2" t="s">
        <v>100</v>
      </c>
      <c r="S1085" s="2" t="s">
        <v>3622</v>
      </c>
      <c r="T1085" s="2" t="s">
        <v>100</v>
      </c>
      <c r="U1085" s="2" t="s">
        <v>343</v>
      </c>
      <c r="V1085" s="2" t="s">
        <v>734</v>
      </c>
      <c r="W1085" s="2" t="s">
        <v>976</v>
      </c>
      <c r="X1085" s="2" t="s">
        <v>3371</v>
      </c>
      <c r="Y1085" s="2" t="s">
        <v>131</v>
      </c>
      <c r="Z1085" s="4">
        <v>243</v>
      </c>
      <c r="AA1085" s="4">
        <f>=ROUNDDOWN(24.3,0)</f>
      </c>
      <c r="AB1085" s="5">
        <v>10</v>
      </c>
      <c r="AC1085" s="2" t="s">
        <v>553</v>
      </c>
      <c r="AD1085" s="4">
        <v>140</v>
      </c>
      <c r="AE1085" s="4">
        <v>280</v>
      </c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 t="s">
        <v>100</v>
      </c>
      <c r="BJ1085" s="4">
        <v>3</v>
      </c>
      <c r="BK1085" s="8">
        <v>202.42</v>
      </c>
      <c r="BL1085" s="2" t="s">
        <v>534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544</v>
      </c>
      <c r="BX1085" s="2" t="s">
        <v>590</v>
      </c>
      <c r="BY1085" s="2" t="s">
        <v>112</v>
      </c>
      <c r="BZ1085" s="2" t="s">
        <v>100</v>
      </c>
    </row>
    <row r="1086">
      <c r="A1086" s="2" t="s">
        <v>3629</v>
      </c>
      <c r="B1086" s="2" t="s">
        <v>87</v>
      </c>
      <c r="C1086" s="2" t="s">
        <v>3381</v>
      </c>
      <c r="D1086" s="2" t="s">
        <v>89</v>
      </c>
      <c r="E1086" s="2" t="s">
        <v>1944</v>
      </c>
      <c r="F1086" s="2" t="s">
        <v>3613</v>
      </c>
      <c r="G1086" s="2" t="s">
        <v>3614</v>
      </c>
      <c r="H1086" s="2" t="s">
        <v>3615</v>
      </c>
      <c r="I1086" s="2" t="s">
        <v>3532</v>
      </c>
      <c r="J1086" s="2" t="s">
        <v>124</v>
      </c>
      <c r="K1086" s="2" t="s">
        <v>340</v>
      </c>
      <c r="L1086" s="3">
        <v>67.59</v>
      </c>
      <c r="M1086" s="3">
        <v>70.97</v>
      </c>
      <c r="N1086" s="3">
        <v>129.99</v>
      </c>
      <c r="O1086" s="2" t="s">
        <v>97</v>
      </c>
      <c r="P1086" s="2" t="s">
        <v>98</v>
      </c>
      <c r="Q1086" s="2" t="s">
        <v>99</v>
      </c>
      <c r="R1086" s="2" t="s">
        <v>100</v>
      </c>
      <c r="S1086" s="2" t="s">
        <v>3622</v>
      </c>
      <c r="T1086" s="2" t="s">
        <v>100</v>
      </c>
      <c r="U1086" s="2" t="s">
        <v>343</v>
      </c>
      <c r="V1086" s="2" t="s">
        <v>734</v>
      </c>
      <c r="W1086" s="2" t="s">
        <v>976</v>
      </c>
      <c r="X1086" s="2" t="s">
        <v>3371</v>
      </c>
      <c r="Y1086" s="2" t="s">
        <v>131</v>
      </c>
      <c r="Z1086" s="4">
        <v>80</v>
      </c>
      <c r="AA1086" s="4">
        <f>=ROUNDDOWN(13.3333333333333,0)</f>
      </c>
      <c r="AB1086" s="5">
        <v>6</v>
      </c>
      <c r="AC1086" s="2" t="s">
        <v>553</v>
      </c>
      <c r="AD1086" s="4">
        <v>30</v>
      </c>
      <c r="AE1086" s="4">
        <v>230</v>
      </c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 t="s">
        <v>100</v>
      </c>
      <c r="AW1086" s="8" t="s">
        <v>100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/>
      <c r="BC1086" s="4" t="s">
        <v>100</v>
      </c>
      <c r="BD1086" s="8" t="s">
        <v>100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 t="s">
        <v>100</v>
      </c>
      <c r="BJ1086" s="4">
        <v>3</v>
      </c>
      <c r="BK1086" s="8">
        <v>212.7</v>
      </c>
      <c r="BL1086" s="2" t="s">
        <v>625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544</v>
      </c>
      <c r="BX1086" s="2" t="s">
        <v>590</v>
      </c>
      <c r="BY1086" s="2" t="s">
        <v>112</v>
      </c>
      <c r="BZ1086" s="2" t="s">
        <v>100</v>
      </c>
    </row>
    <row r="1087">
      <c r="A1087" s="2" t="s">
        <v>3630</v>
      </c>
      <c r="B1087" s="2" t="s">
        <v>87</v>
      </c>
      <c r="C1087" s="2" t="s">
        <v>3381</v>
      </c>
      <c r="D1087" s="2" t="s">
        <v>89</v>
      </c>
      <c r="E1087" s="2" t="s">
        <v>1944</v>
      </c>
      <c r="F1087" s="2" t="s">
        <v>3631</v>
      </c>
      <c r="G1087" s="2" t="s">
        <v>3632</v>
      </c>
      <c r="H1087" s="2" t="s">
        <v>3633</v>
      </c>
      <c r="I1087" s="2" t="s">
        <v>3634</v>
      </c>
      <c r="J1087" s="2" t="s">
        <v>2236</v>
      </c>
      <c r="K1087" s="2" t="s">
        <v>146</v>
      </c>
      <c r="L1087" s="3">
        <v>38.09</v>
      </c>
      <c r="M1087" s="3">
        <v>39.99</v>
      </c>
      <c r="N1087" s="3">
        <v>79.99</v>
      </c>
      <c r="O1087" s="2" t="s">
        <v>97</v>
      </c>
      <c r="P1087" s="2" t="s">
        <v>447</v>
      </c>
      <c r="Q1087" s="2" t="s">
        <v>99</v>
      </c>
      <c r="R1087" s="2" t="s">
        <v>100</v>
      </c>
      <c r="S1087" s="2" t="s">
        <v>3635</v>
      </c>
      <c r="T1087" s="2" t="s">
        <v>100</v>
      </c>
      <c r="U1087" s="2" t="s">
        <v>644</v>
      </c>
      <c r="V1087" s="2" t="s">
        <v>645</v>
      </c>
      <c r="W1087" s="2" t="s">
        <v>976</v>
      </c>
      <c r="X1087" s="2" t="s">
        <v>105</v>
      </c>
      <c r="Y1087" s="2" t="s">
        <v>3636</v>
      </c>
      <c r="Z1087" s="4">
        <v>73</v>
      </c>
      <c r="AA1087" s="4">
        <f>=ROUNDDOWN(73,0)</f>
      </c>
      <c r="AB1087" s="5">
        <v>1</v>
      </c>
      <c r="AC1087" s="2" t="s">
        <v>100</v>
      </c>
      <c r="AD1087" s="4"/>
      <c r="AE1087" s="4"/>
      <c r="AF1087" s="6">
        <v>64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>
        <v>1</v>
      </c>
      <c r="AW1087" s="8">
        <v>57.75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/>
      <c r="BC1087" s="4">
        <v>1</v>
      </c>
      <c r="BD1087" s="8">
        <v>57.75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>
        <v>1</v>
      </c>
      <c r="BJ1087" s="4">
        <v>7</v>
      </c>
      <c r="BK1087" s="8">
        <v>279.93</v>
      </c>
      <c r="BL1087" s="2" t="s">
        <v>1882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3637</v>
      </c>
      <c r="BX1087" s="2" t="s">
        <v>1765</v>
      </c>
      <c r="BY1087" s="2" t="s">
        <v>112</v>
      </c>
      <c r="BZ1087" s="2" t="s">
        <v>100</v>
      </c>
    </row>
    <row r="1088">
      <c r="A1088" s="2" t="s">
        <v>3638</v>
      </c>
      <c r="B1088" s="2" t="s">
        <v>87</v>
      </c>
      <c r="C1088" s="2" t="s">
        <v>3381</v>
      </c>
      <c r="D1088" s="2" t="s">
        <v>89</v>
      </c>
      <c r="E1088" s="2" t="s">
        <v>1944</v>
      </c>
      <c r="F1088" s="2" t="s">
        <v>3631</v>
      </c>
      <c r="G1088" s="2" t="s">
        <v>3632</v>
      </c>
      <c r="H1088" s="2" t="s">
        <v>3633</v>
      </c>
      <c r="I1088" s="2" t="s">
        <v>3639</v>
      </c>
      <c r="J1088" s="2" t="s">
        <v>95</v>
      </c>
      <c r="K1088" s="2" t="s">
        <v>146</v>
      </c>
      <c r="L1088" s="3">
        <v>42.85</v>
      </c>
      <c r="M1088" s="3">
        <v>44.99</v>
      </c>
      <c r="N1088" s="3">
        <v>89.99</v>
      </c>
      <c r="O1088" s="2" t="s">
        <v>97</v>
      </c>
      <c r="P1088" s="2" t="s">
        <v>447</v>
      </c>
      <c r="Q1088" s="2" t="s">
        <v>99</v>
      </c>
      <c r="R1088" s="2" t="s">
        <v>100</v>
      </c>
      <c r="S1088" s="2" t="s">
        <v>3635</v>
      </c>
      <c r="T1088" s="2" t="s">
        <v>100</v>
      </c>
      <c r="U1088" s="2" t="s">
        <v>102</v>
      </c>
      <c r="V1088" s="2" t="s">
        <v>645</v>
      </c>
      <c r="W1088" s="2" t="s">
        <v>976</v>
      </c>
      <c r="X1088" s="2" t="s">
        <v>105</v>
      </c>
      <c r="Y1088" s="2" t="s">
        <v>3636</v>
      </c>
      <c r="Z1088" s="4">
        <v>194</v>
      </c>
      <c r="AA1088" s="4">
        <f>=ROUNDDOWN(97,0)</f>
      </c>
      <c r="AB1088" s="5">
        <v>2</v>
      </c>
      <c r="AC1088" s="2" t="s">
        <v>100</v>
      </c>
      <c r="AD1088" s="4"/>
      <c r="AE1088" s="4"/>
      <c r="AF1088" s="6">
        <v>64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/>
      <c r="AQ1088" s="8"/>
      <c r="AR1088" s="4"/>
      <c r="AS1088" s="8"/>
      <c r="AT1088" s="7"/>
      <c r="AU1088" s="7"/>
      <c r="AV1088" s="4" t="s">
        <v>100</v>
      </c>
      <c r="AW1088" s="8" t="s">
        <v>100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/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 t="s">
        <v>100</v>
      </c>
      <c r="BJ1088" s="4">
        <v>2</v>
      </c>
      <c r="BK1088" s="8">
        <v>93.58</v>
      </c>
      <c r="BL1088" s="2" t="s">
        <v>3640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3637</v>
      </c>
      <c r="BX1088" s="2" t="s">
        <v>1726</v>
      </c>
      <c r="BY1088" s="2" t="s">
        <v>112</v>
      </c>
      <c r="BZ1088" s="2" t="s">
        <v>100</v>
      </c>
    </row>
    <row r="1089">
      <c r="A1089" s="2" t="s">
        <v>3641</v>
      </c>
      <c r="B1089" s="2" t="s">
        <v>87</v>
      </c>
      <c r="C1089" s="2" t="s">
        <v>3381</v>
      </c>
      <c r="D1089" s="2" t="s">
        <v>89</v>
      </c>
      <c r="E1089" s="2" t="s">
        <v>1944</v>
      </c>
      <c r="F1089" s="2" t="s">
        <v>3631</v>
      </c>
      <c r="G1089" s="2" t="s">
        <v>3632</v>
      </c>
      <c r="H1089" s="2" t="s">
        <v>3633</v>
      </c>
      <c r="I1089" s="2" t="s">
        <v>3639</v>
      </c>
      <c r="J1089" s="2" t="s">
        <v>114</v>
      </c>
      <c r="K1089" s="2" t="s">
        <v>146</v>
      </c>
      <c r="L1089" s="3">
        <v>47.61</v>
      </c>
      <c r="M1089" s="3">
        <v>49.99</v>
      </c>
      <c r="N1089" s="3">
        <v>99.99</v>
      </c>
      <c r="O1089" s="2" t="s">
        <v>97</v>
      </c>
      <c r="P1089" s="2" t="s">
        <v>447</v>
      </c>
      <c r="Q1089" s="2" t="s">
        <v>99</v>
      </c>
      <c r="R1089" s="2" t="s">
        <v>100</v>
      </c>
      <c r="S1089" s="2" t="s">
        <v>3635</v>
      </c>
      <c r="T1089" s="2" t="s">
        <v>100</v>
      </c>
      <c r="U1089" s="2" t="s">
        <v>102</v>
      </c>
      <c r="V1089" s="2" t="s">
        <v>645</v>
      </c>
      <c r="W1089" s="2" t="s">
        <v>976</v>
      </c>
      <c r="X1089" s="2" t="s">
        <v>105</v>
      </c>
      <c r="Y1089" s="2" t="s">
        <v>3636</v>
      </c>
      <c r="Z1089" s="4">
        <v>143</v>
      </c>
      <c r="AA1089" s="4">
        <f>=ROUNDDOWN(15.8888888888889,0)</f>
      </c>
      <c r="AB1089" s="5">
        <v>9</v>
      </c>
      <c r="AC1089" s="2" t="s">
        <v>100</v>
      </c>
      <c r="AD1089" s="4"/>
      <c r="AE1089" s="4"/>
      <c r="AF1089" s="6">
        <v>64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/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8</v>
      </c>
      <c r="BK1089" s="8">
        <v>396.42</v>
      </c>
      <c r="BL1089" s="2" t="s">
        <v>3642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3637</v>
      </c>
      <c r="BX1089" s="2" t="s">
        <v>881</v>
      </c>
      <c r="BY1089" s="2" t="s">
        <v>112</v>
      </c>
      <c r="BZ1089" s="2" t="s">
        <v>100</v>
      </c>
    </row>
    <row r="1090">
      <c r="A1090" s="2" t="s">
        <v>3643</v>
      </c>
      <c r="B1090" s="2" t="s">
        <v>87</v>
      </c>
      <c r="C1090" s="2" t="s">
        <v>3381</v>
      </c>
      <c r="D1090" s="2" t="s">
        <v>89</v>
      </c>
      <c r="E1090" s="2" t="s">
        <v>1944</v>
      </c>
      <c r="F1090" s="2" t="s">
        <v>3631</v>
      </c>
      <c r="G1090" s="2" t="s">
        <v>3632</v>
      </c>
      <c r="H1090" s="2" t="s">
        <v>3633</v>
      </c>
      <c r="I1090" s="2" t="s">
        <v>3639</v>
      </c>
      <c r="J1090" s="2" t="s">
        <v>120</v>
      </c>
      <c r="K1090" s="2" t="s">
        <v>146</v>
      </c>
      <c r="L1090" s="3">
        <v>52.38</v>
      </c>
      <c r="M1090" s="3">
        <v>55</v>
      </c>
      <c r="N1090" s="3">
        <v>109.99</v>
      </c>
      <c r="O1090" s="2" t="s">
        <v>97</v>
      </c>
      <c r="P1090" s="2" t="s">
        <v>447</v>
      </c>
      <c r="Q1090" s="2" t="s">
        <v>99</v>
      </c>
      <c r="R1090" s="2" t="s">
        <v>100</v>
      </c>
      <c r="S1090" s="2" t="s">
        <v>3635</v>
      </c>
      <c r="T1090" s="2" t="s">
        <v>100</v>
      </c>
      <c r="U1090" s="2" t="s">
        <v>102</v>
      </c>
      <c r="V1090" s="2" t="s">
        <v>645</v>
      </c>
      <c r="W1090" s="2" t="s">
        <v>976</v>
      </c>
      <c r="X1090" s="2" t="s">
        <v>105</v>
      </c>
      <c r="Y1090" s="2" t="s">
        <v>3636</v>
      </c>
      <c r="Z1090" s="4">
        <v>158</v>
      </c>
      <c r="AA1090" s="4">
        <f>=ROUNDDOWN(79,0)</f>
      </c>
      <c r="AB1090" s="5">
        <v>2</v>
      </c>
      <c r="AC1090" s="2" t="s">
        <v>100</v>
      </c>
      <c r="AD1090" s="4"/>
      <c r="AE1090" s="4"/>
      <c r="AF1090" s="6">
        <v>64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>
        <v>1</v>
      </c>
      <c r="AQ1090" s="8">
        <v>57.75</v>
      </c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>
        <v>1</v>
      </c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 t="s">
        <v>100</v>
      </c>
      <c r="BJ1090" s="4">
        <v>1</v>
      </c>
      <c r="BK1090" s="8">
        <v>57.75</v>
      </c>
      <c r="BL1090" s="2" t="s">
        <v>16</v>
      </c>
      <c r="BM1090" s="7">
        <v>1</v>
      </c>
      <c r="BN1090" s="7">
        <v>1</v>
      </c>
      <c r="BO1090" s="4">
        <v>1</v>
      </c>
      <c r="BP1090" s="8">
        <v>57.75</v>
      </c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3637</v>
      </c>
      <c r="BX1090" s="2" t="s">
        <v>881</v>
      </c>
      <c r="BY1090" s="2" t="s">
        <v>112</v>
      </c>
      <c r="BZ1090" s="2" t="s">
        <v>100</v>
      </c>
    </row>
    <row r="1091">
      <c r="A1091" s="2" t="s">
        <v>3644</v>
      </c>
      <c r="B1091" s="2" t="s">
        <v>87</v>
      </c>
      <c r="C1091" s="2" t="s">
        <v>3381</v>
      </c>
      <c r="D1091" s="2" t="s">
        <v>89</v>
      </c>
      <c r="E1091" s="2" t="s">
        <v>1944</v>
      </c>
      <c r="F1091" s="2" t="s">
        <v>3631</v>
      </c>
      <c r="G1091" s="2" t="s">
        <v>3632</v>
      </c>
      <c r="H1091" s="2" t="s">
        <v>3633</v>
      </c>
      <c r="I1091" s="2" t="s">
        <v>3639</v>
      </c>
      <c r="J1091" s="2" t="s">
        <v>124</v>
      </c>
      <c r="K1091" s="2" t="s">
        <v>146</v>
      </c>
      <c r="L1091" s="3">
        <v>52.38</v>
      </c>
      <c r="M1091" s="3">
        <v>55</v>
      </c>
      <c r="N1091" s="3">
        <v>109.99</v>
      </c>
      <c r="O1091" s="2" t="s">
        <v>97</v>
      </c>
      <c r="P1091" s="2" t="s">
        <v>447</v>
      </c>
      <c r="Q1091" s="2" t="s">
        <v>99</v>
      </c>
      <c r="R1091" s="2" t="s">
        <v>100</v>
      </c>
      <c r="S1091" s="2" t="s">
        <v>3635</v>
      </c>
      <c r="T1091" s="2" t="s">
        <v>100</v>
      </c>
      <c r="U1091" s="2" t="s">
        <v>102</v>
      </c>
      <c r="V1091" s="2" t="s">
        <v>645</v>
      </c>
      <c r="W1091" s="2" t="s">
        <v>976</v>
      </c>
      <c r="X1091" s="2" t="s">
        <v>105</v>
      </c>
      <c r="Y1091" s="2" t="s">
        <v>3636</v>
      </c>
      <c r="Z1091" s="4">
        <v>217</v>
      </c>
      <c r="AA1091" s="4">
        <f>=ROUNDDOWN(108.5,0)</f>
      </c>
      <c r="AB1091" s="5">
        <v>2</v>
      </c>
      <c r="AC1091" s="2" t="s">
        <v>100</v>
      </c>
      <c r="AD1091" s="4"/>
      <c r="AE1091" s="4"/>
      <c r="AF1091" s="6">
        <v>64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/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 t="s">
        <v>100</v>
      </c>
      <c r="BJ1091" s="4"/>
      <c r="BK1091" s="8"/>
      <c r="BL1091" s="2" t="s">
        <v>100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3637</v>
      </c>
      <c r="BX1091" s="2" t="s">
        <v>2369</v>
      </c>
      <c r="BY1091" s="2" t="s">
        <v>112</v>
      </c>
      <c r="BZ1091" s="2" t="s">
        <v>100</v>
      </c>
    </row>
    <row r="1092">
      <c r="A1092" s="2" t="s">
        <v>3645</v>
      </c>
      <c r="B1092" s="2" t="s">
        <v>87</v>
      </c>
      <c r="C1092" s="2" t="s">
        <v>3381</v>
      </c>
      <c r="D1092" s="2" t="s">
        <v>89</v>
      </c>
      <c r="E1092" s="2" t="s">
        <v>1944</v>
      </c>
      <c r="F1092" s="2" t="s">
        <v>3646</v>
      </c>
      <c r="G1092" s="2" t="s">
        <v>3647</v>
      </c>
      <c r="H1092" s="2" t="s">
        <v>3648</v>
      </c>
      <c r="I1092" s="2" t="s">
        <v>3649</v>
      </c>
      <c r="J1092" s="2" t="s">
        <v>2236</v>
      </c>
      <c r="K1092" s="2" t="s">
        <v>3650</v>
      </c>
      <c r="L1092" s="3">
        <v>30.95</v>
      </c>
      <c r="M1092" s="3">
        <v>32.5</v>
      </c>
      <c r="N1092" s="3">
        <v>64.99</v>
      </c>
      <c r="O1092" s="2" t="s">
        <v>97</v>
      </c>
      <c r="P1092" s="2" t="s">
        <v>98</v>
      </c>
      <c r="Q1092" s="2" t="s">
        <v>99</v>
      </c>
      <c r="R1092" s="2" t="s">
        <v>100</v>
      </c>
      <c r="S1092" s="2" t="s">
        <v>3651</v>
      </c>
      <c r="T1092" s="2" t="s">
        <v>787</v>
      </c>
      <c r="U1092" s="2" t="s">
        <v>644</v>
      </c>
      <c r="V1092" s="2" t="s">
        <v>805</v>
      </c>
      <c r="W1092" s="2" t="s">
        <v>976</v>
      </c>
      <c r="X1092" s="2" t="s">
        <v>100</v>
      </c>
      <c r="Y1092" s="2" t="s">
        <v>3652</v>
      </c>
      <c r="Z1092" s="4">
        <v>210</v>
      </c>
      <c r="AA1092" s="4">
        <f>=ROUNDDOWN(19.0909090909091,0)</f>
      </c>
      <c r="AB1092" s="5">
        <v>11</v>
      </c>
      <c r="AC1092" s="2" t="s">
        <v>287</v>
      </c>
      <c r="AD1092" s="4">
        <v>150</v>
      </c>
      <c r="AE1092" s="4">
        <v>465</v>
      </c>
      <c r="AF1092" s="6">
        <v>64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>
        <v>1</v>
      </c>
      <c r="AW1092" s="8">
        <v>39.37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/>
      <c r="BC1092" s="4">
        <v>1</v>
      </c>
      <c r="BD1092" s="8">
        <v>39.37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>
        <v>1</v>
      </c>
      <c r="BJ1092" s="4">
        <v>5</v>
      </c>
      <c r="BK1092" s="8">
        <v>194.28</v>
      </c>
      <c r="BL1092" s="2" t="s">
        <v>3653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1518</v>
      </c>
      <c r="BX1092" s="2" t="s">
        <v>100</v>
      </c>
      <c r="BY1092" s="2" t="s">
        <v>112</v>
      </c>
      <c r="BZ1092" s="2" t="s">
        <v>100</v>
      </c>
    </row>
    <row r="1093">
      <c r="A1093" s="2" t="s">
        <v>3654</v>
      </c>
      <c r="B1093" s="2" t="s">
        <v>87</v>
      </c>
      <c r="C1093" s="2" t="s">
        <v>3381</v>
      </c>
      <c r="D1093" s="2" t="s">
        <v>89</v>
      </c>
      <c r="E1093" s="2" t="s">
        <v>1944</v>
      </c>
      <c r="F1093" s="2" t="s">
        <v>3646</v>
      </c>
      <c r="G1093" s="2" t="s">
        <v>3647</v>
      </c>
      <c r="H1093" s="2" t="s">
        <v>3648</v>
      </c>
      <c r="I1093" s="2" t="s">
        <v>3649</v>
      </c>
      <c r="J1093" s="2" t="s">
        <v>95</v>
      </c>
      <c r="K1093" s="2" t="s">
        <v>3650</v>
      </c>
      <c r="L1093" s="3">
        <v>35.71</v>
      </c>
      <c r="M1093" s="3">
        <v>37.5</v>
      </c>
      <c r="N1093" s="3">
        <v>74.99</v>
      </c>
      <c r="O1093" s="2" t="s">
        <v>97</v>
      </c>
      <c r="P1093" s="2" t="s">
        <v>98</v>
      </c>
      <c r="Q1093" s="2" t="s">
        <v>99</v>
      </c>
      <c r="R1093" s="2" t="s">
        <v>100</v>
      </c>
      <c r="S1093" s="2" t="s">
        <v>3651</v>
      </c>
      <c r="T1093" s="2" t="s">
        <v>787</v>
      </c>
      <c r="U1093" s="2" t="s">
        <v>102</v>
      </c>
      <c r="V1093" s="2" t="s">
        <v>805</v>
      </c>
      <c r="W1093" s="2" t="s">
        <v>976</v>
      </c>
      <c r="X1093" s="2" t="s">
        <v>100</v>
      </c>
      <c r="Y1093" s="2" t="s">
        <v>3652</v>
      </c>
      <c r="Z1093" s="4">
        <v>185</v>
      </c>
      <c r="AA1093" s="4">
        <f>=ROUNDDOWN(9.25,0)</f>
      </c>
      <c r="AB1093" s="5">
        <v>20</v>
      </c>
      <c r="AC1093" s="2" t="s">
        <v>287</v>
      </c>
      <c r="AD1093" s="4">
        <v>120</v>
      </c>
      <c r="AE1093" s="4">
        <v>867</v>
      </c>
      <c r="AF1093" s="6">
        <v>64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>
        <v>1</v>
      </c>
      <c r="AQ1093" s="8">
        <v>39.37</v>
      </c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>
        <v>1</v>
      </c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 t="s">
        <v>100</v>
      </c>
      <c r="BJ1093" s="4">
        <v>8</v>
      </c>
      <c r="BK1093" s="8">
        <v>314.02</v>
      </c>
      <c r="BL1093" s="2" t="s">
        <v>757</v>
      </c>
      <c r="BM1093" s="7">
        <v>0.125</v>
      </c>
      <c r="BN1093" s="7">
        <v>0.1254</v>
      </c>
      <c r="BO1093" s="4">
        <v>1</v>
      </c>
      <c r="BP1093" s="8">
        <v>39.37</v>
      </c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1518</v>
      </c>
      <c r="BX1093" s="2" t="s">
        <v>3655</v>
      </c>
      <c r="BY1093" s="2" t="s">
        <v>112</v>
      </c>
      <c r="BZ1093" s="2" t="s">
        <v>100</v>
      </c>
    </row>
    <row r="1094">
      <c r="A1094" s="2" t="s">
        <v>3656</v>
      </c>
      <c r="B1094" s="2" t="s">
        <v>87</v>
      </c>
      <c r="C1094" s="2" t="s">
        <v>3381</v>
      </c>
      <c r="D1094" s="2" t="s">
        <v>89</v>
      </c>
      <c r="E1094" s="2" t="s">
        <v>1944</v>
      </c>
      <c r="F1094" s="2" t="s">
        <v>3646</v>
      </c>
      <c r="G1094" s="2" t="s">
        <v>3647</v>
      </c>
      <c r="H1094" s="2" t="s">
        <v>3648</v>
      </c>
      <c r="I1094" s="2" t="s">
        <v>3649</v>
      </c>
      <c r="J1094" s="2" t="s">
        <v>114</v>
      </c>
      <c r="K1094" s="2" t="s">
        <v>3650</v>
      </c>
      <c r="L1094" s="3">
        <v>38.09</v>
      </c>
      <c r="M1094" s="3">
        <v>39.99</v>
      </c>
      <c r="N1094" s="3">
        <v>79.99</v>
      </c>
      <c r="O1094" s="2" t="s">
        <v>97</v>
      </c>
      <c r="P1094" s="2" t="s">
        <v>98</v>
      </c>
      <c r="Q1094" s="2" t="s">
        <v>99</v>
      </c>
      <c r="R1094" s="2" t="s">
        <v>100</v>
      </c>
      <c r="S1094" s="2" t="s">
        <v>3651</v>
      </c>
      <c r="T1094" s="2" t="s">
        <v>787</v>
      </c>
      <c r="U1094" s="2" t="s">
        <v>102</v>
      </c>
      <c r="V1094" s="2" t="s">
        <v>805</v>
      </c>
      <c r="W1094" s="2" t="s">
        <v>976</v>
      </c>
      <c r="X1094" s="2" t="s">
        <v>100</v>
      </c>
      <c r="Y1094" s="2" t="s">
        <v>3652</v>
      </c>
      <c r="Z1094" s="4">
        <v>339</v>
      </c>
      <c r="AA1094" s="4">
        <f>=ROUNDDOWN(7.88372093023256,0)</f>
      </c>
      <c r="AB1094" s="5">
        <v>43</v>
      </c>
      <c r="AC1094" s="2" t="s">
        <v>287</v>
      </c>
      <c r="AD1094" s="4">
        <v>250</v>
      </c>
      <c r="AE1094" s="4">
        <v>1750</v>
      </c>
      <c r="AF1094" s="6">
        <v>64</v>
      </c>
      <c r="AG1094" s="6"/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 t="s">
        <v>100</v>
      </c>
      <c r="AW1094" s="8" t="s">
        <v>100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/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 t="s">
        <v>100</v>
      </c>
      <c r="BJ1094" s="4">
        <v>51</v>
      </c>
      <c r="BK1094" s="8">
        <v>2171.28</v>
      </c>
      <c r="BL1094" s="2" t="s">
        <v>1535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1518</v>
      </c>
      <c r="BX1094" s="2" t="s">
        <v>1474</v>
      </c>
      <c r="BY1094" s="2" t="s">
        <v>112</v>
      </c>
      <c r="BZ1094" s="2" t="s">
        <v>100</v>
      </c>
    </row>
    <row r="1095">
      <c r="A1095" s="2" t="s">
        <v>3657</v>
      </c>
      <c r="B1095" s="2" t="s">
        <v>87</v>
      </c>
      <c r="C1095" s="2" t="s">
        <v>3381</v>
      </c>
      <c r="D1095" s="2" t="s">
        <v>89</v>
      </c>
      <c r="E1095" s="2" t="s">
        <v>1944</v>
      </c>
      <c r="F1095" s="2" t="s">
        <v>3646</v>
      </c>
      <c r="G1095" s="2" t="s">
        <v>3647</v>
      </c>
      <c r="H1095" s="2" t="s">
        <v>3648</v>
      </c>
      <c r="I1095" s="2" t="s">
        <v>3649</v>
      </c>
      <c r="J1095" s="2" t="s">
        <v>120</v>
      </c>
      <c r="K1095" s="2" t="s">
        <v>3650</v>
      </c>
      <c r="L1095" s="3">
        <v>42.85</v>
      </c>
      <c r="M1095" s="3">
        <v>44.99</v>
      </c>
      <c r="N1095" s="3">
        <v>89.99</v>
      </c>
      <c r="O1095" s="2" t="s">
        <v>97</v>
      </c>
      <c r="P1095" s="2" t="s">
        <v>98</v>
      </c>
      <c r="Q1095" s="2" t="s">
        <v>99</v>
      </c>
      <c r="R1095" s="2" t="s">
        <v>100</v>
      </c>
      <c r="S1095" s="2" t="s">
        <v>3651</v>
      </c>
      <c r="T1095" s="2" t="s">
        <v>787</v>
      </c>
      <c r="U1095" s="2" t="s">
        <v>102</v>
      </c>
      <c r="V1095" s="2" t="s">
        <v>805</v>
      </c>
      <c r="W1095" s="2" t="s">
        <v>976</v>
      </c>
      <c r="X1095" s="2" t="s">
        <v>100</v>
      </c>
      <c r="Y1095" s="2" t="s">
        <v>3652</v>
      </c>
      <c r="Z1095" s="4">
        <v>154</v>
      </c>
      <c r="AA1095" s="4">
        <f>=ROUNDDOWN(8.55555555555556,0)</f>
      </c>
      <c r="AB1095" s="5">
        <v>18</v>
      </c>
      <c r="AC1095" s="2" t="s">
        <v>287</v>
      </c>
      <c r="AD1095" s="4">
        <v>150</v>
      </c>
      <c r="AE1095" s="4">
        <v>698</v>
      </c>
      <c r="AF1095" s="6">
        <v>64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/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34</v>
      </c>
      <c r="BK1095" s="8">
        <v>1646.33</v>
      </c>
      <c r="BL1095" s="2" t="s">
        <v>3658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1518</v>
      </c>
      <c r="BX1095" s="2" t="s">
        <v>1569</v>
      </c>
      <c r="BY1095" s="2" t="s">
        <v>112</v>
      </c>
      <c r="BZ1095" s="2" t="s">
        <v>100</v>
      </c>
    </row>
    <row r="1096">
      <c r="A1096" s="2" t="s">
        <v>3659</v>
      </c>
      <c r="B1096" s="2" t="s">
        <v>87</v>
      </c>
      <c r="C1096" s="2" t="s">
        <v>3381</v>
      </c>
      <c r="D1096" s="2" t="s">
        <v>89</v>
      </c>
      <c r="E1096" s="2" t="s">
        <v>1944</v>
      </c>
      <c r="F1096" s="2" t="s">
        <v>3646</v>
      </c>
      <c r="G1096" s="2" t="s">
        <v>3647</v>
      </c>
      <c r="H1096" s="2" t="s">
        <v>3648</v>
      </c>
      <c r="I1096" s="2" t="s">
        <v>3649</v>
      </c>
      <c r="J1096" s="2" t="s">
        <v>124</v>
      </c>
      <c r="K1096" s="2" t="s">
        <v>3650</v>
      </c>
      <c r="L1096" s="3">
        <v>42.85</v>
      </c>
      <c r="M1096" s="3">
        <v>44.99</v>
      </c>
      <c r="N1096" s="3">
        <v>89.99</v>
      </c>
      <c r="O1096" s="2" t="s">
        <v>97</v>
      </c>
      <c r="P1096" s="2" t="s">
        <v>98</v>
      </c>
      <c r="Q1096" s="2" t="s">
        <v>99</v>
      </c>
      <c r="R1096" s="2" t="s">
        <v>100</v>
      </c>
      <c r="S1096" s="2" t="s">
        <v>3651</v>
      </c>
      <c r="T1096" s="2" t="s">
        <v>787</v>
      </c>
      <c r="U1096" s="2" t="s">
        <v>102</v>
      </c>
      <c r="V1096" s="2" t="s">
        <v>805</v>
      </c>
      <c r="W1096" s="2" t="s">
        <v>976</v>
      </c>
      <c r="X1096" s="2" t="s">
        <v>100</v>
      </c>
      <c r="Y1096" s="2" t="s">
        <v>3652</v>
      </c>
      <c r="Z1096" s="4">
        <v>156</v>
      </c>
      <c r="AA1096" s="4">
        <f>=ROUNDDOWN(12,0)</f>
      </c>
      <c r="AB1096" s="5">
        <v>13</v>
      </c>
      <c r="AC1096" s="2" t="s">
        <v>287</v>
      </c>
      <c r="AD1096" s="4">
        <v>80</v>
      </c>
      <c r="AE1096" s="4">
        <v>520</v>
      </c>
      <c r="AF1096" s="6">
        <v>64</v>
      </c>
      <c r="AG1096" s="6"/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/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 t="s">
        <v>100</v>
      </c>
      <c r="BJ1096" s="4">
        <v>8</v>
      </c>
      <c r="BK1096" s="8">
        <v>387.6</v>
      </c>
      <c r="BL1096" s="2" t="s">
        <v>3658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1518</v>
      </c>
      <c r="BX1096" s="2" t="s">
        <v>1548</v>
      </c>
      <c r="BY1096" s="2" t="s">
        <v>112</v>
      </c>
      <c r="BZ1096" s="2" t="s">
        <v>100</v>
      </c>
    </row>
    <row r="1097">
      <c r="A1097" s="2" t="s">
        <v>3660</v>
      </c>
      <c r="B1097" s="2" t="s">
        <v>87</v>
      </c>
      <c r="C1097" s="2" t="s">
        <v>3381</v>
      </c>
      <c r="D1097" s="2" t="s">
        <v>89</v>
      </c>
      <c r="E1097" s="2" t="s">
        <v>1944</v>
      </c>
      <c r="F1097" s="2" t="s">
        <v>3646</v>
      </c>
      <c r="G1097" s="2" t="s">
        <v>3647</v>
      </c>
      <c r="H1097" s="2" t="s">
        <v>3648</v>
      </c>
      <c r="I1097" s="2" t="s">
        <v>3649</v>
      </c>
      <c r="J1097" s="2" t="s">
        <v>2236</v>
      </c>
      <c r="K1097" s="2" t="s">
        <v>3661</v>
      </c>
      <c r="L1097" s="3">
        <v>30.95</v>
      </c>
      <c r="M1097" s="3">
        <v>32.5</v>
      </c>
      <c r="N1097" s="3">
        <v>64.99</v>
      </c>
      <c r="O1097" s="2" t="s">
        <v>97</v>
      </c>
      <c r="P1097" s="2" t="s">
        <v>98</v>
      </c>
      <c r="Q1097" s="2" t="s">
        <v>99</v>
      </c>
      <c r="R1097" s="2" t="s">
        <v>100</v>
      </c>
      <c r="S1097" s="2" t="s">
        <v>3662</v>
      </c>
      <c r="T1097" s="2" t="s">
        <v>787</v>
      </c>
      <c r="U1097" s="2" t="s">
        <v>644</v>
      </c>
      <c r="V1097" s="2" t="s">
        <v>805</v>
      </c>
      <c r="W1097" s="2" t="s">
        <v>976</v>
      </c>
      <c r="X1097" s="2" t="s">
        <v>100</v>
      </c>
      <c r="Y1097" s="2" t="s">
        <v>3652</v>
      </c>
      <c r="Z1097" s="4">
        <v>281</v>
      </c>
      <c r="AA1097" s="4">
        <f>=ROUNDDOWN(40.1428571428571,0)</f>
      </c>
      <c r="AB1097" s="5">
        <v>7</v>
      </c>
      <c r="AC1097" s="2" t="s">
        <v>287</v>
      </c>
      <c r="AD1097" s="4">
        <v>100</v>
      </c>
      <c r="AE1097" s="4">
        <v>220</v>
      </c>
      <c r="AF1097" s="6">
        <v>64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/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2</v>
      </c>
      <c r="BK1097" s="8">
        <v>70.2</v>
      </c>
      <c r="BL1097" s="2" t="s">
        <v>2891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1518</v>
      </c>
      <c r="BX1097" s="2" t="s">
        <v>789</v>
      </c>
      <c r="BY1097" s="2" t="s">
        <v>112</v>
      </c>
      <c r="BZ1097" s="2" t="s">
        <v>100</v>
      </c>
    </row>
    <row r="1098">
      <c r="A1098" s="2" t="s">
        <v>3663</v>
      </c>
      <c r="B1098" s="2" t="s">
        <v>87</v>
      </c>
      <c r="C1098" s="2" t="s">
        <v>3381</v>
      </c>
      <c r="D1098" s="2" t="s">
        <v>89</v>
      </c>
      <c r="E1098" s="2" t="s">
        <v>1944</v>
      </c>
      <c r="F1098" s="2" t="s">
        <v>3646</v>
      </c>
      <c r="G1098" s="2" t="s">
        <v>3647</v>
      </c>
      <c r="H1098" s="2" t="s">
        <v>3648</v>
      </c>
      <c r="I1098" s="2" t="s">
        <v>3649</v>
      </c>
      <c r="J1098" s="2" t="s">
        <v>95</v>
      </c>
      <c r="K1098" s="2" t="s">
        <v>3661</v>
      </c>
      <c r="L1098" s="3">
        <v>35.71</v>
      </c>
      <c r="M1098" s="3">
        <v>37.5</v>
      </c>
      <c r="N1098" s="3">
        <v>74.99</v>
      </c>
      <c r="O1098" s="2" t="s">
        <v>97</v>
      </c>
      <c r="P1098" s="2" t="s">
        <v>98</v>
      </c>
      <c r="Q1098" s="2" t="s">
        <v>99</v>
      </c>
      <c r="R1098" s="2" t="s">
        <v>100</v>
      </c>
      <c r="S1098" s="2" t="s">
        <v>3662</v>
      </c>
      <c r="T1098" s="2" t="s">
        <v>787</v>
      </c>
      <c r="U1098" s="2" t="s">
        <v>102</v>
      </c>
      <c r="V1098" s="2" t="s">
        <v>805</v>
      </c>
      <c r="W1098" s="2" t="s">
        <v>976</v>
      </c>
      <c r="X1098" s="2" t="s">
        <v>100</v>
      </c>
      <c r="Y1098" s="2" t="s">
        <v>3652</v>
      </c>
      <c r="Z1098" s="4">
        <v>363</v>
      </c>
      <c r="AA1098" s="4">
        <f>=ROUNDDOWN(51.8571428571429,0)</f>
      </c>
      <c r="AB1098" s="5">
        <v>7</v>
      </c>
      <c r="AC1098" s="2" t="s">
        <v>287</v>
      </c>
      <c r="AD1098" s="4">
        <v>70</v>
      </c>
      <c r="AE1098" s="4">
        <v>154</v>
      </c>
      <c r="AF1098" s="6">
        <v>64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 t="s">
        <v>100</v>
      </c>
      <c r="AW1098" s="8" t="s">
        <v>100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/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 t="s">
        <v>100</v>
      </c>
      <c r="BJ1098" s="4">
        <v>3</v>
      </c>
      <c r="BK1098" s="8">
        <v>112.07</v>
      </c>
      <c r="BL1098" s="2" t="s">
        <v>701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1518</v>
      </c>
      <c r="BX1098" s="2" t="s">
        <v>814</v>
      </c>
      <c r="BY1098" s="2" t="s">
        <v>112</v>
      </c>
      <c r="BZ1098" s="2" t="s">
        <v>100</v>
      </c>
    </row>
    <row r="1099">
      <c r="A1099" s="2" t="s">
        <v>3664</v>
      </c>
      <c r="B1099" s="2" t="s">
        <v>87</v>
      </c>
      <c r="C1099" s="2" t="s">
        <v>3381</v>
      </c>
      <c r="D1099" s="2" t="s">
        <v>89</v>
      </c>
      <c r="E1099" s="2" t="s">
        <v>1944</v>
      </c>
      <c r="F1099" s="2" t="s">
        <v>3646</v>
      </c>
      <c r="G1099" s="2" t="s">
        <v>3647</v>
      </c>
      <c r="H1099" s="2" t="s">
        <v>3648</v>
      </c>
      <c r="I1099" s="2" t="s">
        <v>3649</v>
      </c>
      <c r="J1099" s="2" t="s">
        <v>114</v>
      </c>
      <c r="K1099" s="2" t="s">
        <v>3661</v>
      </c>
      <c r="L1099" s="3">
        <v>38.09</v>
      </c>
      <c r="M1099" s="3">
        <v>39.99</v>
      </c>
      <c r="N1099" s="3">
        <v>79.99</v>
      </c>
      <c r="O1099" s="2" t="s">
        <v>97</v>
      </c>
      <c r="P1099" s="2" t="s">
        <v>98</v>
      </c>
      <c r="Q1099" s="2" t="s">
        <v>99</v>
      </c>
      <c r="R1099" s="2" t="s">
        <v>100</v>
      </c>
      <c r="S1099" s="2" t="s">
        <v>3662</v>
      </c>
      <c r="T1099" s="2" t="s">
        <v>787</v>
      </c>
      <c r="U1099" s="2" t="s">
        <v>102</v>
      </c>
      <c r="V1099" s="2" t="s">
        <v>805</v>
      </c>
      <c r="W1099" s="2" t="s">
        <v>976</v>
      </c>
      <c r="X1099" s="2" t="s">
        <v>100</v>
      </c>
      <c r="Y1099" s="2" t="s">
        <v>3652</v>
      </c>
      <c r="Z1099" s="4">
        <v>432</v>
      </c>
      <c r="AA1099" s="4">
        <f>=ROUNDDOWN(25.4117647058824,0)</f>
      </c>
      <c r="AB1099" s="5">
        <v>17</v>
      </c>
      <c r="AC1099" s="2" t="s">
        <v>287</v>
      </c>
      <c r="AD1099" s="4">
        <v>150</v>
      </c>
      <c r="AE1099" s="4">
        <v>458</v>
      </c>
      <c r="AF1099" s="6">
        <v>64</v>
      </c>
      <c r="AG1099" s="6"/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/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22</v>
      </c>
      <c r="BK1099" s="8">
        <v>909.43</v>
      </c>
      <c r="BL1099" s="2" t="s">
        <v>412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1518</v>
      </c>
      <c r="BX1099" s="2" t="s">
        <v>789</v>
      </c>
      <c r="BY1099" s="2" t="s">
        <v>112</v>
      </c>
      <c r="BZ1099" s="2" t="s">
        <v>100</v>
      </c>
    </row>
    <row r="1100">
      <c r="A1100" s="2" t="s">
        <v>3665</v>
      </c>
      <c r="B1100" s="2" t="s">
        <v>87</v>
      </c>
      <c r="C1100" s="2" t="s">
        <v>3381</v>
      </c>
      <c r="D1100" s="2" t="s">
        <v>89</v>
      </c>
      <c r="E1100" s="2" t="s">
        <v>1944</v>
      </c>
      <c r="F1100" s="2" t="s">
        <v>3646</v>
      </c>
      <c r="G1100" s="2" t="s">
        <v>3647</v>
      </c>
      <c r="H1100" s="2" t="s">
        <v>3648</v>
      </c>
      <c r="I1100" s="2" t="s">
        <v>3649</v>
      </c>
      <c r="J1100" s="2" t="s">
        <v>120</v>
      </c>
      <c r="K1100" s="2" t="s">
        <v>3661</v>
      </c>
      <c r="L1100" s="3">
        <v>42.85</v>
      </c>
      <c r="M1100" s="3">
        <v>44.99</v>
      </c>
      <c r="N1100" s="3">
        <v>89.99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3662</v>
      </c>
      <c r="T1100" s="2" t="s">
        <v>787</v>
      </c>
      <c r="U1100" s="2" t="s">
        <v>102</v>
      </c>
      <c r="V1100" s="2" t="s">
        <v>805</v>
      </c>
      <c r="W1100" s="2" t="s">
        <v>976</v>
      </c>
      <c r="X1100" s="2" t="s">
        <v>100</v>
      </c>
      <c r="Y1100" s="2" t="s">
        <v>3652</v>
      </c>
      <c r="Z1100" s="4">
        <v>251</v>
      </c>
      <c r="AA1100" s="4">
        <f>=ROUNDDOWN(20.9166666666667,0)</f>
      </c>
      <c r="AB1100" s="5">
        <v>12</v>
      </c>
      <c r="AC1100" s="2" t="s">
        <v>287</v>
      </c>
      <c r="AD1100" s="4">
        <v>30</v>
      </c>
      <c r="AE1100" s="4">
        <v>230</v>
      </c>
      <c r="AF1100" s="6">
        <v>64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 t="s">
        <v>100</v>
      </c>
      <c r="AW1100" s="8" t="s">
        <v>100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/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 t="s">
        <v>100</v>
      </c>
      <c r="BJ1100" s="4">
        <v>9</v>
      </c>
      <c r="BK1100" s="8">
        <v>429.55</v>
      </c>
      <c r="BL1100" s="2" t="s">
        <v>813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1518</v>
      </c>
      <c r="BX1100" s="2" t="s">
        <v>100</v>
      </c>
      <c r="BY1100" s="2" t="s">
        <v>112</v>
      </c>
      <c r="BZ1100" s="2" t="s">
        <v>100</v>
      </c>
    </row>
    <row r="1101">
      <c r="A1101" s="2" t="s">
        <v>3666</v>
      </c>
      <c r="B1101" s="2" t="s">
        <v>87</v>
      </c>
      <c r="C1101" s="2" t="s">
        <v>3381</v>
      </c>
      <c r="D1101" s="2" t="s">
        <v>89</v>
      </c>
      <c r="E1101" s="2" t="s">
        <v>1944</v>
      </c>
      <c r="F1101" s="2" t="s">
        <v>3646</v>
      </c>
      <c r="G1101" s="2" t="s">
        <v>3647</v>
      </c>
      <c r="H1101" s="2" t="s">
        <v>3648</v>
      </c>
      <c r="I1101" s="2" t="s">
        <v>3649</v>
      </c>
      <c r="J1101" s="2" t="s">
        <v>124</v>
      </c>
      <c r="K1101" s="2" t="s">
        <v>3661</v>
      </c>
      <c r="L1101" s="3">
        <v>42.85</v>
      </c>
      <c r="M1101" s="3">
        <v>44.99</v>
      </c>
      <c r="N1101" s="3">
        <v>89.99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3662</v>
      </c>
      <c r="T1101" s="2" t="s">
        <v>787</v>
      </c>
      <c r="U1101" s="2" t="s">
        <v>102</v>
      </c>
      <c r="V1101" s="2" t="s">
        <v>805</v>
      </c>
      <c r="W1101" s="2" t="s">
        <v>976</v>
      </c>
      <c r="X1101" s="2" t="s">
        <v>100</v>
      </c>
      <c r="Y1101" s="2" t="s">
        <v>3652</v>
      </c>
      <c r="Z1101" s="4">
        <v>218</v>
      </c>
      <c r="AA1101" s="4">
        <f>=ROUNDDOWN(27.25,0)</f>
      </c>
      <c r="AB1101" s="5">
        <v>8</v>
      </c>
      <c r="AC1101" s="2" t="s">
        <v>287</v>
      </c>
      <c r="AD1101" s="4">
        <v>80</v>
      </c>
      <c r="AE1101" s="4">
        <v>232</v>
      </c>
      <c r="AF1101" s="6">
        <v>64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/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2</v>
      </c>
      <c r="BK1101" s="8">
        <v>96.9</v>
      </c>
      <c r="BL1101" s="2" t="s">
        <v>407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1518</v>
      </c>
      <c r="BX1101" s="2" t="s">
        <v>3667</v>
      </c>
      <c r="BY1101" s="2" t="s">
        <v>112</v>
      </c>
      <c r="BZ1101" s="2" t="s">
        <v>100</v>
      </c>
    </row>
    <row r="1102">
      <c r="A1102" s="2" t="s">
        <v>3668</v>
      </c>
      <c r="B1102" s="2" t="s">
        <v>87</v>
      </c>
      <c r="C1102" s="2" t="s">
        <v>3381</v>
      </c>
      <c r="D1102" s="2" t="s">
        <v>89</v>
      </c>
      <c r="E1102" s="2" t="s">
        <v>1944</v>
      </c>
      <c r="F1102" s="2" t="s">
        <v>3646</v>
      </c>
      <c r="G1102" s="2" t="s">
        <v>3647</v>
      </c>
      <c r="H1102" s="2" t="s">
        <v>3648</v>
      </c>
      <c r="I1102" s="2" t="s">
        <v>3649</v>
      </c>
      <c r="J1102" s="2" t="s">
        <v>2236</v>
      </c>
      <c r="K1102" s="2" t="s">
        <v>3669</v>
      </c>
      <c r="L1102" s="3">
        <v>30.95</v>
      </c>
      <c r="M1102" s="3">
        <v>32.5</v>
      </c>
      <c r="N1102" s="3">
        <v>64.99</v>
      </c>
      <c r="O1102" s="2" t="s">
        <v>97</v>
      </c>
      <c r="P1102" s="2" t="s">
        <v>281</v>
      </c>
      <c r="Q1102" s="2" t="s">
        <v>99</v>
      </c>
      <c r="R1102" s="2" t="s">
        <v>100</v>
      </c>
      <c r="S1102" s="2" t="s">
        <v>3670</v>
      </c>
      <c r="T1102" s="2" t="s">
        <v>787</v>
      </c>
      <c r="U1102" s="2" t="s">
        <v>644</v>
      </c>
      <c r="V1102" s="2" t="s">
        <v>805</v>
      </c>
      <c r="W1102" s="2" t="s">
        <v>976</v>
      </c>
      <c r="X1102" s="2" t="s">
        <v>100</v>
      </c>
      <c r="Y1102" s="2" t="s">
        <v>3671</v>
      </c>
      <c r="Z1102" s="4">
        <v>417</v>
      </c>
      <c r="AA1102" s="4">
        <f>=ROUNDDOWN(9.26666666666667,0)</f>
      </c>
      <c r="AB1102" s="5">
        <v>45</v>
      </c>
      <c r="AC1102" s="2" t="s">
        <v>1825</v>
      </c>
      <c r="AD1102" s="4">
        <v>160</v>
      </c>
      <c r="AE1102" s="4">
        <v>1800</v>
      </c>
      <c r="AF1102" s="6">
        <v>64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 t="s">
        <v>100</v>
      </c>
      <c r="AW1102" s="8" t="s">
        <v>100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/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 t="s">
        <v>100</v>
      </c>
      <c r="BJ1102" s="4">
        <v>47</v>
      </c>
      <c r="BK1102" s="8">
        <v>1588.04</v>
      </c>
      <c r="BL1102" s="2" t="s">
        <v>3672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3673</v>
      </c>
      <c r="BX1102" s="2" t="s">
        <v>3674</v>
      </c>
      <c r="BY1102" s="2" t="s">
        <v>112</v>
      </c>
      <c r="BZ1102" s="2" t="s">
        <v>100</v>
      </c>
    </row>
    <row r="1103">
      <c r="A1103" s="2" t="s">
        <v>3675</v>
      </c>
      <c r="B1103" s="2" t="s">
        <v>87</v>
      </c>
      <c r="C1103" s="2" t="s">
        <v>3381</v>
      </c>
      <c r="D1103" s="2" t="s">
        <v>89</v>
      </c>
      <c r="E1103" s="2" t="s">
        <v>1944</v>
      </c>
      <c r="F1103" s="2" t="s">
        <v>3646</v>
      </c>
      <c r="G1103" s="2" t="s">
        <v>3647</v>
      </c>
      <c r="H1103" s="2" t="s">
        <v>3648</v>
      </c>
      <c r="I1103" s="2" t="s">
        <v>3649</v>
      </c>
      <c r="J1103" s="2" t="s">
        <v>95</v>
      </c>
      <c r="K1103" s="2" t="s">
        <v>3669</v>
      </c>
      <c r="L1103" s="3">
        <v>35.71</v>
      </c>
      <c r="M1103" s="3">
        <v>37.5</v>
      </c>
      <c r="N1103" s="3">
        <v>74.99</v>
      </c>
      <c r="O1103" s="2" t="s">
        <v>97</v>
      </c>
      <c r="P1103" s="2" t="s">
        <v>281</v>
      </c>
      <c r="Q1103" s="2" t="s">
        <v>99</v>
      </c>
      <c r="R1103" s="2" t="s">
        <v>100</v>
      </c>
      <c r="S1103" s="2" t="s">
        <v>3670</v>
      </c>
      <c r="T1103" s="2" t="s">
        <v>787</v>
      </c>
      <c r="U1103" s="2" t="s">
        <v>102</v>
      </c>
      <c r="V1103" s="2" t="s">
        <v>805</v>
      </c>
      <c r="W1103" s="2" t="s">
        <v>976</v>
      </c>
      <c r="X1103" s="2" t="s">
        <v>100</v>
      </c>
      <c r="Y1103" s="2" t="s">
        <v>3671</v>
      </c>
      <c r="Z1103" s="4">
        <v>797</v>
      </c>
      <c r="AA1103" s="4">
        <f>=ROUNDDOWN(15.3269230769231,0)</f>
      </c>
      <c r="AB1103" s="5">
        <v>52</v>
      </c>
      <c r="AC1103" s="2" t="s">
        <v>1595</v>
      </c>
      <c r="AD1103" s="4">
        <v>100</v>
      </c>
      <c r="AE1103" s="4">
        <v>1550</v>
      </c>
      <c r="AF1103" s="6">
        <v>64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/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50</v>
      </c>
      <c r="BK1103" s="8">
        <v>1917.87</v>
      </c>
      <c r="BL1103" s="2" t="s">
        <v>685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572</v>
      </c>
      <c r="BX1103" s="2" t="s">
        <v>3676</v>
      </c>
      <c r="BY1103" s="2" t="s">
        <v>112</v>
      </c>
      <c r="BZ1103" s="2" t="s">
        <v>100</v>
      </c>
    </row>
    <row r="1104">
      <c r="A1104" s="2" t="s">
        <v>3677</v>
      </c>
      <c r="B1104" s="2" t="s">
        <v>87</v>
      </c>
      <c r="C1104" s="2" t="s">
        <v>3381</v>
      </c>
      <c r="D1104" s="2" t="s">
        <v>89</v>
      </c>
      <c r="E1104" s="2" t="s">
        <v>1944</v>
      </c>
      <c r="F1104" s="2" t="s">
        <v>3646</v>
      </c>
      <c r="G1104" s="2" t="s">
        <v>3647</v>
      </c>
      <c r="H1104" s="2" t="s">
        <v>3648</v>
      </c>
      <c r="I1104" s="2" t="s">
        <v>3649</v>
      </c>
      <c r="J1104" s="2" t="s">
        <v>114</v>
      </c>
      <c r="K1104" s="2" t="s">
        <v>3669</v>
      </c>
      <c r="L1104" s="3">
        <v>38.09</v>
      </c>
      <c r="M1104" s="3">
        <v>39.99</v>
      </c>
      <c r="N1104" s="3">
        <v>79.99</v>
      </c>
      <c r="O1104" s="2" t="s">
        <v>97</v>
      </c>
      <c r="P1104" s="2" t="s">
        <v>281</v>
      </c>
      <c r="Q1104" s="2" t="s">
        <v>99</v>
      </c>
      <c r="R1104" s="2" t="s">
        <v>100</v>
      </c>
      <c r="S1104" s="2" t="s">
        <v>3670</v>
      </c>
      <c r="T1104" s="2" t="s">
        <v>787</v>
      </c>
      <c r="U1104" s="2" t="s">
        <v>102</v>
      </c>
      <c r="V1104" s="2" t="s">
        <v>805</v>
      </c>
      <c r="W1104" s="2" t="s">
        <v>976</v>
      </c>
      <c r="X1104" s="2" t="s">
        <v>100</v>
      </c>
      <c r="Y1104" s="2" t="s">
        <v>3671</v>
      </c>
      <c r="Z1104" s="4">
        <v>1384</v>
      </c>
      <c r="AA1104" s="4">
        <f>=ROUNDDOWN(17.3,0)</f>
      </c>
      <c r="AB1104" s="5">
        <v>80</v>
      </c>
      <c r="AC1104" s="2" t="s">
        <v>287</v>
      </c>
      <c r="AD1104" s="4">
        <v>250</v>
      </c>
      <c r="AE1104" s="4">
        <v>2200</v>
      </c>
      <c r="AF1104" s="6">
        <v>64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/>
      <c r="AQ1104" s="8"/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 t="s">
        <v>100</v>
      </c>
      <c r="BJ1104" s="4">
        <v>61</v>
      </c>
      <c r="BK1104" s="8">
        <v>2569.98</v>
      </c>
      <c r="BL1104" s="2" t="s">
        <v>3678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3637</v>
      </c>
      <c r="BX1104" s="2" t="s">
        <v>2417</v>
      </c>
      <c r="BY1104" s="2" t="s">
        <v>112</v>
      </c>
      <c r="BZ1104" s="2" t="s">
        <v>100</v>
      </c>
    </row>
    <row r="1105">
      <c r="A1105" s="2" t="s">
        <v>3679</v>
      </c>
      <c r="B1105" s="2" t="s">
        <v>87</v>
      </c>
      <c r="C1105" s="2" t="s">
        <v>3381</v>
      </c>
      <c r="D1105" s="2" t="s">
        <v>89</v>
      </c>
      <c r="E1105" s="2" t="s">
        <v>1944</v>
      </c>
      <c r="F1105" s="2" t="s">
        <v>3646</v>
      </c>
      <c r="G1105" s="2" t="s">
        <v>3647</v>
      </c>
      <c r="H1105" s="2" t="s">
        <v>3648</v>
      </c>
      <c r="I1105" s="2" t="s">
        <v>3649</v>
      </c>
      <c r="J1105" s="2" t="s">
        <v>120</v>
      </c>
      <c r="K1105" s="2" t="s">
        <v>3669</v>
      </c>
      <c r="L1105" s="3">
        <v>42.85</v>
      </c>
      <c r="M1105" s="3">
        <v>44.99</v>
      </c>
      <c r="N1105" s="3">
        <v>89.99</v>
      </c>
      <c r="O1105" s="2" t="s">
        <v>97</v>
      </c>
      <c r="P1105" s="2" t="s">
        <v>281</v>
      </c>
      <c r="Q1105" s="2" t="s">
        <v>99</v>
      </c>
      <c r="R1105" s="2" t="s">
        <v>100</v>
      </c>
      <c r="S1105" s="2" t="s">
        <v>3670</v>
      </c>
      <c r="T1105" s="2" t="s">
        <v>787</v>
      </c>
      <c r="U1105" s="2" t="s">
        <v>102</v>
      </c>
      <c r="V1105" s="2" t="s">
        <v>805</v>
      </c>
      <c r="W1105" s="2" t="s">
        <v>976</v>
      </c>
      <c r="X1105" s="2" t="s">
        <v>100</v>
      </c>
      <c r="Y1105" s="2" t="s">
        <v>3671</v>
      </c>
      <c r="Z1105" s="4">
        <v>582</v>
      </c>
      <c r="AA1105" s="4">
        <f>=ROUNDDOWN(18.1875,0)</f>
      </c>
      <c r="AB1105" s="5">
        <v>32</v>
      </c>
      <c r="AC1105" s="2" t="s">
        <v>1595</v>
      </c>
      <c r="AD1105" s="4">
        <v>100</v>
      </c>
      <c r="AE1105" s="4">
        <v>800</v>
      </c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/>
      <c r="AQ1105" s="8"/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/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28</v>
      </c>
      <c r="BK1105" s="8">
        <v>1336.03</v>
      </c>
      <c r="BL1105" s="2" t="s">
        <v>849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3637</v>
      </c>
      <c r="BX1105" s="2" t="s">
        <v>2632</v>
      </c>
      <c r="BY1105" s="2" t="s">
        <v>112</v>
      </c>
      <c r="BZ1105" s="2" t="s">
        <v>100</v>
      </c>
    </row>
    <row r="1106">
      <c r="A1106" s="2" t="s">
        <v>3680</v>
      </c>
      <c r="B1106" s="2" t="s">
        <v>87</v>
      </c>
      <c r="C1106" s="2" t="s">
        <v>3381</v>
      </c>
      <c r="D1106" s="2" t="s">
        <v>89</v>
      </c>
      <c r="E1106" s="2" t="s">
        <v>1944</v>
      </c>
      <c r="F1106" s="2" t="s">
        <v>3646</v>
      </c>
      <c r="G1106" s="2" t="s">
        <v>3647</v>
      </c>
      <c r="H1106" s="2" t="s">
        <v>3648</v>
      </c>
      <c r="I1106" s="2" t="s">
        <v>3649</v>
      </c>
      <c r="J1106" s="2" t="s">
        <v>124</v>
      </c>
      <c r="K1106" s="2" t="s">
        <v>3669</v>
      </c>
      <c r="L1106" s="3">
        <v>42.85</v>
      </c>
      <c r="M1106" s="3">
        <v>44.99</v>
      </c>
      <c r="N1106" s="3">
        <v>89.99</v>
      </c>
      <c r="O1106" s="2" t="s">
        <v>97</v>
      </c>
      <c r="P1106" s="2" t="s">
        <v>281</v>
      </c>
      <c r="Q1106" s="2" t="s">
        <v>99</v>
      </c>
      <c r="R1106" s="2" t="s">
        <v>100</v>
      </c>
      <c r="S1106" s="2" t="s">
        <v>3670</v>
      </c>
      <c r="T1106" s="2" t="s">
        <v>787</v>
      </c>
      <c r="U1106" s="2" t="s">
        <v>102</v>
      </c>
      <c r="V1106" s="2" t="s">
        <v>805</v>
      </c>
      <c r="W1106" s="2" t="s">
        <v>976</v>
      </c>
      <c r="X1106" s="2" t="s">
        <v>100</v>
      </c>
      <c r="Y1106" s="2" t="s">
        <v>3671</v>
      </c>
      <c r="Z1106" s="4">
        <v>355</v>
      </c>
      <c r="AA1106" s="4">
        <f>=ROUNDDOWN(27.3076923076923,0)</f>
      </c>
      <c r="AB1106" s="5">
        <v>13</v>
      </c>
      <c r="AC1106" s="2" t="s">
        <v>287</v>
      </c>
      <c r="AD1106" s="4">
        <v>30</v>
      </c>
      <c r="AE1106" s="4">
        <v>320</v>
      </c>
      <c r="AF1106" s="6">
        <v>64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 t="s">
        <v>100</v>
      </c>
      <c r="AW1106" s="8" t="s">
        <v>100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/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 t="s">
        <v>100</v>
      </c>
      <c r="BJ1106" s="4">
        <v>9</v>
      </c>
      <c r="BK1106" s="8">
        <v>416.99</v>
      </c>
      <c r="BL1106" s="2" t="s">
        <v>3681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3637</v>
      </c>
      <c r="BX1106" s="2" t="s">
        <v>2343</v>
      </c>
      <c r="BY1106" s="2" t="s">
        <v>112</v>
      </c>
      <c r="BZ1106" s="2" t="s">
        <v>100</v>
      </c>
    </row>
    <row r="1107">
      <c r="A1107" s="2" t="s">
        <v>3682</v>
      </c>
      <c r="B1107" s="2" t="s">
        <v>87</v>
      </c>
      <c r="C1107" s="2" t="s">
        <v>3381</v>
      </c>
      <c r="D1107" s="2" t="s">
        <v>89</v>
      </c>
      <c r="E1107" s="2" t="s">
        <v>1944</v>
      </c>
      <c r="F1107" s="2" t="s">
        <v>3646</v>
      </c>
      <c r="G1107" s="2" t="s">
        <v>3647</v>
      </c>
      <c r="H1107" s="2" t="s">
        <v>3648</v>
      </c>
      <c r="I1107" s="2" t="s">
        <v>3649</v>
      </c>
      <c r="J1107" s="2" t="s">
        <v>2236</v>
      </c>
      <c r="K1107" s="2" t="s">
        <v>3683</v>
      </c>
      <c r="L1107" s="3">
        <v>30.95</v>
      </c>
      <c r="M1107" s="3">
        <v>32.5</v>
      </c>
      <c r="N1107" s="3">
        <v>64.99</v>
      </c>
      <c r="O1107" s="2" t="s">
        <v>97</v>
      </c>
      <c r="P1107" s="2" t="s">
        <v>1216</v>
      </c>
      <c r="Q1107" s="2" t="s">
        <v>99</v>
      </c>
      <c r="R1107" s="2" t="s">
        <v>100</v>
      </c>
      <c r="S1107" s="2" t="s">
        <v>3684</v>
      </c>
      <c r="T1107" s="2" t="s">
        <v>787</v>
      </c>
      <c r="U1107" s="2" t="s">
        <v>644</v>
      </c>
      <c r="V1107" s="2" t="s">
        <v>805</v>
      </c>
      <c r="W1107" s="2" t="s">
        <v>976</v>
      </c>
      <c r="X1107" s="2" t="s">
        <v>100</v>
      </c>
      <c r="Y1107" s="2" t="s">
        <v>100</v>
      </c>
      <c r="Z1107" s="4"/>
      <c r="AA1107" s="4">
        <f>=ROUNDDOWN({0},0)</f>
      </c>
      <c r="AB1107" s="5"/>
      <c r="AC1107" s="2" t="s">
        <v>3685</v>
      </c>
      <c r="AD1107" s="4">
        <v>120</v>
      </c>
      <c r="AE1107" s="4">
        <v>370</v>
      </c>
      <c r="AF1107" s="6">
        <v>65</v>
      </c>
      <c r="AG1107" s="6"/>
      <c r="AH1107" s="7">
        <v>0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/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/>
      <c r="BK1107" s="8"/>
      <c r="BL1107" s="2" t="s">
        <v>100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1338</v>
      </c>
      <c r="BV1107" s="2" t="s">
        <v>97</v>
      </c>
      <c r="BW1107" s="2" t="s">
        <v>100</v>
      </c>
      <c r="BX1107" s="2" t="s">
        <v>100</v>
      </c>
      <c r="BY1107" s="2" t="s">
        <v>112</v>
      </c>
      <c r="BZ1107" s="2" t="s">
        <v>100</v>
      </c>
    </row>
    <row r="1108">
      <c r="A1108" s="2" t="s">
        <v>3686</v>
      </c>
      <c r="B1108" s="2" t="s">
        <v>87</v>
      </c>
      <c r="C1108" s="2" t="s">
        <v>3381</v>
      </c>
      <c r="D1108" s="2" t="s">
        <v>89</v>
      </c>
      <c r="E1108" s="2" t="s">
        <v>1944</v>
      </c>
      <c r="F1108" s="2" t="s">
        <v>3646</v>
      </c>
      <c r="G1108" s="2" t="s">
        <v>3647</v>
      </c>
      <c r="H1108" s="2" t="s">
        <v>3648</v>
      </c>
      <c r="I1108" s="2" t="s">
        <v>3649</v>
      </c>
      <c r="J1108" s="2" t="s">
        <v>95</v>
      </c>
      <c r="K1108" s="2" t="s">
        <v>3683</v>
      </c>
      <c r="L1108" s="3">
        <v>35.71</v>
      </c>
      <c r="M1108" s="3">
        <v>37.5</v>
      </c>
      <c r="N1108" s="3">
        <v>74.99</v>
      </c>
      <c r="O1108" s="2" t="s">
        <v>97</v>
      </c>
      <c r="P1108" s="2" t="s">
        <v>1216</v>
      </c>
      <c r="Q1108" s="2" t="s">
        <v>99</v>
      </c>
      <c r="R1108" s="2" t="s">
        <v>100</v>
      </c>
      <c r="S1108" s="2" t="s">
        <v>3684</v>
      </c>
      <c r="T1108" s="2" t="s">
        <v>787</v>
      </c>
      <c r="U1108" s="2" t="s">
        <v>102</v>
      </c>
      <c r="V1108" s="2" t="s">
        <v>805</v>
      </c>
      <c r="W1108" s="2" t="s">
        <v>976</v>
      </c>
      <c r="X1108" s="2" t="s">
        <v>100</v>
      </c>
      <c r="Y1108" s="2" t="s">
        <v>3687</v>
      </c>
      <c r="Z1108" s="4"/>
      <c r="AA1108" s="4">
        <f>=ROUNDDOWN({0},0)</f>
      </c>
      <c r="AB1108" s="5"/>
      <c r="AC1108" s="2" t="s">
        <v>3685</v>
      </c>
      <c r="AD1108" s="4">
        <v>160</v>
      </c>
      <c r="AE1108" s="4">
        <v>500</v>
      </c>
      <c r="AF1108" s="6">
        <v>65</v>
      </c>
      <c r="AG1108" s="6"/>
      <c r="AH1108" s="7">
        <v>0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/>
      <c r="AQ1108" s="8"/>
      <c r="AR1108" s="4"/>
      <c r="AS1108" s="8"/>
      <c r="AT1108" s="7"/>
      <c r="AU1108" s="7"/>
      <c r="AV1108" s="4" t="s">
        <v>100</v>
      </c>
      <c r="AW1108" s="8" t="s">
        <v>100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/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 t="s">
        <v>100</v>
      </c>
      <c r="BJ1108" s="4"/>
      <c r="BK1108" s="8"/>
      <c r="BL1108" s="2" t="s">
        <v>100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1338</v>
      </c>
      <c r="BV1108" s="2" t="s">
        <v>97</v>
      </c>
      <c r="BW1108" s="2" t="s">
        <v>100</v>
      </c>
      <c r="BX1108" s="2" t="s">
        <v>100</v>
      </c>
      <c r="BY1108" s="2" t="s">
        <v>112</v>
      </c>
      <c r="BZ1108" s="2" t="s">
        <v>100</v>
      </c>
    </row>
    <row r="1109">
      <c r="A1109" s="2" t="s">
        <v>3688</v>
      </c>
      <c r="B1109" s="2" t="s">
        <v>87</v>
      </c>
      <c r="C1109" s="2" t="s">
        <v>3381</v>
      </c>
      <c r="D1109" s="2" t="s">
        <v>89</v>
      </c>
      <c r="E1109" s="2" t="s">
        <v>1944</v>
      </c>
      <c r="F1109" s="2" t="s">
        <v>3646</v>
      </c>
      <c r="G1109" s="2" t="s">
        <v>3647</v>
      </c>
      <c r="H1109" s="2" t="s">
        <v>3648</v>
      </c>
      <c r="I1109" s="2" t="s">
        <v>3649</v>
      </c>
      <c r="J1109" s="2" t="s">
        <v>114</v>
      </c>
      <c r="K1109" s="2" t="s">
        <v>3683</v>
      </c>
      <c r="L1109" s="3">
        <v>38.09</v>
      </c>
      <c r="M1109" s="3">
        <v>39.99</v>
      </c>
      <c r="N1109" s="3">
        <v>79.99</v>
      </c>
      <c r="O1109" s="2" t="s">
        <v>97</v>
      </c>
      <c r="P1109" s="2" t="s">
        <v>1216</v>
      </c>
      <c r="Q1109" s="2" t="s">
        <v>99</v>
      </c>
      <c r="R1109" s="2" t="s">
        <v>100</v>
      </c>
      <c r="S1109" s="2" t="s">
        <v>3684</v>
      </c>
      <c r="T1109" s="2" t="s">
        <v>787</v>
      </c>
      <c r="U1109" s="2" t="s">
        <v>102</v>
      </c>
      <c r="V1109" s="2" t="s">
        <v>805</v>
      </c>
      <c r="W1109" s="2" t="s">
        <v>976</v>
      </c>
      <c r="X1109" s="2" t="s">
        <v>100</v>
      </c>
      <c r="Y1109" s="2" t="s">
        <v>3687</v>
      </c>
      <c r="Z1109" s="4"/>
      <c r="AA1109" s="4">
        <f>=ROUNDDOWN({0},0)</f>
      </c>
      <c r="AB1109" s="5"/>
      <c r="AC1109" s="2" t="s">
        <v>3685</v>
      </c>
      <c r="AD1109" s="4">
        <v>280</v>
      </c>
      <c r="AE1109" s="4">
        <v>870</v>
      </c>
      <c r="AF1109" s="6">
        <v>65</v>
      </c>
      <c r="AG1109" s="6"/>
      <c r="AH1109" s="7">
        <v>0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/>
      <c r="BK1109" s="8"/>
      <c r="BL1109" s="2" t="s">
        <v>100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1338</v>
      </c>
      <c r="BV1109" s="2" t="s">
        <v>97</v>
      </c>
      <c r="BW1109" s="2" t="s">
        <v>100</v>
      </c>
      <c r="BX1109" s="2" t="s">
        <v>100</v>
      </c>
      <c r="BY1109" s="2" t="s">
        <v>112</v>
      </c>
      <c r="BZ1109" s="2" t="s">
        <v>100</v>
      </c>
    </row>
    <row r="1110">
      <c r="A1110" s="2" t="s">
        <v>3689</v>
      </c>
      <c r="B1110" s="2" t="s">
        <v>87</v>
      </c>
      <c r="C1110" s="2" t="s">
        <v>3381</v>
      </c>
      <c r="D1110" s="2" t="s">
        <v>89</v>
      </c>
      <c r="E1110" s="2" t="s">
        <v>1944</v>
      </c>
      <c r="F1110" s="2" t="s">
        <v>3646</v>
      </c>
      <c r="G1110" s="2" t="s">
        <v>3647</v>
      </c>
      <c r="H1110" s="2" t="s">
        <v>3648</v>
      </c>
      <c r="I1110" s="2" t="s">
        <v>3649</v>
      </c>
      <c r="J1110" s="2" t="s">
        <v>120</v>
      </c>
      <c r="K1110" s="2" t="s">
        <v>3683</v>
      </c>
      <c r="L1110" s="3">
        <v>42.85</v>
      </c>
      <c r="M1110" s="3">
        <v>44.99</v>
      </c>
      <c r="N1110" s="3">
        <v>89.99</v>
      </c>
      <c r="O1110" s="2" t="s">
        <v>97</v>
      </c>
      <c r="P1110" s="2" t="s">
        <v>1216</v>
      </c>
      <c r="Q1110" s="2" t="s">
        <v>99</v>
      </c>
      <c r="R1110" s="2" t="s">
        <v>100</v>
      </c>
      <c r="S1110" s="2" t="s">
        <v>3684</v>
      </c>
      <c r="T1110" s="2" t="s">
        <v>787</v>
      </c>
      <c r="U1110" s="2" t="s">
        <v>102</v>
      </c>
      <c r="V1110" s="2" t="s">
        <v>805</v>
      </c>
      <c r="W1110" s="2" t="s">
        <v>976</v>
      </c>
      <c r="X1110" s="2" t="s">
        <v>100</v>
      </c>
      <c r="Y1110" s="2" t="s">
        <v>100</v>
      </c>
      <c r="Z1110" s="4"/>
      <c r="AA1110" s="4">
        <f>=ROUNDDOWN({0},0)</f>
      </c>
      <c r="AB1110" s="5"/>
      <c r="AC1110" s="2" t="s">
        <v>3685</v>
      </c>
      <c r="AD1110" s="4">
        <v>160</v>
      </c>
      <c r="AE1110" s="4">
        <v>500</v>
      </c>
      <c r="AF1110" s="6">
        <v>65</v>
      </c>
      <c r="AG1110" s="6"/>
      <c r="AH1110" s="7">
        <v>0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 t="s">
        <v>100</v>
      </c>
      <c r="AW1110" s="8" t="s">
        <v>100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/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 t="s">
        <v>100</v>
      </c>
      <c r="BJ1110" s="4"/>
      <c r="BK1110" s="8"/>
      <c r="BL1110" s="2" t="s">
        <v>100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1338</v>
      </c>
      <c r="BV1110" s="2" t="s">
        <v>97</v>
      </c>
      <c r="BW1110" s="2" t="s">
        <v>100</v>
      </c>
      <c r="BX1110" s="2" t="s">
        <v>100</v>
      </c>
      <c r="BY1110" s="2" t="s">
        <v>112</v>
      </c>
      <c r="BZ1110" s="2" t="s">
        <v>100</v>
      </c>
    </row>
    <row r="1111">
      <c r="A1111" s="2" t="s">
        <v>3690</v>
      </c>
      <c r="B1111" s="2" t="s">
        <v>87</v>
      </c>
      <c r="C1111" s="2" t="s">
        <v>3381</v>
      </c>
      <c r="D1111" s="2" t="s">
        <v>89</v>
      </c>
      <c r="E1111" s="2" t="s">
        <v>1944</v>
      </c>
      <c r="F1111" s="2" t="s">
        <v>3646</v>
      </c>
      <c r="G1111" s="2" t="s">
        <v>3647</v>
      </c>
      <c r="H1111" s="2" t="s">
        <v>3648</v>
      </c>
      <c r="I1111" s="2" t="s">
        <v>3649</v>
      </c>
      <c r="J1111" s="2" t="s">
        <v>124</v>
      </c>
      <c r="K1111" s="2" t="s">
        <v>3683</v>
      </c>
      <c r="L1111" s="3">
        <v>42.85</v>
      </c>
      <c r="M1111" s="3">
        <v>44.99</v>
      </c>
      <c r="N1111" s="3">
        <v>89.99</v>
      </c>
      <c r="O1111" s="2" t="s">
        <v>97</v>
      </c>
      <c r="P1111" s="2" t="s">
        <v>1216</v>
      </c>
      <c r="Q1111" s="2" t="s">
        <v>99</v>
      </c>
      <c r="R1111" s="2" t="s">
        <v>100</v>
      </c>
      <c r="S1111" s="2" t="s">
        <v>3684</v>
      </c>
      <c r="T1111" s="2" t="s">
        <v>787</v>
      </c>
      <c r="U1111" s="2" t="s">
        <v>102</v>
      </c>
      <c r="V1111" s="2" t="s">
        <v>805</v>
      </c>
      <c r="W1111" s="2" t="s">
        <v>976</v>
      </c>
      <c r="X1111" s="2" t="s">
        <v>100</v>
      </c>
      <c r="Y1111" s="2" t="s">
        <v>100</v>
      </c>
      <c r="Z1111" s="4"/>
      <c r="AA1111" s="4">
        <f>=ROUNDDOWN({0},0)</f>
      </c>
      <c r="AB1111" s="5"/>
      <c r="AC1111" s="2" t="s">
        <v>3685</v>
      </c>
      <c r="AD1111" s="4">
        <v>80</v>
      </c>
      <c r="AE1111" s="4">
        <v>260</v>
      </c>
      <c r="AF1111" s="6">
        <v>65</v>
      </c>
      <c r="AG1111" s="6"/>
      <c r="AH1111" s="7">
        <v>0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/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 t="s">
        <v>100</v>
      </c>
      <c r="BJ1111" s="4"/>
      <c r="BK1111" s="8"/>
      <c r="BL1111" s="2" t="s">
        <v>100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1338</v>
      </c>
      <c r="BV1111" s="2" t="s">
        <v>97</v>
      </c>
      <c r="BW1111" s="2" t="s">
        <v>100</v>
      </c>
      <c r="BX1111" s="2" t="s">
        <v>100</v>
      </c>
      <c r="BY1111" s="2" t="s">
        <v>112</v>
      </c>
      <c r="BZ1111" s="2" t="s">
        <v>100</v>
      </c>
    </row>
    <row r="1112">
      <c r="A1112" s="2" t="s">
        <v>3691</v>
      </c>
      <c r="B1112" s="2" t="s">
        <v>87</v>
      </c>
      <c r="C1112" s="2" t="s">
        <v>3381</v>
      </c>
      <c r="D1112" s="2" t="s">
        <v>89</v>
      </c>
      <c r="E1112" s="2" t="s">
        <v>1944</v>
      </c>
      <c r="F1112" s="2" t="s">
        <v>3646</v>
      </c>
      <c r="G1112" s="2" t="s">
        <v>3647</v>
      </c>
      <c r="H1112" s="2" t="s">
        <v>3648</v>
      </c>
      <c r="I1112" s="2" t="s">
        <v>3649</v>
      </c>
      <c r="J1112" s="2" t="s">
        <v>2236</v>
      </c>
      <c r="K1112" s="2" t="s">
        <v>3692</v>
      </c>
      <c r="L1112" s="3">
        <v>30.95</v>
      </c>
      <c r="M1112" s="3">
        <v>32.5</v>
      </c>
      <c r="N1112" s="3">
        <v>64.99</v>
      </c>
      <c r="O1112" s="2" t="s">
        <v>97</v>
      </c>
      <c r="P1112" s="2" t="s">
        <v>1216</v>
      </c>
      <c r="Q1112" s="2" t="s">
        <v>99</v>
      </c>
      <c r="R1112" s="2" t="s">
        <v>100</v>
      </c>
      <c r="S1112" s="2" t="s">
        <v>3693</v>
      </c>
      <c r="T1112" s="2" t="s">
        <v>787</v>
      </c>
      <c r="U1112" s="2" t="s">
        <v>644</v>
      </c>
      <c r="V1112" s="2" t="s">
        <v>805</v>
      </c>
      <c r="W1112" s="2" t="s">
        <v>976</v>
      </c>
      <c r="X1112" s="2" t="s">
        <v>100</v>
      </c>
      <c r="Y1112" s="2" t="s">
        <v>100</v>
      </c>
      <c r="Z1112" s="4"/>
      <c r="AA1112" s="4">
        <f>=ROUNDDOWN({0},0)</f>
      </c>
      <c r="AB1112" s="5"/>
      <c r="AC1112" s="2" t="s">
        <v>3685</v>
      </c>
      <c r="AD1112" s="4">
        <v>150</v>
      </c>
      <c r="AE1112" s="4">
        <v>450</v>
      </c>
      <c r="AF1112" s="6">
        <v>65</v>
      </c>
      <c r="AG1112" s="6"/>
      <c r="AH1112" s="7">
        <v>0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 t="s">
        <v>100</v>
      </c>
      <c r="AW1112" s="8" t="s">
        <v>100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/>
      <c r="BC1112" s="4" t="s">
        <v>100</v>
      </c>
      <c r="BD1112" s="8" t="s">
        <v>100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 t="s">
        <v>100</v>
      </c>
      <c r="BJ1112" s="4"/>
      <c r="BK1112" s="8"/>
      <c r="BL1112" s="2" t="s">
        <v>100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1338</v>
      </c>
      <c r="BV1112" s="2" t="s">
        <v>97</v>
      </c>
      <c r="BW1112" s="2" t="s">
        <v>100</v>
      </c>
      <c r="BX1112" s="2" t="s">
        <v>100</v>
      </c>
      <c r="BY1112" s="2" t="s">
        <v>112</v>
      </c>
      <c r="BZ1112" s="2" t="s">
        <v>100</v>
      </c>
    </row>
    <row r="1113">
      <c r="A1113" s="2" t="s">
        <v>3694</v>
      </c>
      <c r="B1113" s="2" t="s">
        <v>87</v>
      </c>
      <c r="C1113" s="2" t="s">
        <v>3381</v>
      </c>
      <c r="D1113" s="2" t="s">
        <v>89</v>
      </c>
      <c r="E1113" s="2" t="s">
        <v>1944</v>
      </c>
      <c r="F1113" s="2" t="s">
        <v>3646</v>
      </c>
      <c r="G1113" s="2" t="s">
        <v>3647</v>
      </c>
      <c r="H1113" s="2" t="s">
        <v>3648</v>
      </c>
      <c r="I1113" s="2" t="s">
        <v>3649</v>
      </c>
      <c r="J1113" s="2" t="s">
        <v>95</v>
      </c>
      <c r="K1113" s="2" t="s">
        <v>3692</v>
      </c>
      <c r="L1113" s="3">
        <v>35.71</v>
      </c>
      <c r="M1113" s="3">
        <v>37.5</v>
      </c>
      <c r="N1113" s="3">
        <v>74.99</v>
      </c>
      <c r="O1113" s="2" t="s">
        <v>97</v>
      </c>
      <c r="P1113" s="2" t="s">
        <v>1216</v>
      </c>
      <c r="Q1113" s="2" t="s">
        <v>99</v>
      </c>
      <c r="R1113" s="2" t="s">
        <v>100</v>
      </c>
      <c r="S1113" s="2" t="s">
        <v>3693</v>
      </c>
      <c r="T1113" s="2" t="s">
        <v>787</v>
      </c>
      <c r="U1113" s="2" t="s">
        <v>102</v>
      </c>
      <c r="V1113" s="2" t="s">
        <v>805</v>
      </c>
      <c r="W1113" s="2" t="s">
        <v>976</v>
      </c>
      <c r="X1113" s="2" t="s">
        <v>100</v>
      </c>
      <c r="Y1113" s="2" t="s">
        <v>100</v>
      </c>
      <c r="Z1113" s="4"/>
      <c r="AA1113" s="4">
        <f>=ROUNDDOWN({0},0)</f>
      </c>
      <c r="AB1113" s="5"/>
      <c r="AC1113" s="2" t="s">
        <v>3685</v>
      </c>
      <c r="AD1113" s="4">
        <v>200</v>
      </c>
      <c r="AE1113" s="4">
        <v>600</v>
      </c>
      <c r="AF1113" s="6">
        <v>65</v>
      </c>
      <c r="AG1113" s="6"/>
      <c r="AH1113" s="7">
        <v>0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/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/>
      <c r="BK1113" s="8"/>
      <c r="BL1113" s="2" t="s">
        <v>100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1338</v>
      </c>
      <c r="BV1113" s="2" t="s">
        <v>97</v>
      </c>
      <c r="BW1113" s="2" t="s">
        <v>100</v>
      </c>
      <c r="BX1113" s="2" t="s">
        <v>100</v>
      </c>
      <c r="BY1113" s="2" t="s">
        <v>112</v>
      </c>
      <c r="BZ1113" s="2" t="s">
        <v>100</v>
      </c>
    </row>
    <row r="1114">
      <c r="A1114" s="2" t="s">
        <v>3695</v>
      </c>
      <c r="B1114" s="2" t="s">
        <v>87</v>
      </c>
      <c r="C1114" s="2" t="s">
        <v>3381</v>
      </c>
      <c r="D1114" s="2" t="s">
        <v>89</v>
      </c>
      <c r="E1114" s="2" t="s">
        <v>1944</v>
      </c>
      <c r="F1114" s="2" t="s">
        <v>3646</v>
      </c>
      <c r="G1114" s="2" t="s">
        <v>3647</v>
      </c>
      <c r="H1114" s="2" t="s">
        <v>3648</v>
      </c>
      <c r="I1114" s="2" t="s">
        <v>3649</v>
      </c>
      <c r="J1114" s="2" t="s">
        <v>114</v>
      </c>
      <c r="K1114" s="2" t="s">
        <v>3692</v>
      </c>
      <c r="L1114" s="3">
        <v>38.09</v>
      </c>
      <c r="M1114" s="3">
        <v>39.99</v>
      </c>
      <c r="N1114" s="3">
        <v>79.99</v>
      </c>
      <c r="O1114" s="2" t="s">
        <v>97</v>
      </c>
      <c r="P1114" s="2" t="s">
        <v>1216</v>
      </c>
      <c r="Q1114" s="2" t="s">
        <v>99</v>
      </c>
      <c r="R1114" s="2" t="s">
        <v>100</v>
      </c>
      <c r="S1114" s="2" t="s">
        <v>3693</v>
      </c>
      <c r="T1114" s="2" t="s">
        <v>787</v>
      </c>
      <c r="U1114" s="2" t="s">
        <v>102</v>
      </c>
      <c r="V1114" s="2" t="s">
        <v>805</v>
      </c>
      <c r="W1114" s="2" t="s">
        <v>976</v>
      </c>
      <c r="X1114" s="2" t="s">
        <v>100</v>
      </c>
      <c r="Y1114" s="2" t="s">
        <v>3687</v>
      </c>
      <c r="Z1114" s="4"/>
      <c r="AA1114" s="4">
        <f>=ROUNDDOWN({0},0)</f>
      </c>
      <c r="AB1114" s="5"/>
      <c r="AC1114" s="2" t="s">
        <v>3685</v>
      </c>
      <c r="AD1114" s="4">
        <v>350</v>
      </c>
      <c r="AE1114" s="4">
        <v>1050</v>
      </c>
      <c r="AF1114" s="6">
        <v>65</v>
      </c>
      <c r="AG1114" s="6"/>
      <c r="AH1114" s="7">
        <v>0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/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/>
      <c r="BK1114" s="8"/>
      <c r="BL1114" s="2" t="s">
        <v>100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1338</v>
      </c>
      <c r="BV1114" s="2" t="s">
        <v>97</v>
      </c>
      <c r="BW1114" s="2" t="s">
        <v>100</v>
      </c>
      <c r="BX1114" s="2" t="s">
        <v>100</v>
      </c>
      <c r="BY1114" s="2" t="s">
        <v>112</v>
      </c>
      <c r="BZ1114" s="2" t="s">
        <v>100</v>
      </c>
    </row>
    <row r="1115">
      <c r="A1115" s="2" t="s">
        <v>3696</v>
      </c>
      <c r="B1115" s="2" t="s">
        <v>87</v>
      </c>
      <c r="C1115" s="2" t="s">
        <v>3381</v>
      </c>
      <c r="D1115" s="2" t="s">
        <v>89</v>
      </c>
      <c r="E1115" s="2" t="s">
        <v>1944</v>
      </c>
      <c r="F1115" s="2" t="s">
        <v>3646</v>
      </c>
      <c r="G1115" s="2" t="s">
        <v>3647</v>
      </c>
      <c r="H1115" s="2" t="s">
        <v>3648</v>
      </c>
      <c r="I1115" s="2" t="s">
        <v>3649</v>
      </c>
      <c r="J1115" s="2" t="s">
        <v>120</v>
      </c>
      <c r="K1115" s="2" t="s">
        <v>3692</v>
      </c>
      <c r="L1115" s="3">
        <v>42.85</v>
      </c>
      <c r="M1115" s="3">
        <v>44.99</v>
      </c>
      <c r="N1115" s="3">
        <v>89.99</v>
      </c>
      <c r="O1115" s="2" t="s">
        <v>97</v>
      </c>
      <c r="P1115" s="2" t="s">
        <v>1216</v>
      </c>
      <c r="Q1115" s="2" t="s">
        <v>99</v>
      </c>
      <c r="R1115" s="2" t="s">
        <v>100</v>
      </c>
      <c r="S1115" s="2" t="s">
        <v>3693</v>
      </c>
      <c r="T1115" s="2" t="s">
        <v>787</v>
      </c>
      <c r="U1115" s="2" t="s">
        <v>102</v>
      </c>
      <c r="V1115" s="2" t="s">
        <v>805</v>
      </c>
      <c r="W1115" s="2" t="s">
        <v>976</v>
      </c>
      <c r="X1115" s="2" t="s">
        <v>100</v>
      </c>
      <c r="Y1115" s="2" t="s">
        <v>3687</v>
      </c>
      <c r="Z1115" s="4"/>
      <c r="AA1115" s="4">
        <f>=ROUNDDOWN({0},0)</f>
      </c>
      <c r="AB1115" s="5"/>
      <c r="AC1115" s="2" t="s">
        <v>3685</v>
      </c>
      <c r="AD1115" s="4">
        <v>200</v>
      </c>
      <c r="AE1115" s="4">
        <v>600</v>
      </c>
      <c r="AF1115" s="6">
        <v>65</v>
      </c>
      <c r="AG1115" s="6"/>
      <c r="AH1115" s="7">
        <v>0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/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 t="s">
        <v>100</v>
      </c>
      <c r="BJ1115" s="4"/>
      <c r="BK1115" s="8"/>
      <c r="BL1115" s="2" t="s">
        <v>100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1338</v>
      </c>
      <c r="BV1115" s="2" t="s">
        <v>97</v>
      </c>
      <c r="BW1115" s="2" t="s">
        <v>100</v>
      </c>
      <c r="BX1115" s="2" t="s">
        <v>100</v>
      </c>
      <c r="BY1115" s="2" t="s">
        <v>112</v>
      </c>
      <c r="BZ1115" s="2" t="s">
        <v>100</v>
      </c>
    </row>
    <row r="1116">
      <c r="A1116" s="2" t="s">
        <v>3697</v>
      </c>
      <c r="B1116" s="2" t="s">
        <v>87</v>
      </c>
      <c r="C1116" s="2" t="s">
        <v>3381</v>
      </c>
      <c r="D1116" s="2" t="s">
        <v>89</v>
      </c>
      <c r="E1116" s="2" t="s">
        <v>1944</v>
      </c>
      <c r="F1116" s="2" t="s">
        <v>3646</v>
      </c>
      <c r="G1116" s="2" t="s">
        <v>3647</v>
      </c>
      <c r="H1116" s="2" t="s">
        <v>3648</v>
      </c>
      <c r="I1116" s="2" t="s">
        <v>3649</v>
      </c>
      <c r="J1116" s="2" t="s">
        <v>124</v>
      </c>
      <c r="K1116" s="2" t="s">
        <v>3692</v>
      </c>
      <c r="L1116" s="3">
        <v>42.85</v>
      </c>
      <c r="M1116" s="3">
        <v>44.99</v>
      </c>
      <c r="N1116" s="3">
        <v>89.99</v>
      </c>
      <c r="O1116" s="2" t="s">
        <v>97</v>
      </c>
      <c r="P1116" s="2" t="s">
        <v>1216</v>
      </c>
      <c r="Q1116" s="2" t="s">
        <v>99</v>
      </c>
      <c r="R1116" s="2" t="s">
        <v>100</v>
      </c>
      <c r="S1116" s="2" t="s">
        <v>3693</v>
      </c>
      <c r="T1116" s="2" t="s">
        <v>787</v>
      </c>
      <c r="U1116" s="2" t="s">
        <v>102</v>
      </c>
      <c r="V1116" s="2" t="s">
        <v>805</v>
      </c>
      <c r="W1116" s="2" t="s">
        <v>976</v>
      </c>
      <c r="X1116" s="2" t="s">
        <v>100</v>
      </c>
      <c r="Y1116" s="2" t="s">
        <v>100</v>
      </c>
      <c r="Z1116" s="4"/>
      <c r="AA1116" s="4">
        <f>=ROUNDDOWN({0},0)</f>
      </c>
      <c r="AB1116" s="5"/>
      <c r="AC1116" s="2" t="s">
        <v>3685</v>
      </c>
      <c r="AD1116" s="4">
        <v>100</v>
      </c>
      <c r="AE1116" s="4">
        <v>300</v>
      </c>
      <c r="AF1116" s="6">
        <v>65</v>
      </c>
      <c r="AG1116" s="6"/>
      <c r="AH1116" s="7">
        <v>0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/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/>
      <c r="BK1116" s="8"/>
      <c r="BL1116" s="2" t="s">
        <v>100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1338</v>
      </c>
      <c r="BV1116" s="2" t="s">
        <v>97</v>
      </c>
      <c r="BW1116" s="2" t="s">
        <v>100</v>
      </c>
      <c r="BX1116" s="2" t="s">
        <v>100</v>
      </c>
      <c r="BY1116" s="2" t="s">
        <v>112</v>
      </c>
      <c r="BZ1116" s="2" t="s">
        <v>100</v>
      </c>
    </row>
    <row r="1117">
      <c r="A1117" s="2" t="s">
        <v>3698</v>
      </c>
      <c r="B1117" s="2" t="s">
        <v>87</v>
      </c>
      <c r="C1117" s="2" t="s">
        <v>3381</v>
      </c>
      <c r="D1117" s="2" t="s">
        <v>89</v>
      </c>
      <c r="E1117" s="2" t="s">
        <v>1944</v>
      </c>
      <c r="F1117" s="2" t="s">
        <v>641</v>
      </c>
      <c r="G1117" s="2" t="s">
        <v>3699</v>
      </c>
      <c r="H1117" s="2" t="s">
        <v>3700</v>
      </c>
      <c r="I1117" s="2" t="s">
        <v>3701</v>
      </c>
      <c r="J1117" s="2" t="s">
        <v>2236</v>
      </c>
      <c r="K1117" s="2" t="s">
        <v>253</v>
      </c>
      <c r="L1117" s="3">
        <v>24</v>
      </c>
      <c r="M1117" s="3">
        <v>25.2</v>
      </c>
      <c r="N1117" s="3">
        <v>49.99</v>
      </c>
      <c r="O1117" s="2" t="s">
        <v>97</v>
      </c>
      <c r="P1117" s="2" t="s">
        <v>1216</v>
      </c>
      <c r="Q1117" s="2" t="s">
        <v>99</v>
      </c>
      <c r="R1117" s="2" t="s">
        <v>100</v>
      </c>
      <c r="S1117" s="2" t="s">
        <v>3702</v>
      </c>
      <c r="T1117" s="2" t="s">
        <v>787</v>
      </c>
      <c r="U1117" s="2" t="s">
        <v>676</v>
      </c>
      <c r="V1117" s="2" t="s">
        <v>677</v>
      </c>
      <c r="W1117" s="2" t="s">
        <v>976</v>
      </c>
      <c r="X1117" s="2" t="s">
        <v>105</v>
      </c>
      <c r="Y1117" s="2" t="s">
        <v>3703</v>
      </c>
      <c r="Z1117" s="4">
        <v>120</v>
      </c>
      <c r="AA1117" s="4">
        <f>=ROUNDDOWN({0},0)</f>
      </c>
      <c r="AB1117" s="5"/>
      <c r="AC1117" s="2" t="s">
        <v>107</v>
      </c>
      <c r="AD1117" s="4">
        <v>150</v>
      </c>
      <c r="AE1117" s="4">
        <v>270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/>
      <c r="BJ1117" s="4"/>
      <c r="BK1117" s="8"/>
      <c r="BL1117" s="2" t="s">
        <v>100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1338</v>
      </c>
      <c r="BV1117" s="2" t="s">
        <v>97</v>
      </c>
      <c r="BW1117" s="2" t="s">
        <v>100</v>
      </c>
      <c r="BX1117" s="2" t="s">
        <v>100</v>
      </c>
      <c r="BY1117" s="2" t="s">
        <v>112</v>
      </c>
      <c r="BZ1117" s="2" t="s">
        <v>100</v>
      </c>
    </row>
    <row r="1118">
      <c r="A1118" s="2" t="s">
        <v>3704</v>
      </c>
      <c r="B1118" s="2" t="s">
        <v>87</v>
      </c>
      <c r="C1118" s="2" t="s">
        <v>3381</v>
      </c>
      <c r="D1118" s="2" t="s">
        <v>89</v>
      </c>
      <c r="E1118" s="2" t="s">
        <v>1944</v>
      </c>
      <c r="F1118" s="2" t="s">
        <v>641</v>
      </c>
      <c r="G1118" s="2" t="s">
        <v>3699</v>
      </c>
      <c r="H1118" s="2" t="s">
        <v>3700</v>
      </c>
      <c r="I1118" s="2" t="s">
        <v>3701</v>
      </c>
      <c r="J1118" s="2" t="s">
        <v>3596</v>
      </c>
      <c r="K1118" s="2" t="s">
        <v>253</v>
      </c>
      <c r="L1118" s="3">
        <v>24</v>
      </c>
      <c r="M1118" s="3">
        <v>25.2</v>
      </c>
      <c r="N1118" s="3">
        <v>49.99</v>
      </c>
      <c r="O1118" s="2" t="s">
        <v>97</v>
      </c>
      <c r="P1118" s="2" t="s">
        <v>1216</v>
      </c>
      <c r="Q1118" s="2" t="s">
        <v>99</v>
      </c>
      <c r="R1118" s="2" t="s">
        <v>100</v>
      </c>
      <c r="S1118" s="2" t="s">
        <v>3702</v>
      </c>
      <c r="T1118" s="2" t="s">
        <v>787</v>
      </c>
      <c r="U1118" s="2" t="s">
        <v>676</v>
      </c>
      <c r="V1118" s="2" t="s">
        <v>677</v>
      </c>
      <c r="W1118" s="2" t="s">
        <v>976</v>
      </c>
      <c r="X1118" s="2" t="s">
        <v>105</v>
      </c>
      <c r="Y1118" s="2" t="s">
        <v>3703</v>
      </c>
      <c r="Z1118" s="4">
        <v>90</v>
      </c>
      <c r="AA1118" s="4">
        <f>=ROUNDDOWN({0},0)</f>
      </c>
      <c r="AB1118" s="5"/>
      <c r="AC1118" s="2" t="s">
        <v>107</v>
      </c>
      <c r="AD1118" s="4">
        <v>120</v>
      </c>
      <c r="AE1118" s="4">
        <v>210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/>
      <c r="BJ1118" s="4"/>
      <c r="BK1118" s="8"/>
      <c r="BL1118" s="2" t="s">
        <v>100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1338</v>
      </c>
      <c r="BV1118" s="2" t="s">
        <v>97</v>
      </c>
      <c r="BW1118" s="2" t="s">
        <v>100</v>
      </c>
      <c r="BX1118" s="2" t="s">
        <v>100</v>
      </c>
      <c r="BY1118" s="2" t="s">
        <v>112</v>
      </c>
      <c r="BZ1118" s="2" t="s">
        <v>100</v>
      </c>
    </row>
    <row r="1119">
      <c r="A1119" s="2" t="s">
        <v>3705</v>
      </c>
      <c r="B1119" s="2" t="s">
        <v>87</v>
      </c>
      <c r="C1119" s="2" t="s">
        <v>3381</v>
      </c>
      <c r="D1119" s="2" t="s">
        <v>89</v>
      </c>
      <c r="E1119" s="2" t="s">
        <v>1944</v>
      </c>
      <c r="F1119" s="2" t="s">
        <v>641</v>
      </c>
      <c r="G1119" s="2" t="s">
        <v>3699</v>
      </c>
      <c r="H1119" s="2" t="s">
        <v>3700</v>
      </c>
      <c r="I1119" s="2" t="s">
        <v>3701</v>
      </c>
      <c r="J1119" s="2" t="s">
        <v>95</v>
      </c>
      <c r="K1119" s="2" t="s">
        <v>253</v>
      </c>
      <c r="L1119" s="3">
        <v>26.4</v>
      </c>
      <c r="M1119" s="3">
        <v>27.72</v>
      </c>
      <c r="N1119" s="3">
        <v>54.99</v>
      </c>
      <c r="O1119" s="2" t="s">
        <v>97</v>
      </c>
      <c r="P1119" s="2" t="s">
        <v>1216</v>
      </c>
      <c r="Q1119" s="2" t="s">
        <v>99</v>
      </c>
      <c r="R1119" s="2" t="s">
        <v>100</v>
      </c>
      <c r="S1119" s="2" t="s">
        <v>3702</v>
      </c>
      <c r="T1119" s="2" t="s">
        <v>787</v>
      </c>
      <c r="U1119" s="2" t="s">
        <v>343</v>
      </c>
      <c r="V1119" s="2" t="s">
        <v>677</v>
      </c>
      <c r="W1119" s="2" t="s">
        <v>976</v>
      </c>
      <c r="X1119" s="2" t="s">
        <v>105</v>
      </c>
      <c r="Y1119" s="2" t="s">
        <v>3703</v>
      </c>
      <c r="Z1119" s="4">
        <v>130</v>
      </c>
      <c r="AA1119" s="4">
        <f>=ROUNDDOWN({0},0)</f>
      </c>
      <c r="AB1119" s="5"/>
      <c r="AC1119" s="2" t="s">
        <v>107</v>
      </c>
      <c r="AD1119" s="4">
        <v>150</v>
      </c>
      <c r="AE1119" s="4">
        <v>280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/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/>
      <c r="BJ1119" s="4"/>
      <c r="BK1119" s="8"/>
      <c r="BL1119" s="2" t="s">
        <v>100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1338</v>
      </c>
      <c r="BV1119" s="2" t="s">
        <v>97</v>
      </c>
      <c r="BW1119" s="2" t="s">
        <v>100</v>
      </c>
      <c r="BX1119" s="2" t="s">
        <v>100</v>
      </c>
      <c r="BY1119" s="2" t="s">
        <v>112</v>
      </c>
      <c r="BZ1119" s="2" t="s">
        <v>100</v>
      </c>
    </row>
    <row r="1120">
      <c r="A1120" s="2" t="s">
        <v>3706</v>
      </c>
      <c r="B1120" s="2" t="s">
        <v>87</v>
      </c>
      <c r="C1120" s="2" t="s">
        <v>3381</v>
      </c>
      <c r="D1120" s="2" t="s">
        <v>89</v>
      </c>
      <c r="E1120" s="2" t="s">
        <v>1944</v>
      </c>
      <c r="F1120" s="2" t="s">
        <v>641</v>
      </c>
      <c r="G1120" s="2" t="s">
        <v>3699</v>
      </c>
      <c r="H1120" s="2" t="s">
        <v>3700</v>
      </c>
      <c r="I1120" s="2" t="s">
        <v>3701</v>
      </c>
      <c r="J1120" s="2" t="s">
        <v>114</v>
      </c>
      <c r="K1120" s="2" t="s">
        <v>253</v>
      </c>
      <c r="L1120" s="3">
        <v>28.8</v>
      </c>
      <c r="M1120" s="3">
        <v>30.24</v>
      </c>
      <c r="N1120" s="3">
        <v>59.99</v>
      </c>
      <c r="O1120" s="2" t="s">
        <v>97</v>
      </c>
      <c r="P1120" s="2" t="s">
        <v>1216</v>
      </c>
      <c r="Q1120" s="2" t="s">
        <v>99</v>
      </c>
      <c r="R1120" s="2" t="s">
        <v>100</v>
      </c>
      <c r="S1120" s="2" t="s">
        <v>3702</v>
      </c>
      <c r="T1120" s="2" t="s">
        <v>787</v>
      </c>
      <c r="U1120" s="2" t="s">
        <v>343</v>
      </c>
      <c r="V1120" s="2" t="s">
        <v>677</v>
      </c>
      <c r="W1120" s="2" t="s">
        <v>976</v>
      </c>
      <c r="X1120" s="2" t="s">
        <v>105</v>
      </c>
      <c r="Y1120" s="2" t="s">
        <v>3703</v>
      </c>
      <c r="Z1120" s="4">
        <v>200</v>
      </c>
      <c r="AA1120" s="4">
        <f>=ROUNDDOWN({0},0)</f>
      </c>
      <c r="AB1120" s="5"/>
      <c r="AC1120" s="2" t="s">
        <v>107</v>
      </c>
      <c r="AD1120" s="4">
        <v>220</v>
      </c>
      <c r="AE1120" s="4">
        <v>420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/>
      <c r="BK1120" s="8"/>
      <c r="BL1120" s="2" t="s">
        <v>100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1338</v>
      </c>
      <c r="BV1120" s="2" t="s">
        <v>97</v>
      </c>
      <c r="BW1120" s="2" t="s">
        <v>100</v>
      </c>
      <c r="BX1120" s="2" t="s">
        <v>100</v>
      </c>
      <c r="BY1120" s="2" t="s">
        <v>112</v>
      </c>
      <c r="BZ1120" s="2" t="s">
        <v>100</v>
      </c>
    </row>
    <row r="1121">
      <c r="A1121" s="2" t="s">
        <v>3707</v>
      </c>
      <c r="B1121" s="2" t="s">
        <v>87</v>
      </c>
      <c r="C1121" s="2" t="s">
        <v>3381</v>
      </c>
      <c r="D1121" s="2" t="s">
        <v>89</v>
      </c>
      <c r="E1121" s="2" t="s">
        <v>1944</v>
      </c>
      <c r="F1121" s="2" t="s">
        <v>641</v>
      </c>
      <c r="G1121" s="2" t="s">
        <v>3699</v>
      </c>
      <c r="H1121" s="2" t="s">
        <v>3700</v>
      </c>
      <c r="I1121" s="2" t="s">
        <v>3701</v>
      </c>
      <c r="J1121" s="2" t="s">
        <v>120</v>
      </c>
      <c r="K1121" s="2" t="s">
        <v>253</v>
      </c>
      <c r="L1121" s="3">
        <v>33.6</v>
      </c>
      <c r="M1121" s="3">
        <v>35.28</v>
      </c>
      <c r="N1121" s="3">
        <v>69.99</v>
      </c>
      <c r="O1121" s="2" t="s">
        <v>97</v>
      </c>
      <c r="P1121" s="2" t="s">
        <v>1216</v>
      </c>
      <c r="Q1121" s="2" t="s">
        <v>99</v>
      </c>
      <c r="R1121" s="2" t="s">
        <v>100</v>
      </c>
      <c r="S1121" s="2" t="s">
        <v>3702</v>
      </c>
      <c r="T1121" s="2" t="s">
        <v>787</v>
      </c>
      <c r="U1121" s="2" t="s">
        <v>343</v>
      </c>
      <c r="V1121" s="2" t="s">
        <v>677</v>
      </c>
      <c r="W1121" s="2" t="s">
        <v>976</v>
      </c>
      <c r="X1121" s="2" t="s">
        <v>105</v>
      </c>
      <c r="Y1121" s="2" t="s">
        <v>3703</v>
      </c>
      <c r="Z1121" s="4">
        <v>140</v>
      </c>
      <c r="AA1121" s="4">
        <f>=ROUNDDOWN({0},0)</f>
      </c>
      <c r="AB1121" s="5"/>
      <c r="AC1121" s="2" t="s">
        <v>107</v>
      </c>
      <c r="AD1121" s="4">
        <v>160</v>
      </c>
      <c r="AE1121" s="4">
        <v>300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/>
      <c r="BJ1121" s="4"/>
      <c r="BK1121" s="8"/>
      <c r="BL1121" s="2" t="s">
        <v>100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1338</v>
      </c>
      <c r="BV1121" s="2" t="s">
        <v>97</v>
      </c>
      <c r="BW1121" s="2" t="s">
        <v>100</v>
      </c>
      <c r="BX1121" s="2" t="s">
        <v>100</v>
      </c>
      <c r="BY1121" s="2" t="s">
        <v>112</v>
      </c>
      <c r="BZ1121" s="2" t="s">
        <v>100</v>
      </c>
    </row>
    <row r="1122">
      <c r="A1122" s="2" t="s">
        <v>3708</v>
      </c>
      <c r="B1122" s="2" t="s">
        <v>87</v>
      </c>
      <c r="C1122" s="2" t="s">
        <v>3381</v>
      </c>
      <c r="D1122" s="2" t="s">
        <v>89</v>
      </c>
      <c r="E1122" s="2" t="s">
        <v>1944</v>
      </c>
      <c r="F1122" s="2" t="s">
        <v>641</v>
      </c>
      <c r="G1122" s="2" t="s">
        <v>3699</v>
      </c>
      <c r="H1122" s="2" t="s">
        <v>3700</v>
      </c>
      <c r="I1122" s="2" t="s">
        <v>3701</v>
      </c>
      <c r="J1122" s="2" t="s">
        <v>2236</v>
      </c>
      <c r="K1122" s="2" t="s">
        <v>357</v>
      </c>
      <c r="L1122" s="3">
        <v>24</v>
      </c>
      <c r="M1122" s="3">
        <v>25.2</v>
      </c>
      <c r="N1122" s="3">
        <v>49.99</v>
      </c>
      <c r="O1122" s="2" t="s">
        <v>97</v>
      </c>
      <c r="P1122" s="2" t="s">
        <v>98</v>
      </c>
      <c r="Q1122" s="2" t="s">
        <v>99</v>
      </c>
      <c r="R1122" s="2" t="s">
        <v>100</v>
      </c>
      <c r="S1122" s="2" t="s">
        <v>3709</v>
      </c>
      <c r="T1122" s="2" t="s">
        <v>787</v>
      </c>
      <c r="U1122" s="2" t="s">
        <v>676</v>
      </c>
      <c r="V1122" s="2" t="s">
        <v>663</v>
      </c>
      <c r="W1122" s="2" t="s">
        <v>976</v>
      </c>
      <c r="X1122" s="2" t="s">
        <v>105</v>
      </c>
      <c r="Y1122" s="2" t="s">
        <v>2785</v>
      </c>
      <c r="Z1122" s="4">
        <v>530</v>
      </c>
      <c r="AA1122" s="4">
        <f>=ROUNDDOWN(66.25,0)</f>
      </c>
      <c r="AB1122" s="5">
        <v>8</v>
      </c>
      <c r="AC1122" s="2" t="s">
        <v>100</v>
      </c>
      <c r="AD1122" s="4"/>
      <c r="AE1122" s="4"/>
      <c r="AF1122" s="6">
        <v>64</v>
      </c>
      <c r="AG1122" s="6"/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/>
      <c r="BJ1122" s="4">
        <v>8</v>
      </c>
      <c r="BK1122" s="8">
        <v>260.18</v>
      </c>
      <c r="BL1122" s="2" t="s">
        <v>3710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109</v>
      </c>
      <c r="BV1122" s="2" t="s">
        <v>97</v>
      </c>
      <c r="BW1122" s="2" t="s">
        <v>3711</v>
      </c>
      <c r="BX1122" s="2" t="s">
        <v>3712</v>
      </c>
      <c r="BY1122" s="2" t="s">
        <v>112</v>
      </c>
      <c r="BZ1122" s="2" t="s">
        <v>100</v>
      </c>
    </row>
    <row r="1123">
      <c r="A1123" s="2" t="s">
        <v>3713</v>
      </c>
      <c r="B1123" s="2" t="s">
        <v>87</v>
      </c>
      <c r="C1123" s="2" t="s">
        <v>3381</v>
      </c>
      <c r="D1123" s="2" t="s">
        <v>89</v>
      </c>
      <c r="E1123" s="2" t="s">
        <v>1944</v>
      </c>
      <c r="F1123" s="2" t="s">
        <v>641</v>
      </c>
      <c r="G1123" s="2" t="s">
        <v>3699</v>
      </c>
      <c r="H1123" s="2" t="s">
        <v>3700</v>
      </c>
      <c r="I1123" s="2" t="s">
        <v>3701</v>
      </c>
      <c r="J1123" s="2" t="s">
        <v>3596</v>
      </c>
      <c r="K1123" s="2" t="s">
        <v>357</v>
      </c>
      <c r="L1123" s="3">
        <v>24</v>
      </c>
      <c r="M1123" s="3">
        <v>25.2</v>
      </c>
      <c r="N1123" s="3">
        <v>49.99</v>
      </c>
      <c r="O1123" s="2" t="s">
        <v>97</v>
      </c>
      <c r="P1123" s="2" t="s">
        <v>98</v>
      </c>
      <c r="Q1123" s="2" t="s">
        <v>99</v>
      </c>
      <c r="R1123" s="2" t="s">
        <v>100</v>
      </c>
      <c r="S1123" s="2" t="s">
        <v>3709</v>
      </c>
      <c r="T1123" s="2" t="s">
        <v>787</v>
      </c>
      <c r="U1123" s="2" t="s">
        <v>676</v>
      </c>
      <c r="V1123" s="2" t="s">
        <v>663</v>
      </c>
      <c r="W1123" s="2" t="s">
        <v>976</v>
      </c>
      <c r="X1123" s="2" t="s">
        <v>105</v>
      </c>
      <c r="Y1123" s="2" t="s">
        <v>2785</v>
      </c>
      <c r="Z1123" s="4">
        <v>543</v>
      </c>
      <c r="AA1123" s="4">
        <f>=ROUNDDOWN(67.875,0)</f>
      </c>
      <c r="AB1123" s="5">
        <v>8</v>
      </c>
      <c r="AC1123" s="2" t="s">
        <v>100</v>
      </c>
      <c r="AD1123" s="4"/>
      <c r="AE1123" s="4"/>
      <c r="AF1123" s="6">
        <v>64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/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/>
      <c r="BJ1123" s="4">
        <v>10</v>
      </c>
      <c r="BK1123" s="8">
        <v>350.31</v>
      </c>
      <c r="BL1123" s="2" t="s">
        <v>3714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109</v>
      </c>
      <c r="BV1123" s="2" t="s">
        <v>97</v>
      </c>
      <c r="BW1123" s="2" t="s">
        <v>3711</v>
      </c>
      <c r="BX1123" s="2" t="s">
        <v>3715</v>
      </c>
      <c r="BY1123" s="2" t="s">
        <v>112</v>
      </c>
      <c r="BZ1123" s="2" t="s">
        <v>100</v>
      </c>
    </row>
    <row r="1124">
      <c r="A1124" s="2" t="s">
        <v>3716</v>
      </c>
      <c r="B1124" s="2" t="s">
        <v>87</v>
      </c>
      <c r="C1124" s="2" t="s">
        <v>3381</v>
      </c>
      <c r="D1124" s="2" t="s">
        <v>89</v>
      </c>
      <c r="E1124" s="2" t="s">
        <v>1944</v>
      </c>
      <c r="F1124" s="2" t="s">
        <v>641</v>
      </c>
      <c r="G1124" s="2" t="s">
        <v>3699</v>
      </c>
      <c r="H1124" s="2" t="s">
        <v>3700</v>
      </c>
      <c r="I1124" s="2" t="s">
        <v>3701</v>
      </c>
      <c r="J1124" s="2" t="s">
        <v>95</v>
      </c>
      <c r="K1124" s="2" t="s">
        <v>357</v>
      </c>
      <c r="L1124" s="3">
        <v>26.4</v>
      </c>
      <c r="M1124" s="3">
        <v>27.72</v>
      </c>
      <c r="N1124" s="3">
        <v>54.99</v>
      </c>
      <c r="O1124" s="2" t="s">
        <v>97</v>
      </c>
      <c r="P1124" s="2" t="s">
        <v>98</v>
      </c>
      <c r="Q1124" s="2" t="s">
        <v>99</v>
      </c>
      <c r="R1124" s="2" t="s">
        <v>100</v>
      </c>
      <c r="S1124" s="2" t="s">
        <v>3709</v>
      </c>
      <c r="T1124" s="2" t="s">
        <v>787</v>
      </c>
      <c r="U1124" s="2" t="s">
        <v>343</v>
      </c>
      <c r="V1124" s="2" t="s">
        <v>663</v>
      </c>
      <c r="W1124" s="2" t="s">
        <v>976</v>
      </c>
      <c r="X1124" s="2" t="s">
        <v>105</v>
      </c>
      <c r="Y1124" s="2" t="s">
        <v>3717</v>
      </c>
      <c r="Z1124" s="4">
        <v>1205</v>
      </c>
      <c r="AA1124" s="4">
        <f>=ROUNDDOWN(75.3125,0)</f>
      </c>
      <c r="AB1124" s="5">
        <v>16</v>
      </c>
      <c r="AC1124" s="2" t="s">
        <v>100</v>
      </c>
      <c r="AD1124" s="4"/>
      <c r="AE1124" s="4"/>
      <c r="AF1124" s="6">
        <v>64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/>
      <c r="BJ1124" s="4">
        <v>9</v>
      </c>
      <c r="BK1124" s="8">
        <v>289.65</v>
      </c>
      <c r="BL1124" s="2" t="s">
        <v>487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109</v>
      </c>
      <c r="BV1124" s="2" t="s">
        <v>97</v>
      </c>
      <c r="BW1124" s="2" t="s">
        <v>3711</v>
      </c>
      <c r="BX1124" s="2" t="s">
        <v>3718</v>
      </c>
      <c r="BY1124" s="2" t="s">
        <v>112</v>
      </c>
      <c r="BZ1124" s="2" t="s">
        <v>100</v>
      </c>
    </row>
    <row r="1125">
      <c r="A1125" s="2" t="s">
        <v>3719</v>
      </c>
      <c r="B1125" s="2" t="s">
        <v>87</v>
      </c>
      <c r="C1125" s="2" t="s">
        <v>3381</v>
      </c>
      <c r="D1125" s="2" t="s">
        <v>89</v>
      </c>
      <c r="E1125" s="2" t="s">
        <v>1944</v>
      </c>
      <c r="F1125" s="2" t="s">
        <v>641</v>
      </c>
      <c r="G1125" s="2" t="s">
        <v>3699</v>
      </c>
      <c r="H1125" s="2" t="s">
        <v>3700</v>
      </c>
      <c r="I1125" s="2" t="s">
        <v>3701</v>
      </c>
      <c r="J1125" s="2" t="s">
        <v>114</v>
      </c>
      <c r="K1125" s="2" t="s">
        <v>357</v>
      </c>
      <c r="L1125" s="3">
        <v>28.8</v>
      </c>
      <c r="M1125" s="3">
        <v>30.24</v>
      </c>
      <c r="N1125" s="3">
        <v>59.99</v>
      </c>
      <c r="O1125" s="2" t="s">
        <v>97</v>
      </c>
      <c r="P1125" s="2" t="s">
        <v>98</v>
      </c>
      <c r="Q1125" s="2" t="s">
        <v>99</v>
      </c>
      <c r="R1125" s="2" t="s">
        <v>100</v>
      </c>
      <c r="S1125" s="2" t="s">
        <v>3709</v>
      </c>
      <c r="T1125" s="2" t="s">
        <v>787</v>
      </c>
      <c r="U1125" s="2" t="s">
        <v>343</v>
      </c>
      <c r="V1125" s="2" t="s">
        <v>663</v>
      </c>
      <c r="W1125" s="2" t="s">
        <v>976</v>
      </c>
      <c r="X1125" s="2" t="s">
        <v>105</v>
      </c>
      <c r="Y1125" s="2" t="s">
        <v>2785</v>
      </c>
      <c r="Z1125" s="4">
        <v>2024</v>
      </c>
      <c r="AA1125" s="4">
        <f>=ROUNDDOWN(44.9777777777778,0)</f>
      </c>
      <c r="AB1125" s="5">
        <v>45</v>
      </c>
      <c r="AC1125" s="2" t="s">
        <v>1487</v>
      </c>
      <c r="AD1125" s="4">
        <v>620</v>
      </c>
      <c r="AE1125" s="4">
        <v>620</v>
      </c>
      <c r="AF1125" s="6">
        <v>64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/>
      <c r="BJ1125" s="4">
        <v>27</v>
      </c>
      <c r="BK1125" s="8">
        <v>898.78</v>
      </c>
      <c r="BL1125" s="2" t="s">
        <v>1271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109</v>
      </c>
      <c r="BV1125" s="2" t="s">
        <v>97</v>
      </c>
      <c r="BW1125" s="2" t="s">
        <v>3711</v>
      </c>
      <c r="BX1125" s="2" t="s">
        <v>1785</v>
      </c>
      <c r="BY1125" s="2" t="s">
        <v>112</v>
      </c>
      <c r="BZ1125" s="2" t="s">
        <v>100</v>
      </c>
    </row>
    <row r="1126">
      <c r="A1126" s="2" t="s">
        <v>3720</v>
      </c>
      <c r="B1126" s="2" t="s">
        <v>87</v>
      </c>
      <c r="C1126" s="2" t="s">
        <v>3381</v>
      </c>
      <c r="D1126" s="2" t="s">
        <v>89</v>
      </c>
      <c r="E1126" s="2" t="s">
        <v>1944</v>
      </c>
      <c r="F1126" s="2" t="s">
        <v>641</v>
      </c>
      <c r="G1126" s="2" t="s">
        <v>3699</v>
      </c>
      <c r="H1126" s="2" t="s">
        <v>3700</v>
      </c>
      <c r="I1126" s="2" t="s">
        <v>3701</v>
      </c>
      <c r="J1126" s="2" t="s">
        <v>120</v>
      </c>
      <c r="K1126" s="2" t="s">
        <v>357</v>
      </c>
      <c r="L1126" s="3">
        <v>33.6</v>
      </c>
      <c r="M1126" s="3">
        <v>35.28</v>
      </c>
      <c r="N1126" s="3">
        <v>69.99</v>
      </c>
      <c r="O1126" s="2" t="s">
        <v>97</v>
      </c>
      <c r="P1126" s="2" t="s">
        <v>98</v>
      </c>
      <c r="Q1126" s="2" t="s">
        <v>99</v>
      </c>
      <c r="R1126" s="2" t="s">
        <v>100</v>
      </c>
      <c r="S1126" s="2" t="s">
        <v>3709</v>
      </c>
      <c r="T1126" s="2" t="s">
        <v>787</v>
      </c>
      <c r="U1126" s="2" t="s">
        <v>343</v>
      </c>
      <c r="V1126" s="2" t="s">
        <v>663</v>
      </c>
      <c r="W1126" s="2" t="s">
        <v>976</v>
      </c>
      <c r="X1126" s="2" t="s">
        <v>105</v>
      </c>
      <c r="Y1126" s="2" t="s">
        <v>3717</v>
      </c>
      <c r="Z1126" s="4">
        <v>1526</v>
      </c>
      <c r="AA1126" s="4">
        <f>=ROUNDDOWN(47.6875,0)</f>
      </c>
      <c r="AB1126" s="5">
        <v>32</v>
      </c>
      <c r="AC1126" s="2" t="s">
        <v>1487</v>
      </c>
      <c r="AD1126" s="4">
        <v>180</v>
      </c>
      <c r="AE1126" s="4">
        <v>180</v>
      </c>
      <c r="AF1126" s="6">
        <v>64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/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/>
      <c r="BJ1126" s="4">
        <v>24</v>
      </c>
      <c r="BK1126" s="8">
        <v>997.67</v>
      </c>
      <c r="BL1126" s="2" t="s">
        <v>3721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3711</v>
      </c>
      <c r="BX1126" s="2" t="s">
        <v>3722</v>
      </c>
      <c r="BY1126" s="2" t="s">
        <v>112</v>
      </c>
      <c r="BZ1126" s="2" t="s">
        <v>100</v>
      </c>
    </row>
    <row r="1127">
      <c r="A1127" s="2" t="s">
        <v>3723</v>
      </c>
      <c r="B1127" s="2" t="s">
        <v>87</v>
      </c>
      <c r="C1127" s="2" t="s">
        <v>3381</v>
      </c>
      <c r="D1127" s="2" t="s">
        <v>89</v>
      </c>
      <c r="E1127" s="2" t="s">
        <v>1944</v>
      </c>
      <c r="F1127" s="2" t="s">
        <v>3724</v>
      </c>
      <c r="G1127" s="2" t="s">
        <v>2044</v>
      </c>
      <c r="H1127" s="2" t="s">
        <v>3035</v>
      </c>
      <c r="I1127" s="2" t="s">
        <v>3725</v>
      </c>
      <c r="J1127" s="2" t="s">
        <v>2236</v>
      </c>
      <c r="K1127" s="2" t="s">
        <v>3726</v>
      </c>
      <c r="L1127" s="3">
        <v>26.19</v>
      </c>
      <c r="M1127" s="3">
        <v>27.5</v>
      </c>
      <c r="N1127" s="3">
        <v>54.99</v>
      </c>
      <c r="O1127" s="2" t="s">
        <v>97</v>
      </c>
      <c r="P1127" s="2" t="s">
        <v>98</v>
      </c>
      <c r="Q1127" s="2" t="s">
        <v>99</v>
      </c>
      <c r="R1127" s="2" t="s">
        <v>100</v>
      </c>
      <c r="S1127" s="2" t="s">
        <v>3727</v>
      </c>
      <c r="T1127" s="2" t="s">
        <v>787</v>
      </c>
      <c r="U1127" s="2" t="s">
        <v>644</v>
      </c>
      <c r="V1127" s="2" t="s">
        <v>677</v>
      </c>
      <c r="W1127" s="2" t="s">
        <v>104</v>
      </c>
      <c r="X1127" s="2" t="s">
        <v>976</v>
      </c>
      <c r="Y1127" s="2" t="s">
        <v>3728</v>
      </c>
      <c r="Z1127" s="4">
        <v>167</v>
      </c>
      <c r="AA1127" s="4">
        <f>=ROUNDDOWN(23.8571428571429,0)</f>
      </c>
      <c r="AB1127" s="5">
        <v>7</v>
      </c>
      <c r="AC1127" s="2" t="s">
        <v>790</v>
      </c>
      <c r="AD1127" s="4">
        <v>120</v>
      </c>
      <c r="AE1127" s="4">
        <v>120</v>
      </c>
      <c r="AF1127" s="6">
        <v>64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/>
      <c r="BJ1127" s="4">
        <v>2</v>
      </c>
      <c r="BK1127" s="8">
        <v>58.57</v>
      </c>
      <c r="BL1127" s="2" t="s">
        <v>1643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1518</v>
      </c>
      <c r="BX1127" s="2" t="s">
        <v>793</v>
      </c>
      <c r="BY1127" s="2" t="s">
        <v>112</v>
      </c>
      <c r="BZ1127" s="2" t="s">
        <v>100</v>
      </c>
    </row>
    <row r="1128">
      <c r="A1128" s="2" t="s">
        <v>3729</v>
      </c>
      <c r="B1128" s="2" t="s">
        <v>87</v>
      </c>
      <c r="C1128" s="2" t="s">
        <v>3381</v>
      </c>
      <c r="D1128" s="2" t="s">
        <v>89</v>
      </c>
      <c r="E1128" s="2" t="s">
        <v>1944</v>
      </c>
      <c r="F1128" s="2" t="s">
        <v>3724</v>
      </c>
      <c r="G1128" s="2" t="s">
        <v>2044</v>
      </c>
      <c r="H1128" s="2" t="s">
        <v>3035</v>
      </c>
      <c r="I1128" s="2" t="s">
        <v>3725</v>
      </c>
      <c r="J1128" s="2" t="s">
        <v>95</v>
      </c>
      <c r="K1128" s="2" t="s">
        <v>3726</v>
      </c>
      <c r="L1128" s="3">
        <v>28.57</v>
      </c>
      <c r="M1128" s="3">
        <v>30</v>
      </c>
      <c r="N1128" s="3">
        <v>59.99</v>
      </c>
      <c r="O1128" s="2" t="s">
        <v>97</v>
      </c>
      <c r="P1128" s="2" t="s">
        <v>98</v>
      </c>
      <c r="Q1128" s="2" t="s">
        <v>99</v>
      </c>
      <c r="R1128" s="2" t="s">
        <v>100</v>
      </c>
      <c r="S1128" s="2" t="s">
        <v>3727</v>
      </c>
      <c r="T1128" s="2" t="s">
        <v>787</v>
      </c>
      <c r="U1128" s="2" t="s">
        <v>102</v>
      </c>
      <c r="V1128" s="2" t="s">
        <v>677</v>
      </c>
      <c r="W1128" s="2" t="s">
        <v>104</v>
      </c>
      <c r="X1128" s="2" t="s">
        <v>976</v>
      </c>
      <c r="Y1128" s="2" t="s">
        <v>3728</v>
      </c>
      <c r="Z1128" s="4">
        <v>258</v>
      </c>
      <c r="AA1128" s="4">
        <f>=ROUNDDOWN(28.6666666666667,0)</f>
      </c>
      <c r="AB1128" s="5">
        <v>9</v>
      </c>
      <c r="AC1128" s="2" t="s">
        <v>790</v>
      </c>
      <c r="AD1128" s="4">
        <v>100</v>
      </c>
      <c r="AE1128" s="4">
        <v>100</v>
      </c>
      <c r="AF1128" s="6">
        <v>64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/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/>
      <c r="BJ1128" s="4">
        <v>7</v>
      </c>
      <c r="BK1128" s="8">
        <v>224.42</v>
      </c>
      <c r="BL1128" s="2" t="s">
        <v>3730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1518</v>
      </c>
      <c r="BX1128" s="2" t="s">
        <v>1462</v>
      </c>
      <c r="BY1128" s="2" t="s">
        <v>112</v>
      </c>
      <c r="BZ1128" s="2" t="s">
        <v>100</v>
      </c>
    </row>
    <row r="1129">
      <c r="A1129" s="2" t="s">
        <v>3731</v>
      </c>
      <c r="B1129" s="2" t="s">
        <v>87</v>
      </c>
      <c r="C1129" s="2" t="s">
        <v>3381</v>
      </c>
      <c r="D1129" s="2" t="s">
        <v>89</v>
      </c>
      <c r="E1129" s="2" t="s">
        <v>1944</v>
      </c>
      <c r="F1129" s="2" t="s">
        <v>3724</v>
      </c>
      <c r="G1129" s="2" t="s">
        <v>2044</v>
      </c>
      <c r="H1129" s="2" t="s">
        <v>3035</v>
      </c>
      <c r="I1129" s="2" t="s">
        <v>3725</v>
      </c>
      <c r="J1129" s="2" t="s">
        <v>114</v>
      </c>
      <c r="K1129" s="2" t="s">
        <v>3726</v>
      </c>
      <c r="L1129" s="3">
        <v>30.95</v>
      </c>
      <c r="M1129" s="3">
        <v>32.5</v>
      </c>
      <c r="N1129" s="3">
        <v>64.99</v>
      </c>
      <c r="O1129" s="2" t="s">
        <v>97</v>
      </c>
      <c r="P1129" s="2" t="s">
        <v>98</v>
      </c>
      <c r="Q1129" s="2" t="s">
        <v>99</v>
      </c>
      <c r="R1129" s="2" t="s">
        <v>100</v>
      </c>
      <c r="S1129" s="2" t="s">
        <v>3727</v>
      </c>
      <c r="T1129" s="2" t="s">
        <v>787</v>
      </c>
      <c r="U1129" s="2" t="s">
        <v>102</v>
      </c>
      <c r="V1129" s="2" t="s">
        <v>677</v>
      </c>
      <c r="W1129" s="2" t="s">
        <v>104</v>
      </c>
      <c r="X1129" s="2" t="s">
        <v>976</v>
      </c>
      <c r="Y1129" s="2" t="s">
        <v>3728</v>
      </c>
      <c r="Z1129" s="4">
        <v>448</v>
      </c>
      <c r="AA1129" s="4">
        <f>=ROUNDDOWN(18.6666666666667,0)</f>
      </c>
      <c r="AB1129" s="5">
        <v>24</v>
      </c>
      <c r="AC1129" s="2" t="s">
        <v>790</v>
      </c>
      <c r="AD1129" s="4">
        <v>400</v>
      </c>
      <c r="AE1129" s="4">
        <v>400</v>
      </c>
      <c r="AF1129" s="6">
        <v>64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/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/>
      <c r="BJ1129" s="4">
        <v>19</v>
      </c>
      <c r="BK1129" s="8">
        <v>643.2</v>
      </c>
      <c r="BL1129" s="2" t="s">
        <v>2060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1518</v>
      </c>
      <c r="BX1129" s="2" t="s">
        <v>1566</v>
      </c>
      <c r="BY1129" s="2" t="s">
        <v>112</v>
      </c>
      <c r="BZ1129" s="2" t="s">
        <v>100</v>
      </c>
    </row>
    <row r="1130">
      <c r="A1130" s="2" t="s">
        <v>3732</v>
      </c>
      <c r="B1130" s="2" t="s">
        <v>87</v>
      </c>
      <c r="C1130" s="2" t="s">
        <v>3381</v>
      </c>
      <c r="D1130" s="2" t="s">
        <v>89</v>
      </c>
      <c r="E1130" s="2" t="s">
        <v>1944</v>
      </c>
      <c r="F1130" s="2" t="s">
        <v>3724</v>
      </c>
      <c r="G1130" s="2" t="s">
        <v>2044</v>
      </c>
      <c r="H1130" s="2" t="s">
        <v>3035</v>
      </c>
      <c r="I1130" s="2" t="s">
        <v>3725</v>
      </c>
      <c r="J1130" s="2" t="s">
        <v>120</v>
      </c>
      <c r="K1130" s="2" t="s">
        <v>3726</v>
      </c>
      <c r="L1130" s="3">
        <v>35.71</v>
      </c>
      <c r="M1130" s="3">
        <v>37.5</v>
      </c>
      <c r="N1130" s="3">
        <v>74.99</v>
      </c>
      <c r="O1130" s="2" t="s">
        <v>97</v>
      </c>
      <c r="P1130" s="2" t="s">
        <v>98</v>
      </c>
      <c r="Q1130" s="2" t="s">
        <v>99</v>
      </c>
      <c r="R1130" s="2" t="s">
        <v>100</v>
      </c>
      <c r="S1130" s="2" t="s">
        <v>3727</v>
      </c>
      <c r="T1130" s="2" t="s">
        <v>787</v>
      </c>
      <c r="U1130" s="2" t="s">
        <v>102</v>
      </c>
      <c r="V1130" s="2" t="s">
        <v>677</v>
      </c>
      <c r="W1130" s="2" t="s">
        <v>104</v>
      </c>
      <c r="X1130" s="2" t="s">
        <v>976</v>
      </c>
      <c r="Y1130" s="2" t="s">
        <v>3728</v>
      </c>
      <c r="Z1130" s="4">
        <v>321</v>
      </c>
      <c r="AA1130" s="4">
        <f>=ROUNDDOWN(22.9285714285714,0)</f>
      </c>
      <c r="AB1130" s="5">
        <v>14</v>
      </c>
      <c r="AC1130" s="2" t="s">
        <v>790</v>
      </c>
      <c r="AD1130" s="4">
        <v>120</v>
      </c>
      <c r="AE1130" s="4">
        <v>120</v>
      </c>
      <c r="AF1130" s="6">
        <v>64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/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/>
      <c r="BJ1130" s="4">
        <v>13</v>
      </c>
      <c r="BK1130" s="8">
        <v>501.41</v>
      </c>
      <c r="BL1130" s="2" t="s">
        <v>3733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1518</v>
      </c>
      <c r="BX1130" s="2" t="s">
        <v>2112</v>
      </c>
      <c r="BY1130" s="2" t="s">
        <v>112</v>
      </c>
      <c r="BZ1130" s="2" t="s">
        <v>100</v>
      </c>
    </row>
    <row r="1131">
      <c r="A1131" s="2" t="s">
        <v>3734</v>
      </c>
      <c r="B1131" s="2" t="s">
        <v>87</v>
      </c>
      <c r="C1131" s="2" t="s">
        <v>3381</v>
      </c>
      <c r="D1131" s="2" t="s">
        <v>89</v>
      </c>
      <c r="E1131" s="2" t="s">
        <v>1944</v>
      </c>
      <c r="F1131" s="2" t="s">
        <v>3724</v>
      </c>
      <c r="G1131" s="2" t="s">
        <v>2044</v>
      </c>
      <c r="H1131" s="2" t="s">
        <v>3035</v>
      </c>
      <c r="I1131" s="2" t="s">
        <v>3725</v>
      </c>
      <c r="J1131" s="2" t="s">
        <v>124</v>
      </c>
      <c r="K1131" s="2" t="s">
        <v>3726</v>
      </c>
      <c r="L1131" s="3">
        <v>35.71</v>
      </c>
      <c r="M1131" s="3">
        <v>37.5</v>
      </c>
      <c r="N1131" s="3">
        <v>74.99</v>
      </c>
      <c r="O1131" s="2" t="s">
        <v>97</v>
      </c>
      <c r="P1131" s="2" t="s">
        <v>98</v>
      </c>
      <c r="Q1131" s="2" t="s">
        <v>99</v>
      </c>
      <c r="R1131" s="2" t="s">
        <v>100</v>
      </c>
      <c r="S1131" s="2" t="s">
        <v>3727</v>
      </c>
      <c r="T1131" s="2" t="s">
        <v>787</v>
      </c>
      <c r="U1131" s="2" t="s">
        <v>102</v>
      </c>
      <c r="V1131" s="2" t="s">
        <v>677</v>
      </c>
      <c r="W1131" s="2" t="s">
        <v>104</v>
      </c>
      <c r="X1131" s="2" t="s">
        <v>976</v>
      </c>
      <c r="Y1131" s="2" t="s">
        <v>3728</v>
      </c>
      <c r="Z1131" s="4">
        <v>232</v>
      </c>
      <c r="AA1131" s="4">
        <f>=ROUNDDOWN(38.6666666666667,0)</f>
      </c>
      <c r="AB1131" s="5">
        <v>6</v>
      </c>
      <c r="AC1131" s="2" t="s">
        <v>790</v>
      </c>
      <c r="AD1131" s="4">
        <v>90</v>
      </c>
      <c r="AE1131" s="4">
        <v>90</v>
      </c>
      <c r="AF1131" s="6">
        <v>64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/>
      <c r="BJ1131" s="4">
        <v>6</v>
      </c>
      <c r="BK1131" s="8">
        <v>245.98</v>
      </c>
      <c r="BL1131" s="2" t="s">
        <v>2195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1518</v>
      </c>
      <c r="BX1131" s="2" t="s">
        <v>3735</v>
      </c>
      <c r="BY1131" s="2" t="s">
        <v>112</v>
      </c>
      <c r="BZ1131" s="2" t="s">
        <v>100</v>
      </c>
    </row>
    <row r="1132">
      <c r="A1132" s="2" t="s">
        <v>3736</v>
      </c>
      <c r="B1132" s="2" t="s">
        <v>87</v>
      </c>
      <c r="C1132" s="2" t="s">
        <v>3381</v>
      </c>
      <c r="D1132" s="2" t="s">
        <v>89</v>
      </c>
      <c r="E1132" s="2" t="s">
        <v>1944</v>
      </c>
      <c r="F1132" s="2" t="s">
        <v>3737</v>
      </c>
      <c r="G1132" s="2" t="s">
        <v>3738</v>
      </c>
      <c r="H1132" s="2" t="s">
        <v>3739</v>
      </c>
      <c r="I1132" s="2" t="s">
        <v>3532</v>
      </c>
      <c r="J1132" s="2" t="s">
        <v>114</v>
      </c>
      <c r="K1132" s="2" t="s">
        <v>3740</v>
      </c>
      <c r="L1132" s="3">
        <v>59.27</v>
      </c>
      <c r="M1132" s="3">
        <v>62.23</v>
      </c>
      <c r="N1132" s="3">
        <v>109.99</v>
      </c>
      <c r="O1132" s="2" t="s">
        <v>473</v>
      </c>
      <c r="P1132" s="2" t="s">
        <v>447</v>
      </c>
      <c r="Q1132" s="2" t="s">
        <v>99</v>
      </c>
      <c r="R1132" s="2" t="s">
        <v>100</v>
      </c>
      <c r="S1132" s="2" t="s">
        <v>3741</v>
      </c>
      <c r="T1132" s="2" t="s">
        <v>100</v>
      </c>
      <c r="U1132" s="2" t="s">
        <v>343</v>
      </c>
      <c r="V1132" s="2" t="s">
        <v>663</v>
      </c>
      <c r="W1132" s="2" t="s">
        <v>976</v>
      </c>
      <c r="X1132" s="2" t="s">
        <v>1241</v>
      </c>
      <c r="Y1132" s="2" t="s">
        <v>131</v>
      </c>
      <c r="Z1132" s="4">
        <v>133</v>
      </c>
      <c r="AA1132" s="4">
        <f>=ROUNDDOWN(26.6,0)</f>
      </c>
      <c r="AB1132" s="5">
        <v>5</v>
      </c>
      <c r="AC1132" s="2" t="s">
        <v>100</v>
      </c>
      <c r="AD1132" s="4"/>
      <c r="AE1132" s="4"/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/>
      <c r="BJ1132" s="4">
        <v>8</v>
      </c>
      <c r="BK1132" s="8">
        <v>345.91</v>
      </c>
      <c r="BL1132" s="2" t="s">
        <v>1844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544</v>
      </c>
      <c r="BX1132" s="2" t="s">
        <v>595</v>
      </c>
      <c r="BY1132" s="2" t="s">
        <v>112</v>
      </c>
      <c r="BZ1132" s="2" t="s">
        <v>100</v>
      </c>
    </row>
    <row r="1133">
      <c r="A1133" s="2" t="s">
        <v>3742</v>
      </c>
      <c r="B1133" s="2" t="s">
        <v>87</v>
      </c>
      <c r="C1133" s="2" t="s">
        <v>3381</v>
      </c>
      <c r="D1133" s="2" t="s">
        <v>89</v>
      </c>
      <c r="E1133" s="2" t="s">
        <v>1944</v>
      </c>
      <c r="F1133" s="2" t="s">
        <v>3737</v>
      </c>
      <c r="G1133" s="2" t="s">
        <v>3738</v>
      </c>
      <c r="H1133" s="2" t="s">
        <v>3739</v>
      </c>
      <c r="I1133" s="2" t="s">
        <v>3527</v>
      </c>
      <c r="J1133" s="2" t="s">
        <v>2236</v>
      </c>
      <c r="K1133" s="2" t="s">
        <v>3743</v>
      </c>
      <c r="L1133" s="3">
        <v>49.39</v>
      </c>
      <c r="M1133" s="3">
        <v>51.86</v>
      </c>
      <c r="N1133" s="3">
        <v>89.99</v>
      </c>
      <c r="O1133" s="2" t="s">
        <v>97</v>
      </c>
      <c r="P1133" s="2" t="s">
        <v>447</v>
      </c>
      <c r="Q1133" s="2" t="s">
        <v>99</v>
      </c>
      <c r="R1133" s="2" t="s">
        <v>100</v>
      </c>
      <c r="S1133" s="2" t="s">
        <v>3744</v>
      </c>
      <c r="T1133" s="2" t="s">
        <v>100</v>
      </c>
      <c r="U1133" s="2" t="s">
        <v>102</v>
      </c>
      <c r="V1133" s="2" t="s">
        <v>663</v>
      </c>
      <c r="W1133" s="2" t="s">
        <v>976</v>
      </c>
      <c r="X1133" s="2" t="s">
        <v>1241</v>
      </c>
      <c r="Y1133" s="2" t="s">
        <v>131</v>
      </c>
      <c r="Z1133" s="4">
        <v>19</v>
      </c>
      <c r="AA1133" s="4">
        <f>=ROUNDDOWN(3.8,0)</f>
      </c>
      <c r="AB1133" s="5">
        <v>5</v>
      </c>
      <c r="AC1133" s="2" t="s">
        <v>100</v>
      </c>
      <c r="AD1133" s="4"/>
      <c r="AE1133" s="4"/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 t="s">
        <v>100</v>
      </c>
      <c r="AW1133" s="8" t="s">
        <v>100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/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/>
      <c r="BJ1133" s="4">
        <v>8</v>
      </c>
      <c r="BK1133" s="8">
        <v>226.21</v>
      </c>
      <c r="BL1133" s="2" t="s">
        <v>2213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544</v>
      </c>
      <c r="BX1133" s="2" t="s">
        <v>2143</v>
      </c>
      <c r="BY1133" s="2" t="s">
        <v>112</v>
      </c>
      <c r="BZ1133" s="2" t="s">
        <v>100</v>
      </c>
    </row>
    <row r="1134">
      <c r="A1134" s="2" t="s">
        <v>3745</v>
      </c>
      <c r="B1134" s="2" t="s">
        <v>87</v>
      </c>
      <c r="C1134" s="2" t="s">
        <v>3381</v>
      </c>
      <c r="D1134" s="2" t="s">
        <v>89</v>
      </c>
      <c r="E1134" s="2" t="s">
        <v>1944</v>
      </c>
      <c r="F1134" s="2" t="s">
        <v>3737</v>
      </c>
      <c r="G1134" s="2" t="s">
        <v>3738</v>
      </c>
      <c r="H1134" s="2" t="s">
        <v>3739</v>
      </c>
      <c r="I1134" s="2" t="s">
        <v>3532</v>
      </c>
      <c r="J1134" s="2" t="s">
        <v>95</v>
      </c>
      <c r="K1134" s="2" t="s">
        <v>3743</v>
      </c>
      <c r="L1134" s="3">
        <v>54.33</v>
      </c>
      <c r="M1134" s="3">
        <v>57.05</v>
      </c>
      <c r="N1134" s="3">
        <v>99.99</v>
      </c>
      <c r="O1134" s="2" t="s">
        <v>97</v>
      </c>
      <c r="P1134" s="2" t="s">
        <v>447</v>
      </c>
      <c r="Q1134" s="2" t="s">
        <v>99</v>
      </c>
      <c r="R1134" s="2" t="s">
        <v>100</v>
      </c>
      <c r="S1134" s="2" t="s">
        <v>3744</v>
      </c>
      <c r="T1134" s="2" t="s">
        <v>100</v>
      </c>
      <c r="U1134" s="2" t="s">
        <v>343</v>
      </c>
      <c r="V1134" s="2" t="s">
        <v>663</v>
      </c>
      <c r="W1134" s="2" t="s">
        <v>976</v>
      </c>
      <c r="X1134" s="2" t="s">
        <v>1241</v>
      </c>
      <c r="Y1134" s="2" t="s">
        <v>131</v>
      </c>
      <c r="Z1134" s="4">
        <v>87</v>
      </c>
      <c r="AA1134" s="4">
        <f>=ROUNDDOWN(17.4,0)</f>
      </c>
      <c r="AB1134" s="5">
        <v>5</v>
      </c>
      <c r="AC1134" s="2" t="s">
        <v>100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/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/>
      <c r="BJ1134" s="4">
        <v>10</v>
      </c>
      <c r="BK1134" s="8">
        <v>368.62</v>
      </c>
      <c r="BL1134" s="2" t="s">
        <v>325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544</v>
      </c>
      <c r="BX1134" s="2" t="s">
        <v>621</v>
      </c>
      <c r="BY1134" s="2" t="s">
        <v>112</v>
      </c>
      <c r="BZ1134" s="2" t="s">
        <v>100</v>
      </c>
    </row>
    <row r="1135">
      <c r="A1135" s="2" t="s">
        <v>3746</v>
      </c>
      <c r="B1135" s="2" t="s">
        <v>87</v>
      </c>
      <c r="C1135" s="2" t="s">
        <v>3381</v>
      </c>
      <c r="D1135" s="2" t="s">
        <v>89</v>
      </c>
      <c r="E1135" s="2" t="s">
        <v>1944</v>
      </c>
      <c r="F1135" s="2" t="s">
        <v>3737</v>
      </c>
      <c r="G1135" s="2" t="s">
        <v>3738</v>
      </c>
      <c r="H1135" s="2" t="s">
        <v>3739</v>
      </c>
      <c r="I1135" s="2" t="s">
        <v>3532</v>
      </c>
      <c r="J1135" s="2" t="s">
        <v>114</v>
      </c>
      <c r="K1135" s="2" t="s">
        <v>3743</v>
      </c>
      <c r="L1135" s="3">
        <v>59.27</v>
      </c>
      <c r="M1135" s="3">
        <v>62.23</v>
      </c>
      <c r="N1135" s="3">
        <v>109.99</v>
      </c>
      <c r="O1135" s="2" t="s">
        <v>473</v>
      </c>
      <c r="P1135" s="2" t="s">
        <v>447</v>
      </c>
      <c r="Q1135" s="2" t="s">
        <v>99</v>
      </c>
      <c r="R1135" s="2" t="s">
        <v>100</v>
      </c>
      <c r="S1135" s="2" t="s">
        <v>3744</v>
      </c>
      <c r="T1135" s="2" t="s">
        <v>100</v>
      </c>
      <c r="U1135" s="2" t="s">
        <v>343</v>
      </c>
      <c r="V1135" s="2" t="s">
        <v>663</v>
      </c>
      <c r="W1135" s="2" t="s">
        <v>976</v>
      </c>
      <c r="X1135" s="2" t="s">
        <v>1241</v>
      </c>
      <c r="Y1135" s="2" t="s">
        <v>131</v>
      </c>
      <c r="Z1135" s="4">
        <v>1228</v>
      </c>
      <c r="AA1135" s="4">
        <f>=ROUNDDOWN(153.5,0)</f>
      </c>
      <c r="AB1135" s="5">
        <v>8</v>
      </c>
      <c r="AC1135" s="2" t="s">
        <v>100</v>
      </c>
      <c r="AD1135" s="4"/>
      <c r="AE1135" s="4"/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/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/>
      <c r="BJ1135" s="4">
        <v>21</v>
      </c>
      <c r="BK1135" s="8">
        <v>860.98</v>
      </c>
      <c r="BL1135" s="2" t="s">
        <v>3747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544</v>
      </c>
      <c r="BX1135" s="2" t="s">
        <v>170</v>
      </c>
      <c r="BY1135" s="2" t="s">
        <v>112</v>
      </c>
      <c r="BZ1135" s="2" t="s">
        <v>100</v>
      </c>
    </row>
    <row r="1136">
      <c r="A1136" s="2" t="s">
        <v>3748</v>
      </c>
      <c r="B1136" s="2" t="s">
        <v>87</v>
      </c>
      <c r="C1136" s="2" t="s">
        <v>3381</v>
      </c>
      <c r="D1136" s="2" t="s">
        <v>89</v>
      </c>
      <c r="E1136" s="2" t="s">
        <v>1944</v>
      </c>
      <c r="F1136" s="2" t="s">
        <v>3737</v>
      </c>
      <c r="G1136" s="2" t="s">
        <v>3738</v>
      </c>
      <c r="H1136" s="2" t="s">
        <v>3739</v>
      </c>
      <c r="I1136" s="2" t="s">
        <v>3532</v>
      </c>
      <c r="J1136" s="2" t="s">
        <v>120</v>
      </c>
      <c r="K1136" s="2" t="s">
        <v>3743</v>
      </c>
      <c r="L1136" s="3">
        <v>64.21</v>
      </c>
      <c r="M1136" s="3">
        <v>67.42</v>
      </c>
      <c r="N1136" s="3">
        <v>119.99</v>
      </c>
      <c r="O1136" s="2" t="s">
        <v>97</v>
      </c>
      <c r="P1136" s="2" t="s">
        <v>447</v>
      </c>
      <c r="Q1136" s="2" t="s">
        <v>99</v>
      </c>
      <c r="R1136" s="2" t="s">
        <v>100</v>
      </c>
      <c r="S1136" s="2" t="s">
        <v>3744</v>
      </c>
      <c r="T1136" s="2" t="s">
        <v>100</v>
      </c>
      <c r="U1136" s="2" t="s">
        <v>343</v>
      </c>
      <c r="V1136" s="2" t="s">
        <v>663</v>
      </c>
      <c r="W1136" s="2" t="s">
        <v>976</v>
      </c>
      <c r="X1136" s="2" t="s">
        <v>1241</v>
      </c>
      <c r="Y1136" s="2" t="s">
        <v>131</v>
      </c>
      <c r="Z1136" s="4">
        <v>174</v>
      </c>
      <c r="AA1136" s="4">
        <f>=ROUNDDOWN(17.4,0)</f>
      </c>
      <c r="AB1136" s="5">
        <v>10</v>
      </c>
      <c r="AC1136" s="2" t="s">
        <v>100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/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/>
      <c r="BJ1136" s="4">
        <v>14</v>
      </c>
      <c r="BK1136" s="8">
        <v>798.94</v>
      </c>
      <c r="BL1136" s="2" t="s">
        <v>3749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544</v>
      </c>
      <c r="BX1136" s="2" t="s">
        <v>1245</v>
      </c>
      <c r="BY1136" s="2" t="s">
        <v>112</v>
      </c>
      <c r="BZ1136" s="2" t="s">
        <v>100</v>
      </c>
    </row>
    <row r="1137">
      <c r="A1137" s="2" t="s">
        <v>3750</v>
      </c>
      <c r="B1137" s="2" t="s">
        <v>87</v>
      </c>
      <c r="C1137" s="2" t="s">
        <v>3381</v>
      </c>
      <c r="D1137" s="2" t="s">
        <v>89</v>
      </c>
      <c r="E1137" s="2" t="s">
        <v>1944</v>
      </c>
      <c r="F1137" s="2" t="s">
        <v>3737</v>
      </c>
      <c r="G1137" s="2" t="s">
        <v>3738</v>
      </c>
      <c r="H1137" s="2" t="s">
        <v>3739</v>
      </c>
      <c r="I1137" s="2" t="s">
        <v>3532</v>
      </c>
      <c r="J1137" s="2" t="s">
        <v>124</v>
      </c>
      <c r="K1137" s="2" t="s">
        <v>3743</v>
      </c>
      <c r="L1137" s="3">
        <v>64.21</v>
      </c>
      <c r="M1137" s="3">
        <v>67.42</v>
      </c>
      <c r="N1137" s="3">
        <v>119.99</v>
      </c>
      <c r="O1137" s="2" t="s">
        <v>97</v>
      </c>
      <c r="P1137" s="2" t="s">
        <v>447</v>
      </c>
      <c r="Q1137" s="2" t="s">
        <v>99</v>
      </c>
      <c r="R1137" s="2" t="s">
        <v>100</v>
      </c>
      <c r="S1137" s="2" t="s">
        <v>3744</v>
      </c>
      <c r="T1137" s="2" t="s">
        <v>100</v>
      </c>
      <c r="U1137" s="2" t="s">
        <v>343</v>
      </c>
      <c r="V1137" s="2" t="s">
        <v>663</v>
      </c>
      <c r="W1137" s="2" t="s">
        <v>976</v>
      </c>
      <c r="X1137" s="2" t="s">
        <v>1241</v>
      </c>
      <c r="Y1137" s="2" t="s">
        <v>131</v>
      </c>
      <c r="Z1137" s="4">
        <v>107</v>
      </c>
      <c r="AA1137" s="4">
        <f>=ROUNDDOWN(17.8333333333333,0)</f>
      </c>
      <c r="AB1137" s="5">
        <v>6</v>
      </c>
      <c r="AC1137" s="2" t="s">
        <v>100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/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/>
      <c r="BJ1137" s="4">
        <v>11</v>
      </c>
      <c r="BK1137" s="8">
        <v>512.93</v>
      </c>
      <c r="BL1137" s="2" t="s">
        <v>2756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544</v>
      </c>
      <c r="BX1137" s="2" t="s">
        <v>1842</v>
      </c>
      <c r="BY1137" s="2" t="s">
        <v>112</v>
      </c>
      <c r="BZ1137" s="2" t="s">
        <v>100</v>
      </c>
    </row>
    <row r="1138">
      <c r="A1138" s="2" t="s">
        <v>3751</v>
      </c>
      <c r="B1138" s="2" t="s">
        <v>87</v>
      </c>
      <c r="C1138" s="2" t="s">
        <v>3381</v>
      </c>
      <c r="D1138" s="2" t="s">
        <v>89</v>
      </c>
      <c r="E1138" s="2" t="s">
        <v>1944</v>
      </c>
      <c r="F1138" s="2" t="s">
        <v>3752</v>
      </c>
      <c r="G1138" s="2" t="s">
        <v>3753</v>
      </c>
      <c r="H1138" s="2" t="s">
        <v>3754</v>
      </c>
      <c r="I1138" s="2" t="s">
        <v>3755</v>
      </c>
      <c r="J1138" s="2" t="s">
        <v>2236</v>
      </c>
      <c r="K1138" s="2" t="s">
        <v>3756</v>
      </c>
      <c r="L1138" s="3">
        <v>39.99</v>
      </c>
      <c r="M1138" s="3">
        <v>41.99</v>
      </c>
      <c r="N1138" s="3">
        <v>79.99</v>
      </c>
      <c r="O1138" s="2" t="s">
        <v>473</v>
      </c>
      <c r="P1138" s="2" t="s">
        <v>447</v>
      </c>
      <c r="Q1138" s="2" t="s">
        <v>99</v>
      </c>
      <c r="R1138" s="2" t="s">
        <v>100</v>
      </c>
      <c r="S1138" s="2" t="s">
        <v>3757</v>
      </c>
      <c r="T1138" s="2" t="s">
        <v>787</v>
      </c>
      <c r="U1138" s="2" t="s">
        <v>676</v>
      </c>
      <c r="V1138" s="2" t="s">
        <v>1112</v>
      </c>
      <c r="W1138" s="2" t="s">
        <v>756</v>
      </c>
      <c r="X1138" s="2" t="s">
        <v>976</v>
      </c>
      <c r="Y1138" s="2" t="s">
        <v>3758</v>
      </c>
      <c r="Z1138" s="4">
        <v>231</v>
      </c>
      <c r="AA1138" s="4">
        <f>=ROUNDDOWN(115.5,0)</f>
      </c>
      <c r="AB1138" s="5">
        <v>2</v>
      </c>
      <c r="AC1138" s="2" t="s">
        <v>593</v>
      </c>
      <c r="AD1138" s="4">
        <v>130</v>
      </c>
      <c r="AE1138" s="4">
        <v>130</v>
      </c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/>
      <c r="AQ1138" s="8"/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/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/>
      <c r="BJ1138" s="4">
        <v>3</v>
      </c>
      <c r="BK1138" s="8">
        <v>118.87</v>
      </c>
      <c r="BL1138" s="2" t="s">
        <v>3554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270</v>
      </c>
      <c r="BX1138" s="2" t="s">
        <v>3759</v>
      </c>
      <c r="BY1138" s="2" t="s">
        <v>112</v>
      </c>
      <c r="BZ1138" s="2" t="s">
        <v>100</v>
      </c>
    </row>
    <row r="1139">
      <c r="A1139" s="2" t="s">
        <v>3760</v>
      </c>
      <c r="B1139" s="2" t="s">
        <v>87</v>
      </c>
      <c r="C1139" s="2" t="s">
        <v>3381</v>
      </c>
      <c r="D1139" s="2" t="s">
        <v>89</v>
      </c>
      <c r="E1139" s="2" t="s">
        <v>1944</v>
      </c>
      <c r="F1139" s="2" t="s">
        <v>3752</v>
      </c>
      <c r="G1139" s="2" t="s">
        <v>3753</v>
      </c>
      <c r="H1139" s="2" t="s">
        <v>3754</v>
      </c>
      <c r="I1139" s="2" t="s">
        <v>3761</v>
      </c>
      <c r="J1139" s="2" t="s">
        <v>95</v>
      </c>
      <c r="K1139" s="2" t="s">
        <v>3756</v>
      </c>
      <c r="L1139" s="3">
        <v>44.99</v>
      </c>
      <c r="M1139" s="3">
        <v>47.24</v>
      </c>
      <c r="N1139" s="3">
        <v>89.99</v>
      </c>
      <c r="O1139" s="2" t="s">
        <v>473</v>
      </c>
      <c r="P1139" s="2" t="s">
        <v>447</v>
      </c>
      <c r="Q1139" s="2" t="s">
        <v>99</v>
      </c>
      <c r="R1139" s="2" t="s">
        <v>100</v>
      </c>
      <c r="S1139" s="2" t="s">
        <v>3757</v>
      </c>
      <c r="T1139" s="2" t="s">
        <v>787</v>
      </c>
      <c r="U1139" s="2" t="s">
        <v>283</v>
      </c>
      <c r="V1139" s="2" t="s">
        <v>1112</v>
      </c>
      <c r="W1139" s="2" t="s">
        <v>756</v>
      </c>
      <c r="X1139" s="2" t="s">
        <v>976</v>
      </c>
      <c r="Y1139" s="2" t="s">
        <v>3758</v>
      </c>
      <c r="Z1139" s="4">
        <v>165</v>
      </c>
      <c r="AA1139" s="4">
        <f>=ROUNDDOWN(33,0)</f>
      </c>
      <c r="AB1139" s="5">
        <v>5</v>
      </c>
      <c r="AC1139" s="2" t="s">
        <v>593</v>
      </c>
      <c r="AD1139" s="4">
        <v>80</v>
      </c>
      <c r="AE1139" s="4">
        <v>80</v>
      </c>
      <c r="AF1139" s="6">
        <v>65</v>
      </c>
      <c r="AG1139" s="6"/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/>
      <c r="BJ1139" s="4">
        <v>1</v>
      </c>
      <c r="BK1139" s="8">
        <v>39.74</v>
      </c>
      <c r="BL1139" s="2" t="s">
        <v>133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3762</v>
      </c>
      <c r="BX1139" s="2" t="s">
        <v>3763</v>
      </c>
      <c r="BY1139" s="2" t="s">
        <v>112</v>
      </c>
      <c r="BZ1139" s="2" t="s">
        <v>100</v>
      </c>
    </row>
    <row r="1140">
      <c r="A1140" s="2" t="s">
        <v>3764</v>
      </c>
      <c r="B1140" s="2" t="s">
        <v>87</v>
      </c>
      <c r="C1140" s="2" t="s">
        <v>3381</v>
      </c>
      <c r="D1140" s="2" t="s">
        <v>89</v>
      </c>
      <c r="E1140" s="2" t="s">
        <v>1944</v>
      </c>
      <c r="F1140" s="2" t="s">
        <v>3752</v>
      </c>
      <c r="G1140" s="2" t="s">
        <v>3753</v>
      </c>
      <c r="H1140" s="2" t="s">
        <v>3754</v>
      </c>
      <c r="I1140" s="2" t="s">
        <v>3761</v>
      </c>
      <c r="J1140" s="2" t="s">
        <v>114</v>
      </c>
      <c r="K1140" s="2" t="s">
        <v>3756</v>
      </c>
      <c r="L1140" s="3">
        <v>49.99</v>
      </c>
      <c r="M1140" s="3">
        <v>52.49</v>
      </c>
      <c r="N1140" s="3">
        <v>99.99</v>
      </c>
      <c r="O1140" s="2" t="s">
        <v>473</v>
      </c>
      <c r="P1140" s="2" t="s">
        <v>447</v>
      </c>
      <c r="Q1140" s="2" t="s">
        <v>99</v>
      </c>
      <c r="R1140" s="2" t="s">
        <v>100</v>
      </c>
      <c r="S1140" s="2" t="s">
        <v>3757</v>
      </c>
      <c r="T1140" s="2" t="s">
        <v>787</v>
      </c>
      <c r="U1140" s="2" t="s">
        <v>283</v>
      </c>
      <c r="V1140" s="2" t="s">
        <v>1112</v>
      </c>
      <c r="W1140" s="2" t="s">
        <v>756</v>
      </c>
      <c r="X1140" s="2" t="s">
        <v>976</v>
      </c>
      <c r="Y1140" s="2" t="s">
        <v>3758</v>
      </c>
      <c r="Z1140" s="4">
        <v>283</v>
      </c>
      <c r="AA1140" s="4">
        <f>=ROUNDDOWN(70.75,0)</f>
      </c>
      <c r="AB1140" s="5">
        <v>4</v>
      </c>
      <c r="AC1140" s="2" t="s">
        <v>593</v>
      </c>
      <c r="AD1140" s="4">
        <v>160</v>
      </c>
      <c r="AE1140" s="4">
        <v>160</v>
      </c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/>
      <c r="BJ1140" s="4">
        <v>10</v>
      </c>
      <c r="BK1140" s="8">
        <v>552.65</v>
      </c>
      <c r="BL1140" s="2" t="s">
        <v>388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266</v>
      </c>
      <c r="BX1140" s="2" t="s">
        <v>2201</v>
      </c>
      <c r="BY1140" s="2" t="s">
        <v>112</v>
      </c>
      <c r="BZ1140" s="2" t="s">
        <v>100</v>
      </c>
    </row>
    <row r="1141">
      <c r="A1141" s="2" t="s">
        <v>3765</v>
      </c>
      <c r="B1141" s="2" t="s">
        <v>87</v>
      </c>
      <c r="C1141" s="2" t="s">
        <v>3381</v>
      </c>
      <c r="D1141" s="2" t="s">
        <v>89</v>
      </c>
      <c r="E1141" s="2" t="s">
        <v>1944</v>
      </c>
      <c r="F1141" s="2" t="s">
        <v>3752</v>
      </c>
      <c r="G1141" s="2" t="s">
        <v>3753</v>
      </c>
      <c r="H1141" s="2" t="s">
        <v>3754</v>
      </c>
      <c r="I1141" s="2" t="s">
        <v>3761</v>
      </c>
      <c r="J1141" s="2" t="s">
        <v>120</v>
      </c>
      <c r="K1141" s="2" t="s">
        <v>3756</v>
      </c>
      <c r="L1141" s="3">
        <v>54.99</v>
      </c>
      <c r="M1141" s="3">
        <v>57.74</v>
      </c>
      <c r="N1141" s="3">
        <v>109.99</v>
      </c>
      <c r="O1141" s="2" t="s">
        <v>473</v>
      </c>
      <c r="P1141" s="2" t="s">
        <v>447</v>
      </c>
      <c r="Q1141" s="2" t="s">
        <v>99</v>
      </c>
      <c r="R1141" s="2" t="s">
        <v>100</v>
      </c>
      <c r="S1141" s="2" t="s">
        <v>3757</v>
      </c>
      <c r="T1141" s="2" t="s">
        <v>787</v>
      </c>
      <c r="U1141" s="2" t="s">
        <v>283</v>
      </c>
      <c r="V1141" s="2" t="s">
        <v>1112</v>
      </c>
      <c r="W1141" s="2" t="s">
        <v>756</v>
      </c>
      <c r="X1141" s="2" t="s">
        <v>976</v>
      </c>
      <c r="Y1141" s="2" t="s">
        <v>3758</v>
      </c>
      <c r="Z1141" s="4">
        <v>294</v>
      </c>
      <c r="AA1141" s="4">
        <f>=ROUNDDOWN(98,0)</f>
      </c>
      <c r="AB1141" s="5">
        <v>3</v>
      </c>
      <c r="AC1141" s="2" t="s">
        <v>593</v>
      </c>
      <c r="AD1141" s="4">
        <v>150</v>
      </c>
      <c r="AE1141" s="4">
        <v>150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/>
      <c r="AQ1141" s="8"/>
      <c r="AR1141" s="4"/>
      <c r="AS1141" s="8"/>
      <c r="AT1141" s="7"/>
      <c r="AU1141" s="7"/>
      <c r="AV1141" s="4" t="s">
        <v>100</v>
      </c>
      <c r="AW1141" s="8" t="s">
        <v>100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/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/>
      <c r="BJ1141" s="4">
        <v>1</v>
      </c>
      <c r="BK1141" s="8">
        <v>53.82</v>
      </c>
      <c r="BL1141" s="2" t="s">
        <v>3766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270</v>
      </c>
      <c r="BX1141" s="2" t="s">
        <v>3767</v>
      </c>
      <c r="BY1141" s="2" t="s">
        <v>112</v>
      </c>
      <c r="BZ1141" s="2" t="s">
        <v>100</v>
      </c>
    </row>
    <row r="1142">
      <c r="A1142" s="2" t="s">
        <v>3768</v>
      </c>
      <c r="B1142" s="2" t="s">
        <v>87</v>
      </c>
      <c r="C1142" s="2" t="s">
        <v>3381</v>
      </c>
      <c r="D1142" s="2" t="s">
        <v>89</v>
      </c>
      <c r="E1142" s="2" t="s">
        <v>1944</v>
      </c>
      <c r="F1142" s="2" t="s">
        <v>3752</v>
      </c>
      <c r="G1142" s="2" t="s">
        <v>3753</v>
      </c>
      <c r="H1142" s="2" t="s">
        <v>3754</v>
      </c>
      <c r="I1142" s="2" t="s">
        <v>3761</v>
      </c>
      <c r="J1142" s="2" t="s">
        <v>124</v>
      </c>
      <c r="K1142" s="2" t="s">
        <v>3756</v>
      </c>
      <c r="L1142" s="3">
        <v>54.99</v>
      </c>
      <c r="M1142" s="3">
        <v>57.74</v>
      </c>
      <c r="N1142" s="3">
        <v>109.99</v>
      </c>
      <c r="O1142" s="2" t="s">
        <v>473</v>
      </c>
      <c r="P1142" s="2" t="s">
        <v>447</v>
      </c>
      <c r="Q1142" s="2" t="s">
        <v>99</v>
      </c>
      <c r="R1142" s="2" t="s">
        <v>100</v>
      </c>
      <c r="S1142" s="2" t="s">
        <v>3757</v>
      </c>
      <c r="T1142" s="2" t="s">
        <v>787</v>
      </c>
      <c r="U1142" s="2" t="s">
        <v>283</v>
      </c>
      <c r="V1142" s="2" t="s">
        <v>1112</v>
      </c>
      <c r="W1142" s="2" t="s">
        <v>756</v>
      </c>
      <c r="X1142" s="2" t="s">
        <v>976</v>
      </c>
      <c r="Y1142" s="2" t="s">
        <v>3758</v>
      </c>
      <c r="Z1142" s="4">
        <v>232</v>
      </c>
      <c r="AA1142" s="4">
        <f>=ROUNDDOWN(77.3333333333333,0)</f>
      </c>
      <c r="AB1142" s="5">
        <v>3</v>
      </c>
      <c r="AC1142" s="2" t="s">
        <v>593</v>
      </c>
      <c r="AD1142" s="4">
        <v>110</v>
      </c>
      <c r="AE1142" s="4">
        <v>110</v>
      </c>
      <c r="AF1142" s="6">
        <v>65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/>
      <c r="AQ1142" s="8"/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/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/>
      <c r="BJ1142" s="4">
        <v>1</v>
      </c>
      <c r="BK1142" s="8">
        <v>55.91</v>
      </c>
      <c r="BL1142" s="2" t="s">
        <v>1310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3762</v>
      </c>
      <c r="BX1142" s="2" t="s">
        <v>3711</v>
      </c>
      <c r="BY1142" s="2" t="s">
        <v>112</v>
      </c>
      <c r="BZ1142" s="2" t="s">
        <v>100</v>
      </c>
    </row>
    <row r="1143">
      <c r="A1143" s="2" t="s">
        <v>3769</v>
      </c>
      <c r="B1143" s="2" t="s">
        <v>87</v>
      </c>
      <c r="C1143" s="2" t="s">
        <v>3381</v>
      </c>
      <c r="D1143" s="2" t="s">
        <v>89</v>
      </c>
      <c r="E1143" s="2" t="s">
        <v>1944</v>
      </c>
      <c r="F1143" s="2" t="s">
        <v>3770</v>
      </c>
      <c r="G1143" s="2" t="s">
        <v>3771</v>
      </c>
      <c r="H1143" s="2" t="s">
        <v>3772</v>
      </c>
      <c r="I1143" s="2" t="s">
        <v>3773</v>
      </c>
      <c r="J1143" s="2" t="s">
        <v>95</v>
      </c>
      <c r="K1143" s="2" t="s">
        <v>3774</v>
      </c>
      <c r="L1143" s="3">
        <v>24</v>
      </c>
      <c r="M1143" s="3">
        <v>25.2</v>
      </c>
      <c r="N1143" s="3">
        <v>49.99</v>
      </c>
      <c r="O1143" s="2" t="s">
        <v>473</v>
      </c>
      <c r="P1143" s="2" t="s">
        <v>447</v>
      </c>
      <c r="Q1143" s="2" t="s">
        <v>99</v>
      </c>
      <c r="R1143" s="2" t="s">
        <v>100</v>
      </c>
      <c r="S1143" s="2" t="s">
        <v>3775</v>
      </c>
      <c r="T1143" s="2" t="s">
        <v>787</v>
      </c>
      <c r="U1143" s="2" t="s">
        <v>343</v>
      </c>
      <c r="V1143" s="2" t="s">
        <v>632</v>
      </c>
      <c r="W1143" s="2" t="s">
        <v>976</v>
      </c>
      <c r="X1143" s="2" t="s">
        <v>105</v>
      </c>
      <c r="Y1143" s="2" t="s">
        <v>3776</v>
      </c>
      <c r="Z1143" s="4">
        <v>451</v>
      </c>
      <c r="AA1143" s="4">
        <f>=ROUNDDOWN(112.75,0)</f>
      </c>
      <c r="AB1143" s="5">
        <v>4</v>
      </c>
      <c r="AC1143" s="2" t="s">
        <v>100</v>
      </c>
      <c r="AD1143" s="4"/>
      <c r="AE1143" s="4"/>
      <c r="AF1143" s="6">
        <v>64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/>
      <c r="AQ1143" s="8"/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/>
      <c r="BJ1143" s="4">
        <v>2</v>
      </c>
      <c r="BK1143" s="8">
        <v>53.68</v>
      </c>
      <c r="BL1143" s="2" t="s">
        <v>1550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3637</v>
      </c>
      <c r="BX1143" s="2" t="s">
        <v>3777</v>
      </c>
      <c r="BY1143" s="2" t="s">
        <v>112</v>
      </c>
      <c r="BZ1143" s="2" t="s">
        <v>100</v>
      </c>
    </row>
    <row r="1144">
      <c r="A1144" s="2" t="s">
        <v>3778</v>
      </c>
      <c r="B1144" s="2" t="s">
        <v>87</v>
      </c>
      <c r="C1144" s="2" t="s">
        <v>3381</v>
      </c>
      <c r="D1144" s="2" t="s">
        <v>89</v>
      </c>
      <c r="E1144" s="2" t="s">
        <v>1944</v>
      </c>
      <c r="F1144" s="2" t="s">
        <v>3770</v>
      </c>
      <c r="G1144" s="2" t="s">
        <v>3771</v>
      </c>
      <c r="H1144" s="2" t="s">
        <v>3772</v>
      </c>
      <c r="I1144" s="2" t="s">
        <v>3773</v>
      </c>
      <c r="J1144" s="2" t="s">
        <v>114</v>
      </c>
      <c r="K1144" s="2" t="s">
        <v>3774</v>
      </c>
      <c r="L1144" s="3">
        <v>26.4</v>
      </c>
      <c r="M1144" s="3">
        <v>27.72</v>
      </c>
      <c r="N1144" s="3">
        <v>54.99</v>
      </c>
      <c r="O1144" s="2" t="s">
        <v>473</v>
      </c>
      <c r="P1144" s="2" t="s">
        <v>447</v>
      </c>
      <c r="Q1144" s="2" t="s">
        <v>99</v>
      </c>
      <c r="R1144" s="2" t="s">
        <v>100</v>
      </c>
      <c r="S1144" s="2" t="s">
        <v>3775</v>
      </c>
      <c r="T1144" s="2" t="s">
        <v>787</v>
      </c>
      <c r="U1144" s="2" t="s">
        <v>343</v>
      </c>
      <c r="V1144" s="2" t="s">
        <v>632</v>
      </c>
      <c r="W1144" s="2" t="s">
        <v>976</v>
      </c>
      <c r="X1144" s="2" t="s">
        <v>105</v>
      </c>
      <c r="Y1144" s="2" t="s">
        <v>3779</v>
      </c>
      <c r="Z1144" s="4">
        <v>254</v>
      </c>
      <c r="AA1144" s="4">
        <f>=ROUNDDOWN(20.32,0)</f>
      </c>
      <c r="AB1144" s="5">
        <v>12.5</v>
      </c>
      <c r="AC1144" s="2" t="s">
        <v>100</v>
      </c>
      <c r="AD1144" s="4"/>
      <c r="AE1144" s="4"/>
      <c r="AF1144" s="6">
        <v>64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/>
      <c r="AQ1144" s="8"/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/>
      <c r="BJ1144" s="4">
        <v>20</v>
      </c>
      <c r="BK1144" s="8">
        <v>552.48</v>
      </c>
      <c r="BL1144" s="2" t="s">
        <v>3780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3637</v>
      </c>
      <c r="BX1144" s="2" t="s">
        <v>567</v>
      </c>
      <c r="BY1144" s="2" t="s">
        <v>112</v>
      </c>
      <c r="BZ1144" s="2" t="s">
        <v>100</v>
      </c>
    </row>
    <row r="1145">
      <c r="A1145" s="2" t="s">
        <v>3781</v>
      </c>
      <c r="B1145" s="2" t="s">
        <v>87</v>
      </c>
      <c r="C1145" s="2" t="s">
        <v>3381</v>
      </c>
      <c r="D1145" s="2" t="s">
        <v>89</v>
      </c>
      <c r="E1145" s="2" t="s">
        <v>1944</v>
      </c>
      <c r="F1145" s="2" t="s">
        <v>3770</v>
      </c>
      <c r="G1145" s="2" t="s">
        <v>3771</v>
      </c>
      <c r="H1145" s="2" t="s">
        <v>3772</v>
      </c>
      <c r="I1145" s="2" t="s">
        <v>3773</v>
      </c>
      <c r="J1145" s="2" t="s">
        <v>120</v>
      </c>
      <c r="K1145" s="2" t="s">
        <v>3774</v>
      </c>
      <c r="L1145" s="3">
        <v>31.2</v>
      </c>
      <c r="M1145" s="3">
        <v>32.76</v>
      </c>
      <c r="N1145" s="3">
        <v>64.99</v>
      </c>
      <c r="O1145" s="2" t="s">
        <v>473</v>
      </c>
      <c r="P1145" s="2" t="s">
        <v>447</v>
      </c>
      <c r="Q1145" s="2" t="s">
        <v>99</v>
      </c>
      <c r="R1145" s="2" t="s">
        <v>100</v>
      </c>
      <c r="S1145" s="2" t="s">
        <v>3775</v>
      </c>
      <c r="T1145" s="2" t="s">
        <v>787</v>
      </c>
      <c r="U1145" s="2" t="s">
        <v>343</v>
      </c>
      <c r="V1145" s="2" t="s">
        <v>632</v>
      </c>
      <c r="W1145" s="2" t="s">
        <v>976</v>
      </c>
      <c r="X1145" s="2" t="s">
        <v>105</v>
      </c>
      <c r="Y1145" s="2" t="s">
        <v>3782</v>
      </c>
      <c r="Z1145" s="4">
        <v>444</v>
      </c>
      <c r="AA1145" s="4">
        <f>=ROUNDDOWN(90.6122448979592,0)</f>
      </c>
      <c r="AB1145" s="5">
        <v>4.9</v>
      </c>
      <c r="AC1145" s="2" t="s">
        <v>100</v>
      </c>
      <c r="AD1145" s="4"/>
      <c r="AE1145" s="4"/>
      <c r="AF1145" s="6">
        <v>64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/>
      <c r="AQ1145" s="8"/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/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/>
      <c r="BJ1145" s="4">
        <v>4</v>
      </c>
      <c r="BK1145" s="8">
        <v>94.22</v>
      </c>
      <c r="BL1145" s="2" t="s">
        <v>701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3637</v>
      </c>
      <c r="BX1145" s="2" t="s">
        <v>3783</v>
      </c>
      <c r="BY1145" s="2" t="s">
        <v>112</v>
      </c>
      <c r="BZ1145" s="2" t="s">
        <v>100</v>
      </c>
    </row>
    <row r="1146">
      <c r="A1146" s="2" t="s">
        <v>3784</v>
      </c>
      <c r="B1146" s="2" t="s">
        <v>87</v>
      </c>
      <c r="C1146" s="2" t="s">
        <v>3381</v>
      </c>
      <c r="D1146" s="2" t="s">
        <v>89</v>
      </c>
      <c r="E1146" s="2" t="s">
        <v>1944</v>
      </c>
      <c r="F1146" s="2" t="s">
        <v>3785</v>
      </c>
      <c r="G1146" s="2" t="s">
        <v>3786</v>
      </c>
      <c r="H1146" s="2" t="s">
        <v>3787</v>
      </c>
      <c r="I1146" s="2" t="s">
        <v>3527</v>
      </c>
      <c r="J1146" s="2" t="s">
        <v>2236</v>
      </c>
      <c r="K1146" s="2" t="s">
        <v>416</v>
      </c>
      <c r="L1146" s="3">
        <v>51.99</v>
      </c>
      <c r="M1146" s="3">
        <v>54.59</v>
      </c>
      <c r="N1146" s="3">
        <v>114.99</v>
      </c>
      <c r="O1146" s="2" t="s">
        <v>97</v>
      </c>
      <c r="P1146" s="2" t="s">
        <v>98</v>
      </c>
      <c r="Q1146" s="2" t="s">
        <v>99</v>
      </c>
      <c r="R1146" s="2" t="s">
        <v>100</v>
      </c>
      <c r="S1146" s="2" t="s">
        <v>3788</v>
      </c>
      <c r="T1146" s="2" t="s">
        <v>100</v>
      </c>
      <c r="U1146" s="2" t="s">
        <v>102</v>
      </c>
      <c r="V1146" s="2" t="s">
        <v>677</v>
      </c>
      <c r="W1146" s="2" t="s">
        <v>104</v>
      </c>
      <c r="X1146" s="2" t="s">
        <v>499</v>
      </c>
      <c r="Y1146" s="2" t="s">
        <v>131</v>
      </c>
      <c r="Z1146" s="4">
        <v>266</v>
      </c>
      <c r="AA1146" s="4">
        <f>=ROUNDDOWN(45.8620689655172,0)</f>
      </c>
      <c r="AB1146" s="5">
        <v>5.8</v>
      </c>
      <c r="AC1146" s="2" t="s">
        <v>368</v>
      </c>
      <c r="AD1146" s="4">
        <v>80</v>
      </c>
      <c r="AE1146" s="4">
        <v>80</v>
      </c>
      <c r="AF1146" s="6">
        <v>65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 t="s">
        <v>100</v>
      </c>
      <c r="AW1146" s="8" t="s">
        <v>100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/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/>
      <c r="BJ1146" s="4">
        <v>6</v>
      </c>
      <c r="BK1146" s="8">
        <v>322.9</v>
      </c>
      <c r="BL1146" s="2" t="s">
        <v>3789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544</v>
      </c>
      <c r="BX1146" s="2" t="s">
        <v>3790</v>
      </c>
      <c r="BY1146" s="2" t="s">
        <v>112</v>
      </c>
      <c r="BZ1146" s="2" t="s">
        <v>100</v>
      </c>
    </row>
    <row r="1147">
      <c r="A1147" s="2" t="s">
        <v>3791</v>
      </c>
      <c r="B1147" s="2" t="s">
        <v>87</v>
      </c>
      <c r="C1147" s="2" t="s">
        <v>3381</v>
      </c>
      <c r="D1147" s="2" t="s">
        <v>89</v>
      </c>
      <c r="E1147" s="2" t="s">
        <v>1944</v>
      </c>
      <c r="F1147" s="2" t="s">
        <v>3785</v>
      </c>
      <c r="G1147" s="2" t="s">
        <v>3786</v>
      </c>
      <c r="H1147" s="2" t="s">
        <v>3787</v>
      </c>
      <c r="I1147" s="2" t="s">
        <v>3532</v>
      </c>
      <c r="J1147" s="2" t="s">
        <v>95</v>
      </c>
      <c r="K1147" s="2" t="s">
        <v>416</v>
      </c>
      <c r="L1147" s="3">
        <v>57.19</v>
      </c>
      <c r="M1147" s="3">
        <v>60.05</v>
      </c>
      <c r="N1147" s="3">
        <v>124.99</v>
      </c>
      <c r="O1147" s="2" t="s">
        <v>97</v>
      </c>
      <c r="P1147" s="2" t="s">
        <v>98</v>
      </c>
      <c r="Q1147" s="2" t="s">
        <v>99</v>
      </c>
      <c r="R1147" s="2" t="s">
        <v>100</v>
      </c>
      <c r="S1147" s="2" t="s">
        <v>3788</v>
      </c>
      <c r="T1147" s="2" t="s">
        <v>100</v>
      </c>
      <c r="U1147" s="2" t="s">
        <v>343</v>
      </c>
      <c r="V1147" s="2" t="s">
        <v>677</v>
      </c>
      <c r="W1147" s="2" t="s">
        <v>104</v>
      </c>
      <c r="X1147" s="2" t="s">
        <v>499</v>
      </c>
      <c r="Y1147" s="2" t="s">
        <v>131</v>
      </c>
      <c r="Z1147" s="4">
        <v>211</v>
      </c>
      <c r="AA1147" s="4">
        <f>=ROUNDDOWN(30.1428571428571,0)</f>
      </c>
      <c r="AB1147" s="5">
        <v>7</v>
      </c>
      <c r="AC1147" s="2" t="s">
        <v>368</v>
      </c>
      <c r="AD1147" s="4">
        <v>70</v>
      </c>
      <c r="AE1147" s="4">
        <v>70</v>
      </c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/>
      <c r="BJ1147" s="4">
        <v>6</v>
      </c>
      <c r="BK1147" s="8">
        <v>364.94</v>
      </c>
      <c r="BL1147" s="2" t="s">
        <v>204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544</v>
      </c>
      <c r="BX1147" s="2" t="s">
        <v>134</v>
      </c>
      <c r="BY1147" s="2" t="s">
        <v>112</v>
      </c>
      <c r="BZ1147" s="2" t="s">
        <v>100</v>
      </c>
    </row>
    <row r="1148">
      <c r="A1148" s="2" t="s">
        <v>3792</v>
      </c>
      <c r="B1148" s="2" t="s">
        <v>87</v>
      </c>
      <c r="C1148" s="2" t="s">
        <v>3381</v>
      </c>
      <c r="D1148" s="2" t="s">
        <v>89</v>
      </c>
      <c r="E1148" s="2" t="s">
        <v>1944</v>
      </c>
      <c r="F1148" s="2" t="s">
        <v>3785</v>
      </c>
      <c r="G1148" s="2" t="s">
        <v>3786</v>
      </c>
      <c r="H1148" s="2" t="s">
        <v>3787</v>
      </c>
      <c r="I1148" s="2" t="s">
        <v>3532</v>
      </c>
      <c r="J1148" s="2" t="s">
        <v>114</v>
      </c>
      <c r="K1148" s="2" t="s">
        <v>416</v>
      </c>
      <c r="L1148" s="3">
        <v>62.39</v>
      </c>
      <c r="M1148" s="3">
        <v>65.51</v>
      </c>
      <c r="N1148" s="3">
        <v>134.99</v>
      </c>
      <c r="O1148" s="2" t="s">
        <v>97</v>
      </c>
      <c r="P1148" s="2" t="s">
        <v>98</v>
      </c>
      <c r="Q1148" s="2" t="s">
        <v>99</v>
      </c>
      <c r="R1148" s="2" t="s">
        <v>100</v>
      </c>
      <c r="S1148" s="2" t="s">
        <v>3788</v>
      </c>
      <c r="T1148" s="2" t="s">
        <v>100</v>
      </c>
      <c r="U1148" s="2" t="s">
        <v>343</v>
      </c>
      <c r="V1148" s="2" t="s">
        <v>677</v>
      </c>
      <c r="W1148" s="2" t="s">
        <v>104</v>
      </c>
      <c r="X1148" s="2" t="s">
        <v>499</v>
      </c>
      <c r="Y1148" s="2" t="s">
        <v>131</v>
      </c>
      <c r="Z1148" s="4">
        <v>376</v>
      </c>
      <c r="AA1148" s="4">
        <f>=ROUNDDOWN(25.0666666666667,0)</f>
      </c>
      <c r="AB1148" s="5">
        <v>15</v>
      </c>
      <c r="AC1148" s="2" t="s">
        <v>368</v>
      </c>
      <c r="AD1148" s="4">
        <v>140</v>
      </c>
      <c r="AE1148" s="4">
        <v>140</v>
      </c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/>
      <c r="AQ1148" s="8"/>
      <c r="AR1148" s="4"/>
      <c r="AS1148" s="8"/>
      <c r="AT1148" s="7"/>
      <c r="AU1148" s="7"/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/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/>
      <c r="BJ1148" s="4">
        <v>10</v>
      </c>
      <c r="BK1148" s="8">
        <v>693.06</v>
      </c>
      <c r="BL1148" s="2" t="s">
        <v>1271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544</v>
      </c>
      <c r="BX1148" s="2" t="s">
        <v>950</v>
      </c>
      <c r="BY1148" s="2" t="s">
        <v>112</v>
      </c>
      <c r="BZ1148" s="2" t="s">
        <v>100</v>
      </c>
    </row>
    <row r="1149">
      <c r="A1149" s="2" t="s">
        <v>3793</v>
      </c>
      <c r="B1149" s="2" t="s">
        <v>87</v>
      </c>
      <c r="C1149" s="2" t="s">
        <v>3381</v>
      </c>
      <c r="D1149" s="2" t="s">
        <v>89</v>
      </c>
      <c r="E1149" s="2" t="s">
        <v>1944</v>
      </c>
      <c r="F1149" s="2" t="s">
        <v>3785</v>
      </c>
      <c r="G1149" s="2" t="s">
        <v>3786</v>
      </c>
      <c r="H1149" s="2" t="s">
        <v>3787</v>
      </c>
      <c r="I1149" s="2" t="s">
        <v>3532</v>
      </c>
      <c r="J1149" s="2" t="s">
        <v>120</v>
      </c>
      <c r="K1149" s="2" t="s">
        <v>416</v>
      </c>
      <c r="L1149" s="3">
        <v>67.59</v>
      </c>
      <c r="M1149" s="3">
        <v>70.97</v>
      </c>
      <c r="N1149" s="3">
        <v>144.99</v>
      </c>
      <c r="O1149" s="2" t="s">
        <v>97</v>
      </c>
      <c r="P1149" s="2" t="s">
        <v>98</v>
      </c>
      <c r="Q1149" s="2" t="s">
        <v>99</v>
      </c>
      <c r="R1149" s="2" t="s">
        <v>100</v>
      </c>
      <c r="S1149" s="2" t="s">
        <v>3788</v>
      </c>
      <c r="T1149" s="2" t="s">
        <v>100</v>
      </c>
      <c r="U1149" s="2" t="s">
        <v>343</v>
      </c>
      <c r="V1149" s="2" t="s">
        <v>677</v>
      </c>
      <c r="W1149" s="2" t="s">
        <v>104</v>
      </c>
      <c r="X1149" s="2" t="s">
        <v>499</v>
      </c>
      <c r="Y1149" s="2" t="s">
        <v>131</v>
      </c>
      <c r="Z1149" s="4">
        <v>267</v>
      </c>
      <c r="AA1149" s="4">
        <f>=ROUNDDOWN(44.5,0)</f>
      </c>
      <c r="AB1149" s="5">
        <v>6</v>
      </c>
      <c r="AC1149" s="2" t="s">
        <v>368</v>
      </c>
      <c r="AD1149" s="4">
        <v>70</v>
      </c>
      <c r="AE1149" s="4">
        <v>70</v>
      </c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/>
      <c r="AQ1149" s="8"/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/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/>
      <c r="BJ1149" s="4">
        <v>4</v>
      </c>
      <c r="BK1149" s="8">
        <v>309.69</v>
      </c>
      <c r="BL1149" s="2" t="s">
        <v>2195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544</v>
      </c>
      <c r="BX1149" s="2" t="s">
        <v>600</v>
      </c>
      <c r="BY1149" s="2" t="s">
        <v>112</v>
      </c>
      <c r="BZ1149" s="2" t="s">
        <v>100</v>
      </c>
    </row>
    <row r="1150">
      <c r="A1150" s="2" t="s">
        <v>3794</v>
      </c>
      <c r="B1150" s="2" t="s">
        <v>87</v>
      </c>
      <c r="C1150" s="2" t="s">
        <v>3381</v>
      </c>
      <c r="D1150" s="2" t="s">
        <v>89</v>
      </c>
      <c r="E1150" s="2" t="s">
        <v>1944</v>
      </c>
      <c r="F1150" s="2" t="s">
        <v>3785</v>
      </c>
      <c r="G1150" s="2" t="s">
        <v>3786</v>
      </c>
      <c r="H1150" s="2" t="s">
        <v>3787</v>
      </c>
      <c r="I1150" s="2" t="s">
        <v>3532</v>
      </c>
      <c r="J1150" s="2" t="s">
        <v>124</v>
      </c>
      <c r="K1150" s="2" t="s">
        <v>416</v>
      </c>
      <c r="L1150" s="3">
        <v>67.59</v>
      </c>
      <c r="M1150" s="3">
        <v>70.97</v>
      </c>
      <c r="N1150" s="3">
        <v>144.99</v>
      </c>
      <c r="O1150" s="2" t="s">
        <v>97</v>
      </c>
      <c r="P1150" s="2" t="s">
        <v>98</v>
      </c>
      <c r="Q1150" s="2" t="s">
        <v>99</v>
      </c>
      <c r="R1150" s="2" t="s">
        <v>100</v>
      </c>
      <c r="S1150" s="2" t="s">
        <v>3788</v>
      </c>
      <c r="T1150" s="2" t="s">
        <v>100</v>
      </c>
      <c r="U1150" s="2" t="s">
        <v>343</v>
      </c>
      <c r="V1150" s="2" t="s">
        <v>677</v>
      </c>
      <c r="W1150" s="2" t="s">
        <v>104</v>
      </c>
      <c r="X1150" s="2" t="s">
        <v>499</v>
      </c>
      <c r="Y1150" s="2" t="s">
        <v>131</v>
      </c>
      <c r="Z1150" s="4">
        <v>160</v>
      </c>
      <c r="AA1150" s="4">
        <f>=ROUNDDOWN(66.6666666666667,0)</f>
      </c>
      <c r="AB1150" s="5">
        <v>2.4</v>
      </c>
      <c r="AC1150" s="2" t="s">
        <v>100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/>
      <c r="BJ1150" s="4">
        <v>4</v>
      </c>
      <c r="BK1150" s="8">
        <v>312.52</v>
      </c>
      <c r="BL1150" s="2" t="s">
        <v>3795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109</v>
      </c>
      <c r="BV1150" s="2" t="s">
        <v>97</v>
      </c>
      <c r="BW1150" s="2" t="s">
        <v>544</v>
      </c>
      <c r="BX1150" s="2" t="s">
        <v>621</v>
      </c>
      <c r="BY1150" s="2" t="s">
        <v>112</v>
      </c>
      <c r="BZ1150" s="2" t="s">
        <v>100</v>
      </c>
    </row>
    <row r="1151">
      <c r="A1151" s="2" t="s">
        <v>3796</v>
      </c>
      <c r="B1151" s="2" t="s">
        <v>87</v>
      </c>
      <c r="C1151" s="2" t="s">
        <v>3381</v>
      </c>
      <c r="D1151" s="2" t="s">
        <v>89</v>
      </c>
      <c r="E1151" s="2" t="s">
        <v>1944</v>
      </c>
      <c r="F1151" s="2" t="s">
        <v>3797</v>
      </c>
      <c r="G1151" s="2" t="s">
        <v>3798</v>
      </c>
      <c r="H1151" s="2" t="s">
        <v>3799</v>
      </c>
      <c r="I1151" s="2" t="s">
        <v>3800</v>
      </c>
      <c r="J1151" s="2" t="s">
        <v>95</v>
      </c>
      <c r="K1151" s="2" t="s">
        <v>3801</v>
      </c>
      <c r="L1151" s="3">
        <v>57.19</v>
      </c>
      <c r="M1151" s="3">
        <v>60.05</v>
      </c>
      <c r="N1151" s="3">
        <v>109.99</v>
      </c>
      <c r="O1151" s="2" t="s">
        <v>473</v>
      </c>
      <c r="P1151" s="2" t="s">
        <v>447</v>
      </c>
      <c r="Q1151" s="2" t="s">
        <v>99</v>
      </c>
      <c r="R1151" s="2" t="s">
        <v>100</v>
      </c>
      <c r="S1151" s="2" t="s">
        <v>3802</v>
      </c>
      <c r="T1151" s="2" t="s">
        <v>100</v>
      </c>
      <c r="U1151" s="2" t="s">
        <v>343</v>
      </c>
      <c r="V1151" s="2" t="s">
        <v>677</v>
      </c>
      <c r="W1151" s="2" t="s">
        <v>3803</v>
      </c>
      <c r="X1151" s="2" t="s">
        <v>976</v>
      </c>
      <c r="Y1151" s="2" t="s">
        <v>1360</v>
      </c>
      <c r="Z1151" s="4">
        <v>202</v>
      </c>
      <c r="AA1151" s="4">
        <f>=ROUNDDOWN(67.3333333333333,0)</f>
      </c>
      <c r="AB1151" s="5">
        <v>3</v>
      </c>
      <c r="AC1151" s="2" t="s">
        <v>100</v>
      </c>
      <c r="AD1151" s="4"/>
      <c r="AE1151" s="4"/>
      <c r="AF1151" s="6">
        <v>64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/>
      <c r="AQ1151" s="8"/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/>
      <c r="BJ1151" s="4">
        <v>2</v>
      </c>
      <c r="BK1151" s="8">
        <v>60.78</v>
      </c>
      <c r="BL1151" s="2" t="s">
        <v>133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109</v>
      </c>
      <c r="BV1151" s="2" t="s">
        <v>97</v>
      </c>
      <c r="BW1151" s="2" t="s">
        <v>266</v>
      </c>
      <c r="BX1151" s="2" t="s">
        <v>505</v>
      </c>
      <c r="BY1151" s="2" t="s">
        <v>112</v>
      </c>
      <c r="BZ1151" s="2" t="s">
        <v>100</v>
      </c>
    </row>
    <row r="1152">
      <c r="A1152" s="2" t="s">
        <v>3804</v>
      </c>
      <c r="B1152" s="2" t="s">
        <v>87</v>
      </c>
      <c r="C1152" s="2" t="s">
        <v>3381</v>
      </c>
      <c r="D1152" s="2" t="s">
        <v>89</v>
      </c>
      <c r="E1152" s="2" t="s">
        <v>1944</v>
      </c>
      <c r="F1152" s="2" t="s">
        <v>3797</v>
      </c>
      <c r="G1152" s="2" t="s">
        <v>3798</v>
      </c>
      <c r="H1152" s="2" t="s">
        <v>3799</v>
      </c>
      <c r="I1152" s="2" t="s">
        <v>3800</v>
      </c>
      <c r="J1152" s="2" t="s">
        <v>124</v>
      </c>
      <c r="K1152" s="2" t="s">
        <v>3801</v>
      </c>
      <c r="L1152" s="3">
        <v>67.59</v>
      </c>
      <c r="M1152" s="3">
        <v>70.97</v>
      </c>
      <c r="N1152" s="3">
        <v>129.99</v>
      </c>
      <c r="O1152" s="2" t="s">
        <v>473</v>
      </c>
      <c r="P1152" s="2" t="s">
        <v>447</v>
      </c>
      <c r="Q1152" s="2" t="s">
        <v>99</v>
      </c>
      <c r="R1152" s="2" t="s">
        <v>100</v>
      </c>
      <c r="S1152" s="2" t="s">
        <v>3802</v>
      </c>
      <c r="T1152" s="2" t="s">
        <v>100</v>
      </c>
      <c r="U1152" s="2" t="s">
        <v>343</v>
      </c>
      <c r="V1152" s="2" t="s">
        <v>677</v>
      </c>
      <c r="W1152" s="2" t="s">
        <v>3803</v>
      </c>
      <c r="X1152" s="2" t="s">
        <v>976</v>
      </c>
      <c r="Y1152" s="2" t="s">
        <v>1360</v>
      </c>
      <c r="Z1152" s="4">
        <v>1</v>
      </c>
      <c r="AA1152" s="4">
        <f>=ROUNDDOWN(0.5,0)</f>
      </c>
      <c r="AB1152" s="5">
        <v>2</v>
      </c>
      <c r="AC1152" s="2" t="s">
        <v>100</v>
      </c>
      <c r="AD1152" s="4"/>
      <c r="AE1152" s="4"/>
      <c r="AF1152" s="6">
        <v>64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/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/>
      <c r="BJ1152" s="4">
        <v>3</v>
      </c>
      <c r="BK1152" s="8">
        <v>105.3</v>
      </c>
      <c r="BL1152" s="2" t="s">
        <v>1310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266</v>
      </c>
      <c r="BX1152" s="2" t="s">
        <v>3805</v>
      </c>
      <c r="BY1152" s="2" t="s">
        <v>112</v>
      </c>
      <c r="BZ1152" s="2" t="s">
        <v>100</v>
      </c>
    </row>
    <row r="1153">
      <c r="A1153" s="2" t="s">
        <v>3806</v>
      </c>
      <c r="B1153" s="2" t="s">
        <v>87</v>
      </c>
      <c r="C1153" s="2" t="s">
        <v>3381</v>
      </c>
      <c r="D1153" s="2" t="s">
        <v>89</v>
      </c>
      <c r="E1153" s="2" t="s">
        <v>1944</v>
      </c>
      <c r="F1153" s="2" t="s">
        <v>2053</v>
      </c>
      <c r="G1153" s="2" t="s">
        <v>2577</v>
      </c>
      <c r="H1153" s="2" t="s">
        <v>1213</v>
      </c>
      <c r="I1153" s="2" t="s">
        <v>3725</v>
      </c>
      <c r="J1153" s="2" t="s">
        <v>2236</v>
      </c>
      <c r="K1153" s="2" t="s">
        <v>253</v>
      </c>
      <c r="L1153" s="3">
        <v>26.19</v>
      </c>
      <c r="M1153" s="3">
        <v>27.5</v>
      </c>
      <c r="N1153" s="3">
        <v>54.99</v>
      </c>
      <c r="O1153" s="2" t="s">
        <v>97</v>
      </c>
      <c r="P1153" s="2" t="s">
        <v>1216</v>
      </c>
      <c r="Q1153" s="2" t="s">
        <v>99</v>
      </c>
      <c r="R1153" s="2" t="s">
        <v>100</v>
      </c>
      <c r="S1153" s="2" t="s">
        <v>3807</v>
      </c>
      <c r="T1153" s="2" t="s">
        <v>787</v>
      </c>
      <c r="U1153" s="2" t="s">
        <v>644</v>
      </c>
      <c r="V1153" s="2" t="s">
        <v>677</v>
      </c>
      <c r="W1153" s="2" t="s">
        <v>976</v>
      </c>
      <c r="X1153" s="2" t="s">
        <v>2101</v>
      </c>
      <c r="Y1153" s="2" t="s">
        <v>100</v>
      </c>
      <c r="Z1153" s="4"/>
      <c r="AA1153" s="4">
        <f>=ROUNDDOWN({0},0)</f>
      </c>
      <c r="AB1153" s="5"/>
      <c r="AC1153" s="2" t="s">
        <v>400</v>
      </c>
      <c r="AD1153" s="4">
        <v>62</v>
      </c>
      <c r="AE1153" s="4">
        <v>142</v>
      </c>
      <c r="AF1153" s="6">
        <v>65</v>
      </c>
      <c r="AG1153" s="6"/>
      <c r="AH1153" s="7">
        <v>0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/>
      <c r="AQ1153" s="8"/>
      <c r="AR1153" s="4"/>
      <c r="AS1153" s="8"/>
      <c r="AT1153" s="7"/>
      <c r="AU1153" s="7"/>
      <c r="AV1153" s="4" t="s">
        <v>100</v>
      </c>
      <c r="AW1153" s="8" t="s">
        <v>100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/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/>
      <c r="BJ1153" s="4"/>
      <c r="BK1153" s="8"/>
      <c r="BL1153" s="2" t="s">
        <v>100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1338</v>
      </c>
      <c r="BV1153" s="2" t="s">
        <v>97</v>
      </c>
      <c r="BW1153" s="2" t="s">
        <v>100</v>
      </c>
      <c r="BX1153" s="2" t="s">
        <v>100</v>
      </c>
      <c r="BY1153" s="2" t="s">
        <v>112</v>
      </c>
      <c r="BZ1153" s="2" t="s">
        <v>100</v>
      </c>
    </row>
    <row r="1154">
      <c r="A1154" s="2" t="s">
        <v>3808</v>
      </c>
      <c r="B1154" s="2" t="s">
        <v>87</v>
      </c>
      <c r="C1154" s="2" t="s">
        <v>3381</v>
      </c>
      <c r="D1154" s="2" t="s">
        <v>89</v>
      </c>
      <c r="E1154" s="2" t="s">
        <v>1944</v>
      </c>
      <c r="F1154" s="2" t="s">
        <v>2053</v>
      </c>
      <c r="G1154" s="2" t="s">
        <v>2577</v>
      </c>
      <c r="H1154" s="2" t="s">
        <v>1213</v>
      </c>
      <c r="I1154" s="2" t="s">
        <v>3725</v>
      </c>
      <c r="J1154" s="2" t="s">
        <v>95</v>
      </c>
      <c r="K1154" s="2" t="s">
        <v>253</v>
      </c>
      <c r="L1154" s="3">
        <v>28.57</v>
      </c>
      <c r="M1154" s="3">
        <v>30</v>
      </c>
      <c r="N1154" s="3">
        <v>59.99</v>
      </c>
      <c r="O1154" s="2" t="s">
        <v>97</v>
      </c>
      <c r="P1154" s="2" t="s">
        <v>1216</v>
      </c>
      <c r="Q1154" s="2" t="s">
        <v>99</v>
      </c>
      <c r="R1154" s="2" t="s">
        <v>100</v>
      </c>
      <c r="S1154" s="2" t="s">
        <v>3807</v>
      </c>
      <c r="T1154" s="2" t="s">
        <v>787</v>
      </c>
      <c r="U1154" s="2" t="s">
        <v>102</v>
      </c>
      <c r="V1154" s="2" t="s">
        <v>677</v>
      </c>
      <c r="W1154" s="2" t="s">
        <v>976</v>
      </c>
      <c r="X1154" s="2" t="s">
        <v>2101</v>
      </c>
      <c r="Y1154" s="2" t="s">
        <v>100</v>
      </c>
      <c r="Z1154" s="4"/>
      <c r="AA1154" s="4">
        <f>=ROUNDDOWN({0},0)</f>
      </c>
      <c r="AB1154" s="5"/>
      <c r="AC1154" s="2" t="s">
        <v>400</v>
      </c>
      <c r="AD1154" s="4">
        <v>82</v>
      </c>
      <c r="AE1154" s="4">
        <v>202</v>
      </c>
      <c r="AF1154" s="6">
        <v>65</v>
      </c>
      <c r="AG1154" s="6"/>
      <c r="AH1154" s="7">
        <v>0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/>
      <c r="AQ1154" s="8"/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/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/>
      <c r="BJ1154" s="4"/>
      <c r="BK1154" s="8"/>
      <c r="BL1154" s="2" t="s">
        <v>100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1338</v>
      </c>
      <c r="BV1154" s="2" t="s">
        <v>97</v>
      </c>
      <c r="BW1154" s="2" t="s">
        <v>100</v>
      </c>
      <c r="BX1154" s="2" t="s">
        <v>100</v>
      </c>
      <c r="BY1154" s="2" t="s">
        <v>112</v>
      </c>
      <c r="BZ1154" s="2" t="s">
        <v>100</v>
      </c>
    </row>
    <row r="1155">
      <c r="A1155" s="2" t="s">
        <v>3809</v>
      </c>
      <c r="B1155" s="2" t="s">
        <v>87</v>
      </c>
      <c r="C1155" s="2" t="s">
        <v>3381</v>
      </c>
      <c r="D1155" s="2" t="s">
        <v>89</v>
      </c>
      <c r="E1155" s="2" t="s">
        <v>1944</v>
      </c>
      <c r="F1155" s="2" t="s">
        <v>2053</v>
      </c>
      <c r="G1155" s="2" t="s">
        <v>2577</v>
      </c>
      <c r="H1155" s="2" t="s">
        <v>1213</v>
      </c>
      <c r="I1155" s="2" t="s">
        <v>3725</v>
      </c>
      <c r="J1155" s="2" t="s">
        <v>114</v>
      </c>
      <c r="K1155" s="2" t="s">
        <v>253</v>
      </c>
      <c r="L1155" s="3">
        <v>30.95</v>
      </c>
      <c r="M1155" s="3">
        <v>32.5</v>
      </c>
      <c r="N1155" s="3">
        <v>64.99</v>
      </c>
      <c r="O1155" s="2" t="s">
        <v>97</v>
      </c>
      <c r="P1155" s="2" t="s">
        <v>1216</v>
      </c>
      <c r="Q1155" s="2" t="s">
        <v>99</v>
      </c>
      <c r="R1155" s="2" t="s">
        <v>100</v>
      </c>
      <c r="S1155" s="2" t="s">
        <v>3807</v>
      </c>
      <c r="T1155" s="2" t="s">
        <v>787</v>
      </c>
      <c r="U1155" s="2" t="s">
        <v>102</v>
      </c>
      <c r="V1155" s="2" t="s">
        <v>677</v>
      </c>
      <c r="W1155" s="2" t="s">
        <v>976</v>
      </c>
      <c r="X1155" s="2" t="s">
        <v>2101</v>
      </c>
      <c r="Y1155" s="2" t="s">
        <v>3810</v>
      </c>
      <c r="Z1155" s="4">
        <v>2</v>
      </c>
      <c r="AA1155" s="4">
        <f>=ROUNDDOWN({0},0)</f>
      </c>
      <c r="AB1155" s="5"/>
      <c r="AC1155" s="2" t="s">
        <v>400</v>
      </c>
      <c r="AD1155" s="4">
        <v>230</v>
      </c>
      <c r="AE1155" s="4">
        <v>540</v>
      </c>
      <c r="AF1155" s="6">
        <v>65</v>
      </c>
      <c r="AG1155" s="6"/>
      <c r="AH1155" s="7">
        <v>0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/>
      <c r="AQ1155" s="8"/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/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/>
      <c r="BJ1155" s="4"/>
      <c r="BK1155" s="8"/>
      <c r="BL1155" s="2" t="s">
        <v>100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1338</v>
      </c>
      <c r="BV1155" s="2" t="s">
        <v>97</v>
      </c>
      <c r="BW1155" s="2" t="s">
        <v>100</v>
      </c>
      <c r="BX1155" s="2" t="s">
        <v>100</v>
      </c>
      <c r="BY1155" s="2" t="s">
        <v>112</v>
      </c>
      <c r="BZ1155" s="2" t="s">
        <v>100</v>
      </c>
    </row>
    <row r="1156">
      <c r="A1156" s="2" t="s">
        <v>3811</v>
      </c>
      <c r="B1156" s="2" t="s">
        <v>87</v>
      </c>
      <c r="C1156" s="2" t="s">
        <v>3381</v>
      </c>
      <c r="D1156" s="2" t="s">
        <v>89</v>
      </c>
      <c r="E1156" s="2" t="s">
        <v>1944</v>
      </c>
      <c r="F1156" s="2" t="s">
        <v>2053</v>
      </c>
      <c r="G1156" s="2" t="s">
        <v>2577</v>
      </c>
      <c r="H1156" s="2" t="s">
        <v>1213</v>
      </c>
      <c r="I1156" s="2" t="s">
        <v>3725</v>
      </c>
      <c r="J1156" s="2" t="s">
        <v>120</v>
      </c>
      <c r="K1156" s="2" t="s">
        <v>253</v>
      </c>
      <c r="L1156" s="3">
        <v>35.71</v>
      </c>
      <c r="M1156" s="3">
        <v>37.5</v>
      </c>
      <c r="N1156" s="3">
        <v>74.99</v>
      </c>
      <c r="O1156" s="2" t="s">
        <v>97</v>
      </c>
      <c r="P1156" s="2" t="s">
        <v>1216</v>
      </c>
      <c r="Q1156" s="2" t="s">
        <v>99</v>
      </c>
      <c r="R1156" s="2" t="s">
        <v>100</v>
      </c>
      <c r="S1156" s="2" t="s">
        <v>3807</v>
      </c>
      <c r="T1156" s="2" t="s">
        <v>787</v>
      </c>
      <c r="U1156" s="2" t="s">
        <v>102</v>
      </c>
      <c r="V1156" s="2" t="s">
        <v>677</v>
      </c>
      <c r="W1156" s="2" t="s">
        <v>976</v>
      </c>
      <c r="X1156" s="2" t="s">
        <v>2101</v>
      </c>
      <c r="Y1156" s="2" t="s">
        <v>3810</v>
      </c>
      <c r="Z1156" s="4">
        <v>1</v>
      </c>
      <c r="AA1156" s="4">
        <f>=ROUNDDOWN({0},0)</f>
      </c>
      <c r="AB1156" s="5"/>
      <c r="AC1156" s="2" t="s">
        <v>400</v>
      </c>
      <c r="AD1156" s="4">
        <v>131</v>
      </c>
      <c r="AE1156" s="4">
        <v>331</v>
      </c>
      <c r="AF1156" s="6">
        <v>65</v>
      </c>
      <c r="AG1156" s="6"/>
      <c r="AH1156" s="7">
        <v>0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/>
      <c r="BJ1156" s="4"/>
      <c r="BK1156" s="8"/>
      <c r="BL1156" s="2" t="s">
        <v>100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1338</v>
      </c>
      <c r="BV1156" s="2" t="s">
        <v>97</v>
      </c>
      <c r="BW1156" s="2" t="s">
        <v>100</v>
      </c>
      <c r="BX1156" s="2" t="s">
        <v>100</v>
      </c>
      <c r="BY1156" s="2" t="s">
        <v>112</v>
      </c>
      <c r="BZ1156" s="2" t="s">
        <v>100</v>
      </c>
    </row>
    <row r="1157">
      <c r="A1157" s="2" t="s">
        <v>3812</v>
      </c>
      <c r="B1157" s="2" t="s">
        <v>87</v>
      </c>
      <c r="C1157" s="2" t="s">
        <v>3381</v>
      </c>
      <c r="D1157" s="2" t="s">
        <v>89</v>
      </c>
      <c r="E1157" s="2" t="s">
        <v>1944</v>
      </c>
      <c r="F1157" s="2" t="s">
        <v>2053</v>
      </c>
      <c r="G1157" s="2" t="s">
        <v>2577</v>
      </c>
      <c r="H1157" s="2" t="s">
        <v>1213</v>
      </c>
      <c r="I1157" s="2" t="s">
        <v>3725</v>
      </c>
      <c r="J1157" s="2" t="s">
        <v>124</v>
      </c>
      <c r="K1157" s="2" t="s">
        <v>253</v>
      </c>
      <c r="L1157" s="3">
        <v>35.71</v>
      </c>
      <c r="M1157" s="3">
        <v>37.5</v>
      </c>
      <c r="N1157" s="3">
        <v>74.99</v>
      </c>
      <c r="O1157" s="2" t="s">
        <v>97</v>
      </c>
      <c r="P1157" s="2" t="s">
        <v>1216</v>
      </c>
      <c r="Q1157" s="2" t="s">
        <v>99</v>
      </c>
      <c r="R1157" s="2" t="s">
        <v>100</v>
      </c>
      <c r="S1157" s="2" t="s">
        <v>3807</v>
      </c>
      <c r="T1157" s="2" t="s">
        <v>787</v>
      </c>
      <c r="U1157" s="2" t="s">
        <v>102</v>
      </c>
      <c r="V1157" s="2" t="s">
        <v>677</v>
      </c>
      <c r="W1157" s="2" t="s">
        <v>976</v>
      </c>
      <c r="X1157" s="2" t="s">
        <v>2101</v>
      </c>
      <c r="Y1157" s="2" t="s">
        <v>100</v>
      </c>
      <c r="Z1157" s="4"/>
      <c r="AA1157" s="4">
        <f>=ROUNDDOWN({0},0)</f>
      </c>
      <c r="AB1157" s="5"/>
      <c r="AC1157" s="2" t="s">
        <v>400</v>
      </c>
      <c r="AD1157" s="4">
        <v>82</v>
      </c>
      <c r="AE1157" s="4">
        <v>192</v>
      </c>
      <c r="AF1157" s="6">
        <v>65</v>
      </c>
      <c r="AG1157" s="6"/>
      <c r="AH1157" s="7">
        <v>0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/>
      <c r="BJ1157" s="4"/>
      <c r="BK1157" s="8"/>
      <c r="BL1157" s="2" t="s">
        <v>100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1338</v>
      </c>
      <c r="BV1157" s="2" t="s">
        <v>97</v>
      </c>
      <c r="BW1157" s="2" t="s">
        <v>100</v>
      </c>
      <c r="BX1157" s="2" t="s">
        <v>100</v>
      </c>
      <c r="BY1157" s="2" t="s">
        <v>112</v>
      </c>
      <c r="BZ1157" s="2" t="s">
        <v>100</v>
      </c>
    </row>
    <row r="1158">
      <c r="A1158" s="2" t="s">
        <v>3813</v>
      </c>
      <c r="B1158" s="2" t="s">
        <v>87</v>
      </c>
      <c r="C1158" s="2" t="s">
        <v>3381</v>
      </c>
      <c r="D1158" s="2" t="s">
        <v>89</v>
      </c>
      <c r="E1158" s="2" t="s">
        <v>1944</v>
      </c>
      <c r="F1158" s="2" t="s">
        <v>2053</v>
      </c>
      <c r="G1158" s="2" t="s">
        <v>2577</v>
      </c>
      <c r="H1158" s="2" t="s">
        <v>1213</v>
      </c>
      <c r="I1158" s="2" t="s">
        <v>3725</v>
      </c>
      <c r="J1158" s="2" t="s">
        <v>2236</v>
      </c>
      <c r="K1158" s="2" t="s">
        <v>175</v>
      </c>
      <c r="L1158" s="3">
        <v>26.19</v>
      </c>
      <c r="M1158" s="3">
        <v>27.5</v>
      </c>
      <c r="N1158" s="3">
        <v>54.99</v>
      </c>
      <c r="O1158" s="2" t="s">
        <v>97</v>
      </c>
      <c r="P1158" s="2" t="s">
        <v>1216</v>
      </c>
      <c r="Q1158" s="2" t="s">
        <v>99</v>
      </c>
      <c r="R1158" s="2" t="s">
        <v>100</v>
      </c>
      <c r="S1158" s="2" t="s">
        <v>3814</v>
      </c>
      <c r="T1158" s="2" t="s">
        <v>787</v>
      </c>
      <c r="U1158" s="2" t="s">
        <v>644</v>
      </c>
      <c r="V1158" s="2" t="s">
        <v>677</v>
      </c>
      <c r="W1158" s="2" t="s">
        <v>976</v>
      </c>
      <c r="X1158" s="2" t="s">
        <v>2101</v>
      </c>
      <c r="Y1158" s="2" t="s">
        <v>100</v>
      </c>
      <c r="Z1158" s="4"/>
      <c r="AA1158" s="4">
        <f>=ROUNDDOWN({0},0)</f>
      </c>
      <c r="AB1158" s="5"/>
      <c r="AC1158" s="2" t="s">
        <v>400</v>
      </c>
      <c r="AD1158" s="4">
        <v>62</v>
      </c>
      <c r="AE1158" s="4">
        <v>142</v>
      </c>
      <c r="AF1158" s="6">
        <v>65</v>
      </c>
      <c r="AG1158" s="6"/>
      <c r="AH1158" s="7">
        <v>0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/>
      <c r="BJ1158" s="4"/>
      <c r="BK1158" s="8"/>
      <c r="BL1158" s="2" t="s">
        <v>100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1338</v>
      </c>
      <c r="BV1158" s="2" t="s">
        <v>97</v>
      </c>
      <c r="BW1158" s="2" t="s">
        <v>100</v>
      </c>
      <c r="BX1158" s="2" t="s">
        <v>100</v>
      </c>
      <c r="BY1158" s="2" t="s">
        <v>112</v>
      </c>
      <c r="BZ1158" s="2" t="s">
        <v>100</v>
      </c>
    </row>
    <row r="1159">
      <c r="A1159" s="2" t="s">
        <v>3815</v>
      </c>
      <c r="B1159" s="2" t="s">
        <v>87</v>
      </c>
      <c r="C1159" s="2" t="s">
        <v>3381</v>
      </c>
      <c r="D1159" s="2" t="s">
        <v>89</v>
      </c>
      <c r="E1159" s="2" t="s">
        <v>1944</v>
      </c>
      <c r="F1159" s="2" t="s">
        <v>2053</v>
      </c>
      <c r="G1159" s="2" t="s">
        <v>2577</v>
      </c>
      <c r="H1159" s="2" t="s">
        <v>1213</v>
      </c>
      <c r="I1159" s="2" t="s">
        <v>3725</v>
      </c>
      <c r="J1159" s="2" t="s">
        <v>95</v>
      </c>
      <c r="K1159" s="2" t="s">
        <v>175</v>
      </c>
      <c r="L1159" s="3">
        <v>28.57</v>
      </c>
      <c r="M1159" s="3">
        <v>30</v>
      </c>
      <c r="N1159" s="3">
        <v>59.99</v>
      </c>
      <c r="O1159" s="2" t="s">
        <v>97</v>
      </c>
      <c r="P1159" s="2" t="s">
        <v>1216</v>
      </c>
      <c r="Q1159" s="2" t="s">
        <v>99</v>
      </c>
      <c r="R1159" s="2" t="s">
        <v>100</v>
      </c>
      <c r="S1159" s="2" t="s">
        <v>3814</v>
      </c>
      <c r="T1159" s="2" t="s">
        <v>787</v>
      </c>
      <c r="U1159" s="2" t="s">
        <v>102</v>
      </c>
      <c r="V1159" s="2" t="s">
        <v>677</v>
      </c>
      <c r="W1159" s="2" t="s">
        <v>976</v>
      </c>
      <c r="X1159" s="2" t="s">
        <v>2101</v>
      </c>
      <c r="Y1159" s="2" t="s">
        <v>3810</v>
      </c>
      <c r="Z1159" s="4">
        <v>2</v>
      </c>
      <c r="AA1159" s="4">
        <f>=ROUNDDOWN({0},0)</f>
      </c>
      <c r="AB1159" s="5"/>
      <c r="AC1159" s="2" t="s">
        <v>400</v>
      </c>
      <c r="AD1159" s="4">
        <v>80</v>
      </c>
      <c r="AE1159" s="4">
        <v>200</v>
      </c>
      <c r="AF1159" s="6">
        <v>65</v>
      </c>
      <c r="AG1159" s="6"/>
      <c r="AH1159" s="7">
        <v>0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/>
      <c r="AQ1159" s="8"/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/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/>
      <c r="BJ1159" s="4"/>
      <c r="BK1159" s="8"/>
      <c r="BL1159" s="2" t="s">
        <v>100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1338</v>
      </c>
      <c r="BV1159" s="2" t="s">
        <v>97</v>
      </c>
      <c r="BW1159" s="2" t="s">
        <v>100</v>
      </c>
      <c r="BX1159" s="2" t="s">
        <v>100</v>
      </c>
      <c r="BY1159" s="2" t="s">
        <v>112</v>
      </c>
      <c r="BZ1159" s="2" t="s">
        <v>100</v>
      </c>
    </row>
    <row r="1160">
      <c r="A1160" s="2" t="s">
        <v>3816</v>
      </c>
      <c r="B1160" s="2" t="s">
        <v>87</v>
      </c>
      <c r="C1160" s="2" t="s">
        <v>3381</v>
      </c>
      <c r="D1160" s="2" t="s">
        <v>89</v>
      </c>
      <c r="E1160" s="2" t="s">
        <v>1944</v>
      </c>
      <c r="F1160" s="2" t="s">
        <v>2053</v>
      </c>
      <c r="G1160" s="2" t="s">
        <v>2577</v>
      </c>
      <c r="H1160" s="2" t="s">
        <v>1213</v>
      </c>
      <c r="I1160" s="2" t="s">
        <v>3725</v>
      </c>
      <c r="J1160" s="2" t="s">
        <v>114</v>
      </c>
      <c r="K1160" s="2" t="s">
        <v>175</v>
      </c>
      <c r="L1160" s="3">
        <v>30.95</v>
      </c>
      <c r="M1160" s="3">
        <v>32.5</v>
      </c>
      <c r="N1160" s="3">
        <v>64.99</v>
      </c>
      <c r="O1160" s="2" t="s">
        <v>97</v>
      </c>
      <c r="P1160" s="2" t="s">
        <v>1216</v>
      </c>
      <c r="Q1160" s="2" t="s">
        <v>99</v>
      </c>
      <c r="R1160" s="2" t="s">
        <v>100</v>
      </c>
      <c r="S1160" s="2" t="s">
        <v>3814</v>
      </c>
      <c r="T1160" s="2" t="s">
        <v>787</v>
      </c>
      <c r="U1160" s="2" t="s">
        <v>102</v>
      </c>
      <c r="V1160" s="2" t="s">
        <v>677</v>
      </c>
      <c r="W1160" s="2" t="s">
        <v>976</v>
      </c>
      <c r="X1160" s="2" t="s">
        <v>2101</v>
      </c>
      <c r="Y1160" s="2" t="s">
        <v>3810</v>
      </c>
      <c r="Z1160" s="4">
        <v>1</v>
      </c>
      <c r="AA1160" s="4">
        <f>=ROUNDDOWN({0},0)</f>
      </c>
      <c r="AB1160" s="5"/>
      <c r="AC1160" s="2" t="s">
        <v>400</v>
      </c>
      <c r="AD1160" s="4">
        <v>231</v>
      </c>
      <c r="AE1160" s="4">
        <v>541</v>
      </c>
      <c r="AF1160" s="6">
        <v>65</v>
      </c>
      <c r="AG1160" s="6"/>
      <c r="AH1160" s="7">
        <v>0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/>
      <c r="AQ1160" s="8"/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/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/>
      <c r="BJ1160" s="4"/>
      <c r="BK1160" s="8"/>
      <c r="BL1160" s="2" t="s">
        <v>100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1338</v>
      </c>
      <c r="BV1160" s="2" t="s">
        <v>97</v>
      </c>
      <c r="BW1160" s="2" t="s">
        <v>100</v>
      </c>
      <c r="BX1160" s="2" t="s">
        <v>100</v>
      </c>
      <c r="BY1160" s="2" t="s">
        <v>112</v>
      </c>
      <c r="BZ1160" s="2" t="s">
        <v>100</v>
      </c>
    </row>
    <row r="1161">
      <c r="A1161" s="2" t="s">
        <v>3817</v>
      </c>
      <c r="B1161" s="2" t="s">
        <v>87</v>
      </c>
      <c r="C1161" s="2" t="s">
        <v>3381</v>
      </c>
      <c r="D1161" s="2" t="s">
        <v>89</v>
      </c>
      <c r="E1161" s="2" t="s">
        <v>1944</v>
      </c>
      <c r="F1161" s="2" t="s">
        <v>2053</v>
      </c>
      <c r="G1161" s="2" t="s">
        <v>2577</v>
      </c>
      <c r="H1161" s="2" t="s">
        <v>1213</v>
      </c>
      <c r="I1161" s="2" t="s">
        <v>3725</v>
      </c>
      <c r="J1161" s="2" t="s">
        <v>120</v>
      </c>
      <c r="K1161" s="2" t="s">
        <v>175</v>
      </c>
      <c r="L1161" s="3">
        <v>35.71</v>
      </c>
      <c r="M1161" s="3">
        <v>37.5</v>
      </c>
      <c r="N1161" s="3">
        <v>74.99</v>
      </c>
      <c r="O1161" s="2" t="s">
        <v>97</v>
      </c>
      <c r="P1161" s="2" t="s">
        <v>1216</v>
      </c>
      <c r="Q1161" s="2" t="s">
        <v>99</v>
      </c>
      <c r="R1161" s="2" t="s">
        <v>100</v>
      </c>
      <c r="S1161" s="2" t="s">
        <v>3814</v>
      </c>
      <c r="T1161" s="2" t="s">
        <v>787</v>
      </c>
      <c r="U1161" s="2" t="s">
        <v>102</v>
      </c>
      <c r="V1161" s="2" t="s">
        <v>677</v>
      </c>
      <c r="W1161" s="2" t="s">
        <v>976</v>
      </c>
      <c r="X1161" s="2" t="s">
        <v>2101</v>
      </c>
      <c r="Y1161" s="2" t="s">
        <v>100</v>
      </c>
      <c r="Z1161" s="4"/>
      <c r="AA1161" s="4">
        <f>=ROUNDDOWN({0},0)</f>
      </c>
      <c r="AB1161" s="5"/>
      <c r="AC1161" s="2" t="s">
        <v>400</v>
      </c>
      <c r="AD1161" s="4">
        <v>132</v>
      </c>
      <c r="AE1161" s="4">
        <v>332</v>
      </c>
      <c r="AF1161" s="6">
        <v>65</v>
      </c>
      <c r="AG1161" s="6"/>
      <c r="AH1161" s="7">
        <v>0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/>
      <c r="AQ1161" s="8"/>
      <c r="AR1161" s="4"/>
      <c r="AS1161" s="8"/>
      <c r="AT1161" s="7"/>
      <c r="AU1161" s="7"/>
      <c r="AV1161" s="4" t="s">
        <v>100</v>
      </c>
      <c r="AW1161" s="8" t="s">
        <v>100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/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/>
      <c r="BJ1161" s="4"/>
      <c r="BK1161" s="8"/>
      <c r="BL1161" s="2" t="s">
        <v>100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1338</v>
      </c>
      <c r="BV1161" s="2" t="s">
        <v>97</v>
      </c>
      <c r="BW1161" s="2" t="s">
        <v>100</v>
      </c>
      <c r="BX1161" s="2" t="s">
        <v>100</v>
      </c>
      <c r="BY1161" s="2" t="s">
        <v>112</v>
      </c>
      <c r="BZ1161" s="2" t="s">
        <v>100</v>
      </c>
    </row>
    <row r="1162">
      <c r="A1162" s="2" t="s">
        <v>3818</v>
      </c>
      <c r="B1162" s="2" t="s">
        <v>87</v>
      </c>
      <c r="C1162" s="2" t="s">
        <v>3381</v>
      </c>
      <c r="D1162" s="2" t="s">
        <v>89</v>
      </c>
      <c r="E1162" s="2" t="s">
        <v>1944</v>
      </c>
      <c r="F1162" s="2" t="s">
        <v>2053</v>
      </c>
      <c r="G1162" s="2" t="s">
        <v>2577</v>
      </c>
      <c r="H1162" s="2" t="s">
        <v>1213</v>
      </c>
      <c r="I1162" s="2" t="s">
        <v>3725</v>
      </c>
      <c r="J1162" s="2" t="s">
        <v>124</v>
      </c>
      <c r="K1162" s="2" t="s">
        <v>175</v>
      </c>
      <c r="L1162" s="3">
        <v>35.71</v>
      </c>
      <c r="M1162" s="3">
        <v>37.5</v>
      </c>
      <c r="N1162" s="3">
        <v>74.99</v>
      </c>
      <c r="O1162" s="2" t="s">
        <v>97</v>
      </c>
      <c r="P1162" s="2" t="s">
        <v>1216</v>
      </c>
      <c r="Q1162" s="2" t="s">
        <v>99</v>
      </c>
      <c r="R1162" s="2" t="s">
        <v>100</v>
      </c>
      <c r="S1162" s="2" t="s">
        <v>3814</v>
      </c>
      <c r="T1162" s="2" t="s">
        <v>787</v>
      </c>
      <c r="U1162" s="2" t="s">
        <v>102</v>
      </c>
      <c r="V1162" s="2" t="s">
        <v>677</v>
      </c>
      <c r="W1162" s="2" t="s">
        <v>976</v>
      </c>
      <c r="X1162" s="2" t="s">
        <v>2101</v>
      </c>
      <c r="Y1162" s="2" t="s">
        <v>100</v>
      </c>
      <c r="Z1162" s="4"/>
      <c r="AA1162" s="4">
        <f>=ROUNDDOWN({0},0)</f>
      </c>
      <c r="AB1162" s="5"/>
      <c r="AC1162" s="2" t="s">
        <v>400</v>
      </c>
      <c r="AD1162" s="4">
        <v>82</v>
      </c>
      <c r="AE1162" s="4">
        <v>192</v>
      </c>
      <c r="AF1162" s="6">
        <v>65</v>
      </c>
      <c r="AG1162" s="6"/>
      <c r="AH1162" s="7">
        <v>0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/>
      <c r="AQ1162" s="8"/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/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/>
      <c r="BJ1162" s="4"/>
      <c r="BK1162" s="8"/>
      <c r="BL1162" s="2" t="s">
        <v>100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1338</v>
      </c>
      <c r="BV1162" s="2" t="s">
        <v>97</v>
      </c>
      <c r="BW1162" s="2" t="s">
        <v>100</v>
      </c>
      <c r="BX1162" s="2" t="s">
        <v>100</v>
      </c>
      <c r="BY1162" s="2" t="s">
        <v>112</v>
      </c>
      <c r="BZ1162" s="2" t="s">
        <v>100</v>
      </c>
    </row>
    <row r="1163">
      <c r="A1163" s="2" t="s">
        <v>3819</v>
      </c>
      <c r="B1163" s="2" t="s">
        <v>87</v>
      </c>
      <c r="C1163" s="2" t="s">
        <v>3381</v>
      </c>
      <c r="D1163" s="2" t="s">
        <v>89</v>
      </c>
      <c r="E1163" s="2" t="s">
        <v>1944</v>
      </c>
      <c r="F1163" s="2" t="s">
        <v>3820</v>
      </c>
      <c r="G1163" s="2" t="s">
        <v>3821</v>
      </c>
      <c r="H1163" s="2" t="s">
        <v>3822</v>
      </c>
      <c r="I1163" s="2" t="s">
        <v>3527</v>
      </c>
      <c r="J1163" s="2" t="s">
        <v>2236</v>
      </c>
      <c r="K1163" s="2" t="s">
        <v>146</v>
      </c>
      <c r="L1163" s="3">
        <v>51.99</v>
      </c>
      <c r="M1163" s="3">
        <v>54.59</v>
      </c>
      <c r="N1163" s="3">
        <v>99.99</v>
      </c>
      <c r="O1163" s="2" t="s">
        <v>97</v>
      </c>
      <c r="P1163" s="2" t="s">
        <v>447</v>
      </c>
      <c r="Q1163" s="2" t="s">
        <v>99</v>
      </c>
      <c r="R1163" s="2" t="s">
        <v>100</v>
      </c>
      <c r="S1163" s="2" t="s">
        <v>3823</v>
      </c>
      <c r="T1163" s="2" t="s">
        <v>100</v>
      </c>
      <c r="U1163" s="2" t="s">
        <v>102</v>
      </c>
      <c r="V1163" s="2" t="s">
        <v>734</v>
      </c>
      <c r="W1163" s="2" t="s">
        <v>104</v>
      </c>
      <c r="X1163" s="2" t="s">
        <v>450</v>
      </c>
      <c r="Y1163" s="2" t="s">
        <v>131</v>
      </c>
      <c r="Z1163" s="4">
        <v>21</v>
      </c>
      <c r="AA1163" s="4">
        <f>=ROUNDDOWN(10.5,0)</f>
      </c>
      <c r="AB1163" s="5">
        <v>2</v>
      </c>
      <c r="AC1163" s="2" t="s">
        <v>100</v>
      </c>
      <c r="AD1163" s="4"/>
      <c r="AE1163" s="4"/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/>
      <c r="AQ1163" s="8"/>
      <c r="AR1163" s="4"/>
      <c r="AS1163" s="8"/>
      <c r="AT1163" s="7"/>
      <c r="AU1163" s="7"/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/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/>
      <c r="BJ1163" s="4"/>
      <c r="BK1163" s="8"/>
      <c r="BL1163" s="2" t="s">
        <v>100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544</v>
      </c>
      <c r="BX1163" s="2" t="s">
        <v>889</v>
      </c>
      <c r="BY1163" s="2" t="s">
        <v>112</v>
      </c>
      <c r="BZ1163" s="2" t="s">
        <v>100</v>
      </c>
    </row>
    <row r="1164">
      <c r="A1164" s="2" t="s">
        <v>3824</v>
      </c>
      <c r="B1164" s="2" t="s">
        <v>87</v>
      </c>
      <c r="C1164" s="2" t="s">
        <v>3381</v>
      </c>
      <c r="D1164" s="2" t="s">
        <v>89</v>
      </c>
      <c r="E1164" s="2" t="s">
        <v>1944</v>
      </c>
      <c r="F1164" s="2" t="s">
        <v>3820</v>
      </c>
      <c r="G1164" s="2" t="s">
        <v>3821</v>
      </c>
      <c r="H1164" s="2" t="s">
        <v>3822</v>
      </c>
      <c r="I1164" s="2" t="s">
        <v>3527</v>
      </c>
      <c r="J1164" s="2" t="s">
        <v>3596</v>
      </c>
      <c r="K1164" s="2" t="s">
        <v>146</v>
      </c>
      <c r="L1164" s="3">
        <v>54.59</v>
      </c>
      <c r="M1164" s="3">
        <v>57.32</v>
      </c>
      <c r="N1164" s="3">
        <v>104.99</v>
      </c>
      <c r="O1164" s="2" t="s">
        <v>97</v>
      </c>
      <c r="P1164" s="2" t="s">
        <v>447</v>
      </c>
      <c r="Q1164" s="2" t="s">
        <v>99</v>
      </c>
      <c r="R1164" s="2" t="s">
        <v>100</v>
      </c>
      <c r="S1164" s="2" t="s">
        <v>3825</v>
      </c>
      <c r="T1164" s="2" t="s">
        <v>100</v>
      </c>
      <c r="U1164" s="2" t="s">
        <v>102</v>
      </c>
      <c r="V1164" s="2" t="s">
        <v>734</v>
      </c>
      <c r="W1164" s="2" t="s">
        <v>104</v>
      </c>
      <c r="X1164" s="2" t="s">
        <v>450</v>
      </c>
      <c r="Y1164" s="2" t="s">
        <v>3826</v>
      </c>
      <c r="Z1164" s="4">
        <v>43</v>
      </c>
      <c r="AA1164" s="4">
        <f>=ROUNDDOWN(21.5,0)</f>
      </c>
      <c r="AB1164" s="5">
        <v>2</v>
      </c>
      <c r="AC1164" s="2" t="s">
        <v>100</v>
      </c>
      <c r="AD1164" s="4"/>
      <c r="AE1164" s="4"/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/>
      <c r="AQ1164" s="8"/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/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/>
      <c r="BJ1164" s="4">
        <v>2</v>
      </c>
      <c r="BK1164" s="8">
        <v>87.97</v>
      </c>
      <c r="BL1164" s="2" t="s">
        <v>3827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544</v>
      </c>
      <c r="BX1164" s="2" t="s">
        <v>950</v>
      </c>
      <c r="BY1164" s="2" t="s">
        <v>112</v>
      </c>
      <c r="BZ1164" s="2" t="s">
        <v>100</v>
      </c>
    </row>
    <row r="1165">
      <c r="A1165" s="2" t="s">
        <v>3828</v>
      </c>
      <c r="B1165" s="2" t="s">
        <v>87</v>
      </c>
      <c r="C1165" s="2" t="s">
        <v>3381</v>
      </c>
      <c r="D1165" s="2" t="s">
        <v>89</v>
      </c>
      <c r="E1165" s="2" t="s">
        <v>1944</v>
      </c>
      <c r="F1165" s="2" t="s">
        <v>3820</v>
      </c>
      <c r="G1165" s="2" t="s">
        <v>3821</v>
      </c>
      <c r="H1165" s="2" t="s">
        <v>3822</v>
      </c>
      <c r="I1165" s="2" t="s">
        <v>3532</v>
      </c>
      <c r="J1165" s="2" t="s">
        <v>95</v>
      </c>
      <c r="K1165" s="2" t="s">
        <v>146</v>
      </c>
      <c r="L1165" s="3">
        <v>57.19</v>
      </c>
      <c r="M1165" s="3">
        <v>60.05</v>
      </c>
      <c r="N1165" s="3">
        <v>109.99</v>
      </c>
      <c r="O1165" s="2" t="s">
        <v>473</v>
      </c>
      <c r="P1165" s="2" t="s">
        <v>447</v>
      </c>
      <c r="Q1165" s="2" t="s">
        <v>99</v>
      </c>
      <c r="R1165" s="2" t="s">
        <v>100</v>
      </c>
      <c r="S1165" s="2" t="s">
        <v>3823</v>
      </c>
      <c r="T1165" s="2" t="s">
        <v>100</v>
      </c>
      <c r="U1165" s="2" t="s">
        <v>343</v>
      </c>
      <c r="V1165" s="2" t="s">
        <v>734</v>
      </c>
      <c r="W1165" s="2" t="s">
        <v>104</v>
      </c>
      <c r="X1165" s="2" t="s">
        <v>450</v>
      </c>
      <c r="Y1165" s="2" t="s">
        <v>131</v>
      </c>
      <c r="Z1165" s="4">
        <v>370</v>
      </c>
      <c r="AA1165" s="4">
        <f>=ROUNDDOWN(123.333333333333,0)</f>
      </c>
      <c r="AB1165" s="5">
        <v>3</v>
      </c>
      <c r="AC1165" s="2" t="s">
        <v>100</v>
      </c>
      <c r="AD1165" s="4"/>
      <c r="AE1165" s="4"/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/>
      <c r="AQ1165" s="8"/>
      <c r="AR1165" s="4"/>
      <c r="AS1165" s="8"/>
      <c r="AT1165" s="7"/>
      <c r="AU1165" s="7"/>
      <c r="AV1165" s="4" t="s">
        <v>100</v>
      </c>
      <c r="AW1165" s="8" t="s">
        <v>100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/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/>
      <c r="BJ1165" s="4">
        <v>3</v>
      </c>
      <c r="BK1165" s="8">
        <v>80.58</v>
      </c>
      <c r="BL1165" s="2" t="s">
        <v>133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544</v>
      </c>
      <c r="BX1165" s="2" t="s">
        <v>1009</v>
      </c>
      <c r="BY1165" s="2" t="s">
        <v>112</v>
      </c>
      <c r="BZ1165" s="2" t="s">
        <v>100</v>
      </c>
    </row>
    <row r="1166">
      <c r="A1166" s="2" t="s">
        <v>3829</v>
      </c>
      <c r="B1166" s="2" t="s">
        <v>87</v>
      </c>
      <c r="C1166" s="2" t="s">
        <v>3381</v>
      </c>
      <c r="D1166" s="2" t="s">
        <v>89</v>
      </c>
      <c r="E1166" s="2" t="s">
        <v>1944</v>
      </c>
      <c r="F1166" s="2" t="s">
        <v>3820</v>
      </c>
      <c r="G1166" s="2" t="s">
        <v>3821</v>
      </c>
      <c r="H1166" s="2" t="s">
        <v>3822</v>
      </c>
      <c r="I1166" s="2" t="s">
        <v>3532</v>
      </c>
      <c r="J1166" s="2" t="s">
        <v>120</v>
      </c>
      <c r="K1166" s="2" t="s">
        <v>146</v>
      </c>
      <c r="L1166" s="3">
        <v>67.59</v>
      </c>
      <c r="M1166" s="3">
        <v>70.97</v>
      </c>
      <c r="N1166" s="3">
        <v>129.99</v>
      </c>
      <c r="O1166" s="2" t="s">
        <v>97</v>
      </c>
      <c r="P1166" s="2" t="s">
        <v>447</v>
      </c>
      <c r="Q1166" s="2" t="s">
        <v>99</v>
      </c>
      <c r="R1166" s="2" t="s">
        <v>100</v>
      </c>
      <c r="S1166" s="2" t="s">
        <v>3823</v>
      </c>
      <c r="T1166" s="2" t="s">
        <v>100</v>
      </c>
      <c r="U1166" s="2" t="s">
        <v>343</v>
      </c>
      <c r="V1166" s="2" t="s">
        <v>734</v>
      </c>
      <c r="W1166" s="2" t="s">
        <v>104</v>
      </c>
      <c r="X1166" s="2" t="s">
        <v>450</v>
      </c>
      <c r="Y1166" s="2" t="s">
        <v>131</v>
      </c>
      <c r="Z1166" s="4">
        <v>30</v>
      </c>
      <c r="AA1166" s="4">
        <f>=ROUNDDOWN(10,0)</f>
      </c>
      <c r="AB1166" s="5">
        <v>3</v>
      </c>
      <c r="AC1166" s="2" t="s">
        <v>100</v>
      </c>
      <c r="AD1166" s="4"/>
      <c r="AE1166" s="4"/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/>
      <c r="AQ1166" s="8"/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/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/>
      <c r="BJ1166" s="4">
        <v>1</v>
      </c>
      <c r="BK1166" s="8">
        <v>75.31</v>
      </c>
      <c r="BL1166" s="2" t="s">
        <v>2115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544</v>
      </c>
      <c r="BX1166" s="2" t="s">
        <v>457</v>
      </c>
      <c r="BY1166" s="2" t="s">
        <v>112</v>
      </c>
      <c r="BZ1166" s="2" t="s">
        <v>100</v>
      </c>
    </row>
    <row r="1167">
      <c r="A1167" s="2" t="s">
        <v>3830</v>
      </c>
      <c r="B1167" s="2" t="s">
        <v>87</v>
      </c>
      <c r="C1167" s="2" t="s">
        <v>3381</v>
      </c>
      <c r="D1167" s="2" t="s">
        <v>89</v>
      </c>
      <c r="E1167" s="2" t="s">
        <v>1944</v>
      </c>
      <c r="F1167" s="2" t="s">
        <v>3820</v>
      </c>
      <c r="G1167" s="2" t="s">
        <v>3821</v>
      </c>
      <c r="H1167" s="2" t="s">
        <v>3822</v>
      </c>
      <c r="I1167" s="2" t="s">
        <v>3532</v>
      </c>
      <c r="J1167" s="2" t="s">
        <v>124</v>
      </c>
      <c r="K1167" s="2" t="s">
        <v>146</v>
      </c>
      <c r="L1167" s="3">
        <v>67.59</v>
      </c>
      <c r="M1167" s="3">
        <v>70.97</v>
      </c>
      <c r="N1167" s="3">
        <v>129.99</v>
      </c>
      <c r="O1167" s="2" t="s">
        <v>97</v>
      </c>
      <c r="P1167" s="2" t="s">
        <v>447</v>
      </c>
      <c r="Q1167" s="2" t="s">
        <v>99</v>
      </c>
      <c r="R1167" s="2" t="s">
        <v>100</v>
      </c>
      <c r="S1167" s="2" t="s">
        <v>3823</v>
      </c>
      <c r="T1167" s="2" t="s">
        <v>100</v>
      </c>
      <c r="U1167" s="2" t="s">
        <v>343</v>
      </c>
      <c r="V1167" s="2" t="s">
        <v>734</v>
      </c>
      <c r="W1167" s="2" t="s">
        <v>104</v>
      </c>
      <c r="X1167" s="2" t="s">
        <v>450</v>
      </c>
      <c r="Y1167" s="2" t="s">
        <v>131</v>
      </c>
      <c r="Z1167" s="4">
        <v>78</v>
      </c>
      <c r="AA1167" s="4">
        <f>=ROUNDDOWN(45.8823529411765,0)</f>
      </c>
      <c r="AB1167" s="5">
        <v>1.7</v>
      </c>
      <c r="AC1167" s="2" t="s">
        <v>100</v>
      </c>
      <c r="AD1167" s="4"/>
      <c r="AE1167" s="4"/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/>
      <c r="AQ1167" s="8"/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/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/>
      <c r="BJ1167" s="4">
        <v>2</v>
      </c>
      <c r="BK1167" s="8">
        <v>62.76</v>
      </c>
      <c r="BL1167" s="2" t="s">
        <v>224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544</v>
      </c>
      <c r="BX1167" s="2" t="s">
        <v>469</v>
      </c>
      <c r="BY1167" s="2" t="s">
        <v>112</v>
      </c>
      <c r="BZ1167" s="2" t="s">
        <v>100</v>
      </c>
    </row>
    <row r="1168">
      <c r="A1168" s="2" t="s">
        <v>3831</v>
      </c>
      <c r="B1168" s="2" t="s">
        <v>87</v>
      </c>
      <c r="C1168" s="2" t="s">
        <v>3381</v>
      </c>
      <c r="D1168" s="2" t="s">
        <v>89</v>
      </c>
      <c r="E1168" s="2" t="s">
        <v>1944</v>
      </c>
      <c r="F1168" s="2" t="s">
        <v>3820</v>
      </c>
      <c r="G1168" s="2" t="s">
        <v>3821</v>
      </c>
      <c r="H1168" s="2" t="s">
        <v>3822</v>
      </c>
      <c r="I1168" s="2" t="s">
        <v>3527</v>
      </c>
      <c r="J1168" s="2" t="s">
        <v>2236</v>
      </c>
      <c r="K1168" s="2" t="s">
        <v>163</v>
      </c>
      <c r="L1168" s="3">
        <v>51.99</v>
      </c>
      <c r="M1168" s="3">
        <v>54.59</v>
      </c>
      <c r="N1168" s="3">
        <v>99.99</v>
      </c>
      <c r="O1168" s="2" t="s">
        <v>97</v>
      </c>
      <c r="P1168" s="2" t="s">
        <v>447</v>
      </c>
      <c r="Q1168" s="2" t="s">
        <v>99</v>
      </c>
      <c r="R1168" s="2" t="s">
        <v>100</v>
      </c>
      <c r="S1168" s="2" t="s">
        <v>3832</v>
      </c>
      <c r="T1168" s="2" t="s">
        <v>100</v>
      </c>
      <c r="U1168" s="2" t="s">
        <v>102</v>
      </c>
      <c r="V1168" s="2" t="s">
        <v>734</v>
      </c>
      <c r="W1168" s="2" t="s">
        <v>104</v>
      </c>
      <c r="X1168" s="2" t="s">
        <v>450</v>
      </c>
      <c r="Y1168" s="2" t="s">
        <v>131</v>
      </c>
      <c r="Z1168" s="4"/>
      <c r="AA1168" s="4">
        <f>=ROUNDDOWN({0},0)</f>
      </c>
      <c r="AB1168" s="5">
        <v>2</v>
      </c>
      <c r="AC1168" s="2" t="s">
        <v>100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/>
      <c r="AQ1168" s="8"/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/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/>
      <c r="BJ1168" s="4">
        <v>3</v>
      </c>
      <c r="BK1168" s="8">
        <v>81.08</v>
      </c>
      <c r="BL1168" s="2" t="s">
        <v>534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544</v>
      </c>
      <c r="BX1168" s="2" t="s">
        <v>463</v>
      </c>
      <c r="BY1168" s="2" t="s">
        <v>112</v>
      </c>
      <c r="BZ1168" s="2" t="s">
        <v>100</v>
      </c>
    </row>
    <row r="1169">
      <c r="A1169" s="2" t="s">
        <v>3833</v>
      </c>
      <c r="B1169" s="2" t="s">
        <v>87</v>
      </c>
      <c r="C1169" s="2" t="s">
        <v>3381</v>
      </c>
      <c r="D1169" s="2" t="s">
        <v>89</v>
      </c>
      <c r="E1169" s="2" t="s">
        <v>1944</v>
      </c>
      <c r="F1169" s="2" t="s">
        <v>3820</v>
      </c>
      <c r="G1169" s="2" t="s">
        <v>3821</v>
      </c>
      <c r="H1169" s="2" t="s">
        <v>3822</v>
      </c>
      <c r="I1169" s="2" t="s">
        <v>3532</v>
      </c>
      <c r="J1169" s="2" t="s">
        <v>114</v>
      </c>
      <c r="K1169" s="2" t="s">
        <v>163</v>
      </c>
      <c r="L1169" s="3">
        <v>62.39</v>
      </c>
      <c r="M1169" s="3">
        <v>65.51</v>
      </c>
      <c r="N1169" s="3">
        <v>119.99</v>
      </c>
      <c r="O1169" s="2" t="s">
        <v>97</v>
      </c>
      <c r="P1169" s="2" t="s">
        <v>447</v>
      </c>
      <c r="Q1169" s="2" t="s">
        <v>99</v>
      </c>
      <c r="R1169" s="2" t="s">
        <v>100</v>
      </c>
      <c r="S1169" s="2" t="s">
        <v>3832</v>
      </c>
      <c r="T1169" s="2" t="s">
        <v>100</v>
      </c>
      <c r="U1169" s="2" t="s">
        <v>343</v>
      </c>
      <c r="V1169" s="2" t="s">
        <v>734</v>
      </c>
      <c r="W1169" s="2" t="s">
        <v>104</v>
      </c>
      <c r="X1169" s="2" t="s">
        <v>450</v>
      </c>
      <c r="Y1169" s="2" t="s">
        <v>131</v>
      </c>
      <c r="Z1169" s="4">
        <v>3</v>
      </c>
      <c r="AA1169" s="4">
        <f>=ROUNDDOWN(0.5,0)</f>
      </c>
      <c r="AB1169" s="5">
        <v>6</v>
      </c>
      <c r="AC1169" s="2" t="s">
        <v>100</v>
      </c>
      <c r="AD1169" s="4"/>
      <c r="AE1169" s="4"/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/>
      <c r="AQ1169" s="8"/>
      <c r="AR1169" s="4"/>
      <c r="AS1169" s="8"/>
      <c r="AT1169" s="7"/>
      <c r="AU1169" s="7"/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/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/>
      <c r="BJ1169" s="4">
        <v>3</v>
      </c>
      <c r="BK1169" s="8">
        <v>95.41</v>
      </c>
      <c r="BL1169" s="2" t="s">
        <v>534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544</v>
      </c>
      <c r="BX1169" s="2" t="s">
        <v>457</v>
      </c>
      <c r="BY1169" s="2" t="s">
        <v>112</v>
      </c>
      <c r="BZ1169" s="2" t="s">
        <v>100</v>
      </c>
    </row>
    <row r="1170">
      <c r="A1170" s="2" t="s">
        <v>3834</v>
      </c>
      <c r="B1170" s="2" t="s">
        <v>87</v>
      </c>
      <c r="C1170" s="2" t="s">
        <v>3381</v>
      </c>
      <c r="D1170" s="2" t="s">
        <v>89</v>
      </c>
      <c r="E1170" s="2" t="s">
        <v>1944</v>
      </c>
      <c r="F1170" s="2" t="s">
        <v>3820</v>
      </c>
      <c r="G1170" s="2" t="s">
        <v>3821</v>
      </c>
      <c r="H1170" s="2" t="s">
        <v>3822</v>
      </c>
      <c r="I1170" s="2" t="s">
        <v>3532</v>
      </c>
      <c r="J1170" s="2" t="s">
        <v>120</v>
      </c>
      <c r="K1170" s="2" t="s">
        <v>163</v>
      </c>
      <c r="L1170" s="3">
        <v>67.59</v>
      </c>
      <c r="M1170" s="3">
        <v>70.97</v>
      </c>
      <c r="N1170" s="3">
        <v>129.99</v>
      </c>
      <c r="O1170" s="2" t="s">
        <v>97</v>
      </c>
      <c r="P1170" s="2" t="s">
        <v>447</v>
      </c>
      <c r="Q1170" s="2" t="s">
        <v>99</v>
      </c>
      <c r="R1170" s="2" t="s">
        <v>100</v>
      </c>
      <c r="S1170" s="2" t="s">
        <v>3832</v>
      </c>
      <c r="T1170" s="2" t="s">
        <v>100</v>
      </c>
      <c r="U1170" s="2" t="s">
        <v>343</v>
      </c>
      <c r="V1170" s="2" t="s">
        <v>734</v>
      </c>
      <c r="W1170" s="2" t="s">
        <v>104</v>
      </c>
      <c r="X1170" s="2" t="s">
        <v>450</v>
      </c>
      <c r="Y1170" s="2" t="s">
        <v>131</v>
      </c>
      <c r="Z1170" s="4">
        <v>9</v>
      </c>
      <c r="AA1170" s="4">
        <f>=ROUNDDOWN(2,0)</f>
      </c>
      <c r="AB1170" s="5">
        <v>4.5</v>
      </c>
      <c r="AC1170" s="2" t="s">
        <v>100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/>
      <c r="AQ1170" s="8"/>
      <c r="AR1170" s="4"/>
      <c r="AS1170" s="8"/>
      <c r="AT1170" s="7"/>
      <c r="AU1170" s="7"/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/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/>
      <c r="BJ1170" s="4">
        <v>4</v>
      </c>
      <c r="BK1170" s="8">
        <v>144.18</v>
      </c>
      <c r="BL1170" s="2" t="s">
        <v>534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544</v>
      </c>
      <c r="BX1170" s="2" t="s">
        <v>170</v>
      </c>
      <c r="BY1170" s="2" t="s">
        <v>112</v>
      </c>
      <c r="BZ1170" s="2" t="s">
        <v>100</v>
      </c>
    </row>
    <row r="1171">
      <c r="A1171" s="2" t="s">
        <v>3835</v>
      </c>
      <c r="B1171" s="2" t="s">
        <v>87</v>
      </c>
      <c r="C1171" s="2" t="s">
        <v>3381</v>
      </c>
      <c r="D1171" s="2" t="s">
        <v>89</v>
      </c>
      <c r="E1171" s="2" t="s">
        <v>1944</v>
      </c>
      <c r="F1171" s="2" t="s">
        <v>3820</v>
      </c>
      <c r="G1171" s="2" t="s">
        <v>3821</v>
      </c>
      <c r="H1171" s="2" t="s">
        <v>3822</v>
      </c>
      <c r="I1171" s="2" t="s">
        <v>3532</v>
      </c>
      <c r="J1171" s="2" t="s">
        <v>124</v>
      </c>
      <c r="K1171" s="2" t="s">
        <v>163</v>
      </c>
      <c r="L1171" s="3">
        <v>67.59</v>
      </c>
      <c r="M1171" s="3">
        <v>70.97</v>
      </c>
      <c r="N1171" s="3">
        <v>129.99</v>
      </c>
      <c r="O1171" s="2" t="s">
        <v>97</v>
      </c>
      <c r="P1171" s="2" t="s">
        <v>447</v>
      </c>
      <c r="Q1171" s="2" t="s">
        <v>99</v>
      </c>
      <c r="R1171" s="2" t="s">
        <v>100</v>
      </c>
      <c r="S1171" s="2" t="s">
        <v>3832</v>
      </c>
      <c r="T1171" s="2" t="s">
        <v>100</v>
      </c>
      <c r="U1171" s="2" t="s">
        <v>343</v>
      </c>
      <c r="V1171" s="2" t="s">
        <v>734</v>
      </c>
      <c r="W1171" s="2" t="s">
        <v>104</v>
      </c>
      <c r="X1171" s="2" t="s">
        <v>450</v>
      </c>
      <c r="Y1171" s="2" t="s">
        <v>131</v>
      </c>
      <c r="Z1171" s="4">
        <v>22</v>
      </c>
      <c r="AA1171" s="4">
        <f>=ROUNDDOWN(11,0)</f>
      </c>
      <c r="AB1171" s="5">
        <v>2</v>
      </c>
      <c r="AC1171" s="2" t="s">
        <v>100</v>
      </c>
      <c r="AD1171" s="4"/>
      <c r="AE1171" s="4"/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/>
      <c r="AQ1171" s="8"/>
      <c r="AR1171" s="4"/>
      <c r="AS1171" s="8"/>
      <c r="AT1171" s="7"/>
      <c r="AU1171" s="7"/>
      <c r="AV1171" s="4" t="s">
        <v>100</v>
      </c>
      <c r="AW1171" s="8" t="s">
        <v>100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/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/>
      <c r="BJ1171" s="4">
        <v>2</v>
      </c>
      <c r="BK1171" s="8">
        <v>65.44</v>
      </c>
      <c r="BL1171" s="2" t="s">
        <v>133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544</v>
      </c>
      <c r="BX1171" s="2" t="s">
        <v>3836</v>
      </c>
      <c r="BY1171" s="2" t="s">
        <v>112</v>
      </c>
      <c r="BZ1171" s="2" t="s">
        <v>100</v>
      </c>
    </row>
    <row r="1172">
      <c r="A1172" s="2" t="s">
        <v>3837</v>
      </c>
      <c r="B1172" s="2" t="s">
        <v>87</v>
      </c>
      <c r="C1172" s="2" t="s">
        <v>3381</v>
      </c>
      <c r="D1172" s="2" t="s">
        <v>89</v>
      </c>
      <c r="E1172" s="2" t="s">
        <v>1944</v>
      </c>
      <c r="F1172" s="2" t="s">
        <v>3820</v>
      </c>
      <c r="G1172" s="2" t="s">
        <v>3821</v>
      </c>
      <c r="H1172" s="2" t="s">
        <v>3822</v>
      </c>
      <c r="I1172" s="2" t="s">
        <v>3532</v>
      </c>
      <c r="J1172" s="2" t="s">
        <v>114</v>
      </c>
      <c r="K1172" s="2" t="s">
        <v>175</v>
      </c>
      <c r="L1172" s="3">
        <v>62.39</v>
      </c>
      <c r="M1172" s="3">
        <v>65.51</v>
      </c>
      <c r="N1172" s="3">
        <v>119.99</v>
      </c>
      <c r="O1172" s="2" t="s">
        <v>1715</v>
      </c>
      <c r="P1172" s="2" t="s">
        <v>447</v>
      </c>
      <c r="Q1172" s="2" t="s">
        <v>99</v>
      </c>
      <c r="R1172" s="2" t="s">
        <v>100</v>
      </c>
      <c r="S1172" s="2" t="s">
        <v>3838</v>
      </c>
      <c r="T1172" s="2" t="s">
        <v>100</v>
      </c>
      <c r="U1172" s="2" t="s">
        <v>343</v>
      </c>
      <c r="V1172" s="2" t="s">
        <v>734</v>
      </c>
      <c r="W1172" s="2" t="s">
        <v>104</v>
      </c>
      <c r="X1172" s="2" t="s">
        <v>450</v>
      </c>
      <c r="Y1172" s="2" t="s">
        <v>131</v>
      </c>
      <c r="Z1172" s="4"/>
      <c r="AA1172" s="4">
        <f>=ROUNDDOWN({0},0)</f>
      </c>
      <c r="AB1172" s="5">
        <v>2.9</v>
      </c>
      <c r="AC1172" s="2" t="s">
        <v>100</v>
      </c>
      <c r="AD1172" s="4"/>
      <c r="AE1172" s="4"/>
      <c r="AF1172" s="6">
        <v>64</v>
      </c>
      <c r="AG1172" s="6"/>
      <c r="AH1172" s="7">
        <v>0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/>
      <c r="BJ1172" s="4"/>
      <c r="BK1172" s="8"/>
      <c r="BL1172" s="2" t="s">
        <v>100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544</v>
      </c>
      <c r="BX1172" s="2" t="s">
        <v>3839</v>
      </c>
      <c r="BY1172" s="2" t="s">
        <v>112</v>
      </c>
      <c r="BZ1172" s="2" t="s">
        <v>100</v>
      </c>
    </row>
    <row r="1173">
      <c r="A1173" s="2" t="s">
        <v>3840</v>
      </c>
      <c r="B1173" s="2" t="s">
        <v>87</v>
      </c>
      <c r="C1173" s="2" t="s">
        <v>3381</v>
      </c>
      <c r="D1173" s="2" t="s">
        <v>89</v>
      </c>
      <c r="E1173" s="2" t="s">
        <v>1944</v>
      </c>
      <c r="F1173" s="2" t="s">
        <v>3841</v>
      </c>
      <c r="G1173" s="2" t="s">
        <v>3842</v>
      </c>
      <c r="H1173" s="2" t="s">
        <v>3843</v>
      </c>
      <c r="I1173" s="2" t="s">
        <v>3844</v>
      </c>
      <c r="J1173" s="2" t="s">
        <v>2236</v>
      </c>
      <c r="K1173" s="2" t="s">
        <v>163</v>
      </c>
      <c r="L1173" s="3">
        <v>38.4</v>
      </c>
      <c r="M1173" s="3">
        <v>40.31</v>
      </c>
      <c r="N1173" s="3">
        <v>79.99</v>
      </c>
      <c r="O1173" s="2" t="s">
        <v>97</v>
      </c>
      <c r="P1173" s="2" t="s">
        <v>98</v>
      </c>
      <c r="Q1173" s="2" t="s">
        <v>99</v>
      </c>
      <c r="R1173" s="2" t="s">
        <v>100</v>
      </c>
      <c r="S1173" s="2" t="s">
        <v>3845</v>
      </c>
      <c r="T1173" s="2" t="s">
        <v>100</v>
      </c>
      <c r="U1173" s="2" t="s">
        <v>676</v>
      </c>
      <c r="V1173" s="2" t="s">
        <v>1112</v>
      </c>
      <c r="W1173" s="2" t="s">
        <v>976</v>
      </c>
      <c r="X1173" s="2" t="s">
        <v>1241</v>
      </c>
      <c r="Y1173" s="2" t="s">
        <v>704</v>
      </c>
      <c r="Z1173" s="4">
        <v>208</v>
      </c>
      <c r="AA1173" s="4">
        <f>=ROUNDDOWN(34.6666666666667,0)</f>
      </c>
      <c r="AB1173" s="5">
        <v>6</v>
      </c>
      <c r="AC1173" s="2" t="s">
        <v>695</v>
      </c>
      <c r="AD1173" s="4">
        <v>30</v>
      </c>
      <c r="AE1173" s="4">
        <v>110</v>
      </c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100</v>
      </c>
      <c r="AW1173" s="8" t="s">
        <v>100</v>
      </c>
      <c r="AX1173" s="4" t="s">
        <v>100</v>
      </c>
      <c r="AY1173" s="8" t="s">
        <v>100</v>
      </c>
      <c r="AZ1173" s="7" t="s">
        <v>100</v>
      </c>
      <c r="BA1173" s="7" t="s">
        <v>100</v>
      </c>
      <c r="BB1173" s="7"/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/>
      <c r="BJ1173" s="4">
        <v>8</v>
      </c>
      <c r="BK1173" s="8">
        <v>337.02</v>
      </c>
      <c r="BL1173" s="2" t="s">
        <v>2808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266</v>
      </c>
      <c r="BX1173" s="2" t="s">
        <v>3555</v>
      </c>
      <c r="BY1173" s="2" t="s">
        <v>112</v>
      </c>
      <c r="BZ1173" s="2" t="s">
        <v>100</v>
      </c>
    </row>
    <row r="1174">
      <c r="A1174" s="2" t="s">
        <v>3846</v>
      </c>
      <c r="B1174" s="2" t="s">
        <v>87</v>
      </c>
      <c r="C1174" s="2" t="s">
        <v>3381</v>
      </c>
      <c r="D1174" s="2" t="s">
        <v>89</v>
      </c>
      <c r="E1174" s="2" t="s">
        <v>1944</v>
      </c>
      <c r="F1174" s="2" t="s">
        <v>3841</v>
      </c>
      <c r="G1174" s="2" t="s">
        <v>3842</v>
      </c>
      <c r="H1174" s="2" t="s">
        <v>3843</v>
      </c>
      <c r="I1174" s="2" t="s">
        <v>3847</v>
      </c>
      <c r="J1174" s="2" t="s">
        <v>95</v>
      </c>
      <c r="K1174" s="2" t="s">
        <v>163</v>
      </c>
      <c r="L1174" s="3">
        <v>43.2</v>
      </c>
      <c r="M1174" s="3">
        <v>45.35</v>
      </c>
      <c r="N1174" s="3">
        <v>89.99</v>
      </c>
      <c r="O1174" s="2" t="s">
        <v>97</v>
      </c>
      <c r="P1174" s="2" t="s">
        <v>98</v>
      </c>
      <c r="Q1174" s="2" t="s">
        <v>99</v>
      </c>
      <c r="R1174" s="2" t="s">
        <v>100</v>
      </c>
      <c r="S1174" s="2" t="s">
        <v>3845</v>
      </c>
      <c r="T1174" s="2" t="s">
        <v>100</v>
      </c>
      <c r="U1174" s="2" t="s">
        <v>283</v>
      </c>
      <c r="V1174" s="2" t="s">
        <v>1112</v>
      </c>
      <c r="W1174" s="2" t="s">
        <v>976</v>
      </c>
      <c r="X1174" s="2" t="s">
        <v>1241</v>
      </c>
      <c r="Y1174" s="2" t="s">
        <v>704</v>
      </c>
      <c r="Z1174" s="4">
        <v>266</v>
      </c>
      <c r="AA1174" s="4">
        <f>=ROUNDDOWN(26.6,0)</f>
      </c>
      <c r="AB1174" s="5">
        <v>10</v>
      </c>
      <c r="AC1174" s="2" t="s">
        <v>695</v>
      </c>
      <c r="AD1174" s="4">
        <v>60</v>
      </c>
      <c r="AE1174" s="4">
        <v>200</v>
      </c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100</v>
      </c>
      <c r="AW1174" s="8" t="s">
        <v>100</v>
      </c>
      <c r="AX1174" s="4" t="s">
        <v>100</v>
      </c>
      <c r="AY1174" s="8" t="s">
        <v>100</v>
      </c>
      <c r="AZ1174" s="7" t="s">
        <v>100</v>
      </c>
      <c r="BA1174" s="7" t="s">
        <v>100</v>
      </c>
      <c r="BB1174" s="7"/>
      <c r="BC1174" s="4" t="s">
        <v>100</v>
      </c>
      <c r="BD1174" s="8" t="s">
        <v>100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/>
      <c r="BJ1174" s="4">
        <v>7</v>
      </c>
      <c r="BK1174" s="8">
        <v>331.54</v>
      </c>
      <c r="BL1174" s="2" t="s">
        <v>3848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266</v>
      </c>
      <c r="BX1174" s="2" t="s">
        <v>363</v>
      </c>
      <c r="BY1174" s="2" t="s">
        <v>112</v>
      </c>
      <c r="BZ1174" s="2" t="s">
        <v>100</v>
      </c>
    </row>
    <row r="1175">
      <c r="A1175" s="2" t="s">
        <v>3849</v>
      </c>
      <c r="B1175" s="2" t="s">
        <v>87</v>
      </c>
      <c r="C1175" s="2" t="s">
        <v>3381</v>
      </c>
      <c r="D1175" s="2" t="s">
        <v>89</v>
      </c>
      <c r="E1175" s="2" t="s">
        <v>1944</v>
      </c>
      <c r="F1175" s="2" t="s">
        <v>3841</v>
      </c>
      <c r="G1175" s="2" t="s">
        <v>3842</v>
      </c>
      <c r="H1175" s="2" t="s">
        <v>3843</v>
      </c>
      <c r="I1175" s="2" t="s">
        <v>3847</v>
      </c>
      <c r="J1175" s="2" t="s">
        <v>114</v>
      </c>
      <c r="K1175" s="2" t="s">
        <v>163</v>
      </c>
      <c r="L1175" s="3">
        <v>49</v>
      </c>
      <c r="M1175" s="3">
        <v>51.44</v>
      </c>
      <c r="N1175" s="3">
        <v>99.99</v>
      </c>
      <c r="O1175" s="2" t="s">
        <v>97</v>
      </c>
      <c r="P1175" s="2" t="s">
        <v>98</v>
      </c>
      <c r="Q1175" s="2" t="s">
        <v>99</v>
      </c>
      <c r="R1175" s="2" t="s">
        <v>100</v>
      </c>
      <c r="S1175" s="2" t="s">
        <v>3845</v>
      </c>
      <c r="T1175" s="2" t="s">
        <v>100</v>
      </c>
      <c r="U1175" s="2" t="s">
        <v>283</v>
      </c>
      <c r="V1175" s="2" t="s">
        <v>1112</v>
      </c>
      <c r="W1175" s="2" t="s">
        <v>976</v>
      </c>
      <c r="X1175" s="2" t="s">
        <v>1241</v>
      </c>
      <c r="Y1175" s="2" t="s">
        <v>704</v>
      </c>
      <c r="Z1175" s="4">
        <v>239</v>
      </c>
      <c r="AA1175" s="4">
        <f>=ROUNDDOWN(26.5555555555556,0)</f>
      </c>
      <c r="AB1175" s="5">
        <v>9</v>
      </c>
      <c r="AC1175" s="2" t="s">
        <v>695</v>
      </c>
      <c r="AD1175" s="4">
        <v>150</v>
      </c>
      <c r="AE1175" s="4">
        <v>310</v>
      </c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/>
      <c r="AQ1175" s="8"/>
      <c r="AR1175" s="4"/>
      <c r="AS1175" s="8"/>
      <c r="AT1175" s="7"/>
      <c r="AU1175" s="7"/>
      <c r="AV1175" s="4" t="s">
        <v>100</v>
      </c>
      <c r="AW1175" s="8" t="s">
        <v>100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/>
      <c r="BC1175" s="4" t="s">
        <v>100</v>
      </c>
      <c r="BD1175" s="8" t="s">
        <v>100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/>
      <c r="BJ1175" s="4">
        <v>9</v>
      </c>
      <c r="BK1175" s="8">
        <v>470.13</v>
      </c>
      <c r="BL1175" s="2" t="s">
        <v>2450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266</v>
      </c>
      <c r="BX1175" s="2" t="s">
        <v>1792</v>
      </c>
      <c r="BY1175" s="2" t="s">
        <v>112</v>
      </c>
      <c r="BZ1175" s="2" t="s">
        <v>100</v>
      </c>
    </row>
    <row r="1176">
      <c r="A1176" s="2" t="s">
        <v>3850</v>
      </c>
      <c r="B1176" s="2" t="s">
        <v>87</v>
      </c>
      <c r="C1176" s="2" t="s">
        <v>3381</v>
      </c>
      <c r="D1176" s="2" t="s">
        <v>89</v>
      </c>
      <c r="E1176" s="2" t="s">
        <v>1944</v>
      </c>
      <c r="F1176" s="2" t="s">
        <v>3841</v>
      </c>
      <c r="G1176" s="2" t="s">
        <v>3842</v>
      </c>
      <c r="H1176" s="2" t="s">
        <v>3843</v>
      </c>
      <c r="I1176" s="2" t="s">
        <v>3847</v>
      </c>
      <c r="J1176" s="2" t="s">
        <v>120</v>
      </c>
      <c r="K1176" s="2" t="s">
        <v>163</v>
      </c>
      <c r="L1176" s="3">
        <v>53.9</v>
      </c>
      <c r="M1176" s="3">
        <v>56.59</v>
      </c>
      <c r="N1176" s="3">
        <v>109.99</v>
      </c>
      <c r="O1176" s="2" t="s">
        <v>97</v>
      </c>
      <c r="P1176" s="2" t="s">
        <v>98</v>
      </c>
      <c r="Q1176" s="2" t="s">
        <v>99</v>
      </c>
      <c r="R1176" s="2" t="s">
        <v>100</v>
      </c>
      <c r="S1176" s="2" t="s">
        <v>3845</v>
      </c>
      <c r="T1176" s="2" t="s">
        <v>100</v>
      </c>
      <c r="U1176" s="2" t="s">
        <v>283</v>
      </c>
      <c r="V1176" s="2" t="s">
        <v>1112</v>
      </c>
      <c r="W1176" s="2" t="s">
        <v>976</v>
      </c>
      <c r="X1176" s="2" t="s">
        <v>1241</v>
      </c>
      <c r="Y1176" s="2" t="s">
        <v>704</v>
      </c>
      <c r="Z1176" s="4">
        <v>105</v>
      </c>
      <c r="AA1176" s="4">
        <f>=ROUNDDOWN(70,0)</f>
      </c>
      <c r="AB1176" s="5">
        <v>1.5</v>
      </c>
      <c r="AC1176" s="2" t="s">
        <v>695</v>
      </c>
      <c r="AD1176" s="4">
        <v>50</v>
      </c>
      <c r="AE1176" s="4">
        <v>120</v>
      </c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/>
      <c r="AQ1176" s="8"/>
      <c r="AR1176" s="4"/>
      <c r="AS1176" s="8"/>
      <c r="AT1176" s="7"/>
      <c r="AU1176" s="7"/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/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/>
      <c r="BJ1176" s="4">
        <v>1</v>
      </c>
      <c r="BK1176" s="8">
        <v>53.82</v>
      </c>
      <c r="BL1176" s="2" t="s">
        <v>3766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266</v>
      </c>
      <c r="BX1176" s="2" t="s">
        <v>3851</v>
      </c>
      <c r="BY1176" s="2" t="s">
        <v>112</v>
      </c>
      <c r="BZ1176" s="2" t="s">
        <v>100</v>
      </c>
    </row>
    <row r="1177">
      <c r="A1177" s="2" t="s">
        <v>3852</v>
      </c>
      <c r="B1177" s="2" t="s">
        <v>87</v>
      </c>
      <c r="C1177" s="2" t="s">
        <v>3381</v>
      </c>
      <c r="D1177" s="2" t="s">
        <v>89</v>
      </c>
      <c r="E1177" s="2" t="s">
        <v>1944</v>
      </c>
      <c r="F1177" s="2" t="s">
        <v>3841</v>
      </c>
      <c r="G1177" s="2" t="s">
        <v>3842</v>
      </c>
      <c r="H1177" s="2" t="s">
        <v>3843</v>
      </c>
      <c r="I1177" s="2" t="s">
        <v>3847</v>
      </c>
      <c r="J1177" s="2" t="s">
        <v>124</v>
      </c>
      <c r="K1177" s="2" t="s">
        <v>163</v>
      </c>
      <c r="L1177" s="3">
        <v>54.99</v>
      </c>
      <c r="M1177" s="3">
        <v>57.74</v>
      </c>
      <c r="N1177" s="3">
        <v>109.99</v>
      </c>
      <c r="O1177" s="2" t="s">
        <v>97</v>
      </c>
      <c r="P1177" s="2" t="s">
        <v>98</v>
      </c>
      <c r="Q1177" s="2" t="s">
        <v>99</v>
      </c>
      <c r="R1177" s="2" t="s">
        <v>100</v>
      </c>
      <c r="S1177" s="2" t="s">
        <v>3845</v>
      </c>
      <c r="T1177" s="2" t="s">
        <v>100</v>
      </c>
      <c r="U1177" s="2" t="s">
        <v>283</v>
      </c>
      <c r="V1177" s="2" t="s">
        <v>1112</v>
      </c>
      <c r="W1177" s="2" t="s">
        <v>976</v>
      </c>
      <c r="X1177" s="2" t="s">
        <v>1241</v>
      </c>
      <c r="Y1177" s="2" t="s">
        <v>704</v>
      </c>
      <c r="Z1177" s="4">
        <v>123</v>
      </c>
      <c r="AA1177" s="4">
        <f>=ROUNDDOWN(61.5,0)</f>
      </c>
      <c r="AB1177" s="5">
        <v>2</v>
      </c>
      <c r="AC1177" s="2" t="s">
        <v>695</v>
      </c>
      <c r="AD1177" s="4">
        <v>30</v>
      </c>
      <c r="AE1177" s="4">
        <v>60</v>
      </c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/>
      <c r="AQ1177" s="8"/>
      <c r="AR1177" s="4"/>
      <c r="AS1177" s="8"/>
      <c r="AT1177" s="7"/>
      <c r="AU1177" s="7"/>
      <c r="AV1177" s="4" t="s">
        <v>100</v>
      </c>
      <c r="AW1177" s="8" t="s">
        <v>100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/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/>
      <c r="BJ1177" s="4">
        <v>1</v>
      </c>
      <c r="BK1177" s="8">
        <v>62.09</v>
      </c>
      <c r="BL1177" s="2" t="s">
        <v>441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270</v>
      </c>
      <c r="BX1177" s="2" t="s">
        <v>2369</v>
      </c>
      <c r="BY1177" s="2" t="s">
        <v>112</v>
      </c>
      <c r="BZ1177" s="2" t="s">
        <v>100</v>
      </c>
    </row>
    <row r="1178">
      <c r="A1178" s="2" t="s">
        <v>3853</v>
      </c>
      <c r="B1178" s="2" t="s">
        <v>87</v>
      </c>
      <c r="C1178" s="2" t="s">
        <v>3381</v>
      </c>
      <c r="D1178" s="2" t="s">
        <v>89</v>
      </c>
      <c r="E1178" s="2" t="s">
        <v>1944</v>
      </c>
      <c r="F1178" s="2" t="s">
        <v>3854</v>
      </c>
      <c r="G1178" s="2" t="s">
        <v>3855</v>
      </c>
      <c r="H1178" s="2" t="s">
        <v>3856</v>
      </c>
      <c r="I1178" s="2" t="s">
        <v>3527</v>
      </c>
      <c r="J1178" s="2" t="s">
        <v>2236</v>
      </c>
      <c r="K1178" s="2" t="s">
        <v>340</v>
      </c>
      <c r="L1178" s="3">
        <v>50.53</v>
      </c>
      <c r="M1178" s="3">
        <v>53.06</v>
      </c>
      <c r="N1178" s="3">
        <v>89.99</v>
      </c>
      <c r="O1178" s="2" t="s">
        <v>97</v>
      </c>
      <c r="P1178" s="2" t="s">
        <v>341</v>
      </c>
      <c r="Q1178" s="2" t="s">
        <v>99</v>
      </c>
      <c r="R1178" s="2" t="s">
        <v>100</v>
      </c>
      <c r="S1178" s="2" t="s">
        <v>3857</v>
      </c>
      <c r="T1178" s="2" t="s">
        <v>100</v>
      </c>
      <c r="U1178" s="2" t="s">
        <v>102</v>
      </c>
      <c r="V1178" s="2" t="s">
        <v>805</v>
      </c>
      <c r="W1178" s="2" t="s">
        <v>976</v>
      </c>
      <c r="X1178" s="2" t="s">
        <v>105</v>
      </c>
      <c r="Y1178" s="2" t="s">
        <v>1317</v>
      </c>
      <c r="Z1178" s="4">
        <v>288</v>
      </c>
      <c r="AA1178" s="4">
        <f>=ROUNDDOWN(26.1818181818182,0)</f>
      </c>
      <c r="AB1178" s="5">
        <v>11</v>
      </c>
      <c r="AC1178" s="2" t="s">
        <v>287</v>
      </c>
      <c r="AD1178" s="4">
        <v>30</v>
      </c>
      <c r="AE1178" s="4">
        <v>210</v>
      </c>
      <c r="AF1178" s="6">
        <v>65</v>
      </c>
      <c r="AG1178" s="6">
        <v>73</v>
      </c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/>
      <c r="AQ1178" s="8"/>
      <c r="AR1178" s="4"/>
      <c r="AS1178" s="8"/>
      <c r="AT1178" s="7"/>
      <c r="AU1178" s="7"/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/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/>
      <c r="BJ1178" s="4">
        <v>8</v>
      </c>
      <c r="BK1178" s="8">
        <v>353.5</v>
      </c>
      <c r="BL1178" s="2" t="s">
        <v>625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544</v>
      </c>
      <c r="BX1178" s="2" t="s">
        <v>3858</v>
      </c>
      <c r="BY1178" s="2" t="s">
        <v>112</v>
      </c>
      <c r="BZ1178" s="2" t="s">
        <v>100</v>
      </c>
    </row>
    <row r="1179">
      <c r="A1179" s="2" t="s">
        <v>3859</v>
      </c>
      <c r="B1179" s="2" t="s">
        <v>87</v>
      </c>
      <c r="C1179" s="2" t="s">
        <v>3381</v>
      </c>
      <c r="D1179" s="2" t="s">
        <v>89</v>
      </c>
      <c r="E1179" s="2" t="s">
        <v>1944</v>
      </c>
      <c r="F1179" s="2" t="s">
        <v>3854</v>
      </c>
      <c r="G1179" s="2" t="s">
        <v>3855</v>
      </c>
      <c r="H1179" s="2" t="s">
        <v>3856</v>
      </c>
      <c r="I1179" s="2" t="s">
        <v>3532</v>
      </c>
      <c r="J1179" s="2" t="s">
        <v>95</v>
      </c>
      <c r="K1179" s="2" t="s">
        <v>340</v>
      </c>
      <c r="L1179" s="3">
        <v>55.59</v>
      </c>
      <c r="M1179" s="3">
        <v>58.37</v>
      </c>
      <c r="N1179" s="3">
        <v>99.99</v>
      </c>
      <c r="O1179" s="2" t="s">
        <v>97</v>
      </c>
      <c r="P1179" s="2" t="s">
        <v>341</v>
      </c>
      <c r="Q1179" s="2" t="s">
        <v>99</v>
      </c>
      <c r="R1179" s="2" t="s">
        <v>100</v>
      </c>
      <c r="S1179" s="2" t="s">
        <v>3857</v>
      </c>
      <c r="T1179" s="2" t="s">
        <v>100</v>
      </c>
      <c r="U1179" s="2" t="s">
        <v>343</v>
      </c>
      <c r="V1179" s="2" t="s">
        <v>805</v>
      </c>
      <c r="W1179" s="2" t="s">
        <v>976</v>
      </c>
      <c r="X1179" s="2" t="s">
        <v>105</v>
      </c>
      <c r="Y1179" s="2" t="s">
        <v>1317</v>
      </c>
      <c r="Z1179" s="4">
        <v>317</v>
      </c>
      <c r="AA1179" s="4">
        <f>=ROUNDDOWN(21.1333333333333,0)</f>
      </c>
      <c r="AB1179" s="5">
        <v>15</v>
      </c>
      <c r="AC1179" s="2" t="s">
        <v>287</v>
      </c>
      <c r="AD1179" s="4">
        <v>50</v>
      </c>
      <c r="AE1179" s="4">
        <v>280</v>
      </c>
      <c r="AF1179" s="6">
        <v>65</v>
      </c>
      <c r="AG1179" s="6">
        <v>73</v>
      </c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/>
      <c r="AQ1179" s="8"/>
      <c r="AR1179" s="4"/>
      <c r="AS1179" s="8"/>
      <c r="AT1179" s="7"/>
      <c r="AU1179" s="7"/>
      <c r="AV1179" s="4" t="s">
        <v>100</v>
      </c>
      <c r="AW1179" s="8" t="s">
        <v>100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/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/>
      <c r="BJ1179" s="4">
        <v>11</v>
      </c>
      <c r="BK1179" s="8">
        <v>673.43</v>
      </c>
      <c r="BL1179" s="2" t="s">
        <v>407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544</v>
      </c>
      <c r="BX1179" s="2" t="s">
        <v>192</v>
      </c>
      <c r="BY1179" s="2" t="s">
        <v>112</v>
      </c>
      <c r="BZ1179" s="2" t="s">
        <v>100</v>
      </c>
    </row>
    <row r="1180">
      <c r="A1180" s="2" t="s">
        <v>3860</v>
      </c>
      <c r="B1180" s="2" t="s">
        <v>87</v>
      </c>
      <c r="C1180" s="2" t="s">
        <v>3381</v>
      </c>
      <c r="D1180" s="2" t="s">
        <v>89</v>
      </c>
      <c r="E1180" s="2" t="s">
        <v>1944</v>
      </c>
      <c r="F1180" s="2" t="s">
        <v>3854</v>
      </c>
      <c r="G1180" s="2" t="s">
        <v>3855</v>
      </c>
      <c r="H1180" s="2" t="s">
        <v>3856</v>
      </c>
      <c r="I1180" s="2" t="s">
        <v>3532</v>
      </c>
      <c r="J1180" s="2" t="s">
        <v>114</v>
      </c>
      <c r="K1180" s="2" t="s">
        <v>340</v>
      </c>
      <c r="L1180" s="3">
        <v>60.65</v>
      </c>
      <c r="M1180" s="3">
        <v>63.68</v>
      </c>
      <c r="N1180" s="3">
        <v>109.99</v>
      </c>
      <c r="O1180" s="2" t="s">
        <v>97</v>
      </c>
      <c r="P1180" s="2" t="s">
        <v>341</v>
      </c>
      <c r="Q1180" s="2" t="s">
        <v>99</v>
      </c>
      <c r="R1180" s="2" t="s">
        <v>100</v>
      </c>
      <c r="S1180" s="2" t="s">
        <v>3857</v>
      </c>
      <c r="T1180" s="2" t="s">
        <v>100</v>
      </c>
      <c r="U1180" s="2" t="s">
        <v>343</v>
      </c>
      <c r="V1180" s="2" t="s">
        <v>805</v>
      </c>
      <c r="W1180" s="2" t="s">
        <v>976</v>
      </c>
      <c r="X1180" s="2" t="s">
        <v>105</v>
      </c>
      <c r="Y1180" s="2" t="s">
        <v>1317</v>
      </c>
      <c r="Z1180" s="4">
        <v>1084</v>
      </c>
      <c r="AA1180" s="4">
        <f>=ROUNDDOWN(19.7090909090909,0)</f>
      </c>
      <c r="AB1180" s="5">
        <v>55</v>
      </c>
      <c r="AC1180" s="2" t="s">
        <v>287</v>
      </c>
      <c r="AD1180" s="4">
        <v>160</v>
      </c>
      <c r="AE1180" s="4">
        <v>1850</v>
      </c>
      <c r="AF1180" s="6">
        <v>65</v>
      </c>
      <c r="AG1180" s="6">
        <v>73</v>
      </c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/>
      <c r="AQ1180" s="8"/>
      <c r="AR1180" s="4"/>
      <c r="AS1180" s="8"/>
      <c r="AT1180" s="7"/>
      <c r="AU1180" s="7"/>
      <c r="AV1180" s="4" t="s">
        <v>100</v>
      </c>
      <c r="AW1180" s="8" t="s">
        <v>100</v>
      </c>
      <c r="AX1180" s="4" t="s">
        <v>100</v>
      </c>
      <c r="AY1180" s="8" t="s">
        <v>100</v>
      </c>
      <c r="AZ1180" s="7" t="s">
        <v>100</v>
      </c>
      <c r="BA1180" s="7" t="s">
        <v>100</v>
      </c>
      <c r="BB1180" s="7"/>
      <c r="BC1180" s="4" t="s">
        <v>100</v>
      </c>
      <c r="BD1180" s="8" t="s">
        <v>100</v>
      </c>
      <c r="BE1180" s="4" t="s">
        <v>100</v>
      </c>
      <c r="BF1180" s="8" t="s">
        <v>100</v>
      </c>
      <c r="BG1180" s="7" t="s">
        <v>100</v>
      </c>
      <c r="BH1180" s="7" t="s">
        <v>100</v>
      </c>
      <c r="BI1180" s="7"/>
      <c r="BJ1180" s="4">
        <v>26</v>
      </c>
      <c r="BK1180" s="8">
        <v>1734.25</v>
      </c>
      <c r="BL1180" s="2" t="s">
        <v>1963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544</v>
      </c>
      <c r="BX1180" s="2" t="s">
        <v>512</v>
      </c>
      <c r="BY1180" s="2" t="s">
        <v>112</v>
      </c>
      <c r="BZ1180" s="2" t="s">
        <v>100</v>
      </c>
    </row>
    <row r="1181">
      <c r="A1181" s="2" t="s">
        <v>3861</v>
      </c>
      <c r="B1181" s="2" t="s">
        <v>87</v>
      </c>
      <c r="C1181" s="2" t="s">
        <v>3381</v>
      </c>
      <c r="D1181" s="2" t="s">
        <v>89</v>
      </c>
      <c r="E1181" s="2" t="s">
        <v>1944</v>
      </c>
      <c r="F1181" s="2" t="s">
        <v>3854</v>
      </c>
      <c r="G1181" s="2" t="s">
        <v>3855</v>
      </c>
      <c r="H1181" s="2" t="s">
        <v>3856</v>
      </c>
      <c r="I1181" s="2" t="s">
        <v>3532</v>
      </c>
      <c r="J1181" s="2" t="s">
        <v>120</v>
      </c>
      <c r="K1181" s="2" t="s">
        <v>340</v>
      </c>
      <c r="L1181" s="3">
        <v>65.7</v>
      </c>
      <c r="M1181" s="3">
        <v>68.98</v>
      </c>
      <c r="N1181" s="3">
        <v>119.99</v>
      </c>
      <c r="O1181" s="2" t="s">
        <v>97</v>
      </c>
      <c r="P1181" s="2" t="s">
        <v>341</v>
      </c>
      <c r="Q1181" s="2" t="s">
        <v>99</v>
      </c>
      <c r="R1181" s="2" t="s">
        <v>100</v>
      </c>
      <c r="S1181" s="2" t="s">
        <v>3857</v>
      </c>
      <c r="T1181" s="2" t="s">
        <v>100</v>
      </c>
      <c r="U1181" s="2" t="s">
        <v>343</v>
      </c>
      <c r="V1181" s="2" t="s">
        <v>805</v>
      </c>
      <c r="W1181" s="2" t="s">
        <v>976</v>
      </c>
      <c r="X1181" s="2" t="s">
        <v>105</v>
      </c>
      <c r="Y1181" s="2" t="s">
        <v>1317</v>
      </c>
      <c r="Z1181" s="4">
        <v>604</v>
      </c>
      <c r="AA1181" s="4">
        <f>=ROUNDDOWN(14.046511627907,0)</f>
      </c>
      <c r="AB1181" s="5">
        <v>43</v>
      </c>
      <c r="AC1181" s="2" t="s">
        <v>287</v>
      </c>
      <c r="AD1181" s="4">
        <v>150</v>
      </c>
      <c r="AE1181" s="4">
        <v>1330</v>
      </c>
      <c r="AF1181" s="6">
        <v>65</v>
      </c>
      <c r="AG1181" s="6">
        <v>73</v>
      </c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100</v>
      </c>
      <c r="AW1181" s="8" t="s">
        <v>100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/>
      <c r="BC1181" s="4" t="s">
        <v>100</v>
      </c>
      <c r="BD1181" s="8" t="s">
        <v>100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/>
      <c r="BJ1181" s="4">
        <v>76</v>
      </c>
      <c r="BK1181" s="8">
        <v>5986.4</v>
      </c>
      <c r="BL1181" s="2" t="s">
        <v>3862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544</v>
      </c>
      <c r="BX1181" s="2" t="s">
        <v>3863</v>
      </c>
      <c r="BY1181" s="2" t="s">
        <v>112</v>
      </c>
      <c r="BZ1181" s="2" t="s">
        <v>100</v>
      </c>
    </row>
    <row r="1182">
      <c r="A1182" s="2" t="s">
        <v>3864</v>
      </c>
      <c r="B1182" s="2" t="s">
        <v>87</v>
      </c>
      <c r="C1182" s="2" t="s">
        <v>3381</v>
      </c>
      <c r="D1182" s="2" t="s">
        <v>89</v>
      </c>
      <c r="E1182" s="2" t="s">
        <v>1944</v>
      </c>
      <c r="F1182" s="2" t="s">
        <v>3854</v>
      </c>
      <c r="G1182" s="2" t="s">
        <v>3855</v>
      </c>
      <c r="H1182" s="2" t="s">
        <v>3856</v>
      </c>
      <c r="I1182" s="2" t="s">
        <v>3532</v>
      </c>
      <c r="J1182" s="2" t="s">
        <v>124</v>
      </c>
      <c r="K1182" s="2" t="s">
        <v>340</v>
      </c>
      <c r="L1182" s="3">
        <v>65.7</v>
      </c>
      <c r="M1182" s="3">
        <v>68.98</v>
      </c>
      <c r="N1182" s="3">
        <v>119.99</v>
      </c>
      <c r="O1182" s="2" t="s">
        <v>97</v>
      </c>
      <c r="P1182" s="2" t="s">
        <v>341</v>
      </c>
      <c r="Q1182" s="2" t="s">
        <v>99</v>
      </c>
      <c r="R1182" s="2" t="s">
        <v>100</v>
      </c>
      <c r="S1182" s="2" t="s">
        <v>3857</v>
      </c>
      <c r="T1182" s="2" t="s">
        <v>100</v>
      </c>
      <c r="U1182" s="2" t="s">
        <v>343</v>
      </c>
      <c r="V1182" s="2" t="s">
        <v>805</v>
      </c>
      <c r="W1182" s="2" t="s">
        <v>976</v>
      </c>
      <c r="X1182" s="2" t="s">
        <v>105</v>
      </c>
      <c r="Y1182" s="2" t="s">
        <v>1317</v>
      </c>
      <c r="Z1182" s="4">
        <v>181</v>
      </c>
      <c r="AA1182" s="4">
        <f>=ROUNDDOWN(10.0555555555556,0)</f>
      </c>
      <c r="AB1182" s="5">
        <v>18</v>
      </c>
      <c r="AC1182" s="2" t="s">
        <v>287</v>
      </c>
      <c r="AD1182" s="4">
        <v>59</v>
      </c>
      <c r="AE1182" s="4">
        <v>639</v>
      </c>
      <c r="AF1182" s="6">
        <v>65</v>
      </c>
      <c r="AG1182" s="6">
        <v>73</v>
      </c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/>
      <c r="AQ1182" s="8"/>
      <c r="AR1182" s="4"/>
      <c r="AS1182" s="8"/>
      <c r="AT1182" s="7"/>
      <c r="AU1182" s="7"/>
      <c r="AV1182" s="4" t="s">
        <v>100</v>
      </c>
      <c r="AW1182" s="8" t="s">
        <v>100</v>
      </c>
      <c r="AX1182" s="4" t="s">
        <v>100</v>
      </c>
      <c r="AY1182" s="8" t="s">
        <v>100</v>
      </c>
      <c r="AZ1182" s="7" t="s">
        <v>100</v>
      </c>
      <c r="BA1182" s="7" t="s">
        <v>100</v>
      </c>
      <c r="BB1182" s="7"/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/>
      <c r="BJ1182" s="4">
        <v>30</v>
      </c>
      <c r="BK1182" s="8">
        <v>2199.37</v>
      </c>
      <c r="BL1182" s="2" t="s">
        <v>3865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544</v>
      </c>
      <c r="BX1182" s="2" t="s">
        <v>469</v>
      </c>
      <c r="BY1182" s="2" t="s">
        <v>112</v>
      </c>
      <c r="BZ1182" s="2" t="s">
        <v>100</v>
      </c>
    </row>
    <row r="1183">
      <c r="A1183" s="2" t="s">
        <v>3866</v>
      </c>
      <c r="B1183" s="2" t="s">
        <v>87</v>
      </c>
      <c r="C1183" s="2" t="s">
        <v>3381</v>
      </c>
      <c r="D1183" s="2" t="s">
        <v>89</v>
      </c>
      <c r="E1183" s="2" t="s">
        <v>1944</v>
      </c>
      <c r="F1183" s="2" t="s">
        <v>3854</v>
      </c>
      <c r="G1183" s="2" t="s">
        <v>3855</v>
      </c>
      <c r="H1183" s="2" t="s">
        <v>3856</v>
      </c>
      <c r="I1183" s="2" t="s">
        <v>3527</v>
      </c>
      <c r="J1183" s="2" t="s">
        <v>2236</v>
      </c>
      <c r="K1183" s="2" t="s">
        <v>175</v>
      </c>
      <c r="L1183" s="3">
        <v>50.53</v>
      </c>
      <c r="M1183" s="3">
        <v>53.06</v>
      </c>
      <c r="N1183" s="3">
        <v>89.99</v>
      </c>
      <c r="O1183" s="2" t="s">
        <v>97</v>
      </c>
      <c r="P1183" s="2" t="s">
        <v>242</v>
      </c>
      <c r="Q1183" s="2" t="s">
        <v>99</v>
      </c>
      <c r="R1183" s="2" t="s">
        <v>100</v>
      </c>
      <c r="S1183" s="2" t="s">
        <v>3867</v>
      </c>
      <c r="T1183" s="2" t="s">
        <v>100</v>
      </c>
      <c r="U1183" s="2" t="s">
        <v>102</v>
      </c>
      <c r="V1183" s="2" t="s">
        <v>805</v>
      </c>
      <c r="W1183" s="2" t="s">
        <v>976</v>
      </c>
      <c r="X1183" s="2" t="s">
        <v>105</v>
      </c>
      <c r="Y1183" s="2" t="s">
        <v>131</v>
      </c>
      <c r="Z1183" s="4">
        <v>132</v>
      </c>
      <c r="AA1183" s="4">
        <f>=ROUNDDOWN(33,0)</f>
      </c>
      <c r="AB1183" s="5">
        <v>4</v>
      </c>
      <c r="AC1183" s="2" t="s">
        <v>368</v>
      </c>
      <c r="AD1183" s="4">
        <v>30</v>
      </c>
      <c r="AE1183" s="4">
        <v>100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100</v>
      </c>
      <c r="AW1183" s="8" t="s">
        <v>100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/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/>
      <c r="BJ1183" s="4">
        <v>1</v>
      </c>
      <c r="BK1183" s="8">
        <v>57.02</v>
      </c>
      <c r="BL1183" s="2" t="s">
        <v>715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544</v>
      </c>
      <c r="BX1183" s="2" t="s">
        <v>1013</v>
      </c>
      <c r="BY1183" s="2" t="s">
        <v>112</v>
      </c>
      <c r="BZ1183" s="2" t="s">
        <v>100</v>
      </c>
    </row>
    <row r="1184">
      <c r="A1184" s="2" t="s">
        <v>3868</v>
      </c>
      <c r="B1184" s="2" t="s">
        <v>87</v>
      </c>
      <c r="C1184" s="2" t="s">
        <v>3381</v>
      </c>
      <c r="D1184" s="2" t="s">
        <v>89</v>
      </c>
      <c r="E1184" s="2" t="s">
        <v>1944</v>
      </c>
      <c r="F1184" s="2" t="s">
        <v>3854</v>
      </c>
      <c r="G1184" s="2" t="s">
        <v>3855</v>
      </c>
      <c r="H1184" s="2" t="s">
        <v>3856</v>
      </c>
      <c r="I1184" s="2" t="s">
        <v>3532</v>
      </c>
      <c r="J1184" s="2" t="s">
        <v>95</v>
      </c>
      <c r="K1184" s="2" t="s">
        <v>175</v>
      </c>
      <c r="L1184" s="3">
        <v>55.59</v>
      </c>
      <c r="M1184" s="3">
        <v>58.37</v>
      </c>
      <c r="N1184" s="3">
        <v>99.99</v>
      </c>
      <c r="O1184" s="2" t="s">
        <v>97</v>
      </c>
      <c r="P1184" s="2" t="s">
        <v>242</v>
      </c>
      <c r="Q1184" s="2" t="s">
        <v>99</v>
      </c>
      <c r="R1184" s="2" t="s">
        <v>100</v>
      </c>
      <c r="S1184" s="2" t="s">
        <v>3867</v>
      </c>
      <c r="T1184" s="2" t="s">
        <v>100</v>
      </c>
      <c r="U1184" s="2" t="s">
        <v>343</v>
      </c>
      <c r="V1184" s="2" t="s">
        <v>805</v>
      </c>
      <c r="W1184" s="2" t="s">
        <v>976</v>
      </c>
      <c r="X1184" s="2" t="s">
        <v>105</v>
      </c>
      <c r="Y1184" s="2" t="s">
        <v>131</v>
      </c>
      <c r="Z1184" s="4">
        <v>138</v>
      </c>
      <c r="AA1184" s="4">
        <f>=ROUNDDOWN(34.5,0)</f>
      </c>
      <c r="AB1184" s="5">
        <v>4</v>
      </c>
      <c r="AC1184" s="2" t="s">
        <v>2579</v>
      </c>
      <c r="AD1184" s="4">
        <v>60</v>
      </c>
      <c r="AE1184" s="4">
        <v>150</v>
      </c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/>
      <c r="AQ1184" s="8"/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/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/>
      <c r="BJ1184" s="4">
        <v>5</v>
      </c>
      <c r="BK1184" s="8">
        <v>312.97</v>
      </c>
      <c r="BL1184" s="2" t="s">
        <v>333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544</v>
      </c>
      <c r="BX1184" s="2" t="s">
        <v>181</v>
      </c>
      <c r="BY1184" s="2" t="s">
        <v>112</v>
      </c>
      <c r="BZ1184" s="2" t="s">
        <v>100</v>
      </c>
    </row>
    <row r="1185">
      <c r="A1185" s="2" t="s">
        <v>3869</v>
      </c>
      <c r="B1185" s="2" t="s">
        <v>87</v>
      </c>
      <c r="C1185" s="2" t="s">
        <v>3381</v>
      </c>
      <c r="D1185" s="2" t="s">
        <v>89</v>
      </c>
      <c r="E1185" s="2" t="s">
        <v>1944</v>
      </c>
      <c r="F1185" s="2" t="s">
        <v>3854</v>
      </c>
      <c r="G1185" s="2" t="s">
        <v>3855</v>
      </c>
      <c r="H1185" s="2" t="s">
        <v>3856</v>
      </c>
      <c r="I1185" s="2" t="s">
        <v>3532</v>
      </c>
      <c r="J1185" s="2" t="s">
        <v>114</v>
      </c>
      <c r="K1185" s="2" t="s">
        <v>175</v>
      </c>
      <c r="L1185" s="3">
        <v>60.65</v>
      </c>
      <c r="M1185" s="3">
        <v>63.68</v>
      </c>
      <c r="N1185" s="3">
        <v>109.99</v>
      </c>
      <c r="O1185" s="2" t="s">
        <v>97</v>
      </c>
      <c r="P1185" s="2" t="s">
        <v>242</v>
      </c>
      <c r="Q1185" s="2" t="s">
        <v>99</v>
      </c>
      <c r="R1185" s="2" t="s">
        <v>100</v>
      </c>
      <c r="S1185" s="2" t="s">
        <v>3867</v>
      </c>
      <c r="T1185" s="2" t="s">
        <v>100</v>
      </c>
      <c r="U1185" s="2" t="s">
        <v>343</v>
      </c>
      <c r="V1185" s="2" t="s">
        <v>805</v>
      </c>
      <c r="W1185" s="2" t="s">
        <v>976</v>
      </c>
      <c r="X1185" s="2" t="s">
        <v>105</v>
      </c>
      <c r="Y1185" s="2" t="s">
        <v>3870</v>
      </c>
      <c r="Z1185" s="4">
        <v>151</v>
      </c>
      <c r="AA1185" s="4">
        <f>=ROUNDDOWN(8.88235294117647,0)</f>
      </c>
      <c r="AB1185" s="5">
        <v>17</v>
      </c>
      <c r="AC1185" s="2" t="s">
        <v>368</v>
      </c>
      <c r="AD1185" s="4">
        <v>250</v>
      </c>
      <c r="AE1185" s="4">
        <v>540</v>
      </c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/>
      <c r="AQ1185" s="8"/>
      <c r="AR1185" s="4"/>
      <c r="AS1185" s="8"/>
      <c r="AT1185" s="7"/>
      <c r="AU1185" s="7"/>
      <c r="AV1185" s="4" t="s">
        <v>100</v>
      </c>
      <c r="AW1185" s="8" t="s">
        <v>100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/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/>
      <c r="BJ1185" s="4">
        <v>14</v>
      </c>
      <c r="BK1185" s="8">
        <v>1021.88</v>
      </c>
      <c r="BL1185" s="2" t="s">
        <v>3871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544</v>
      </c>
      <c r="BX1185" s="2" t="s">
        <v>427</v>
      </c>
      <c r="BY1185" s="2" t="s">
        <v>112</v>
      </c>
      <c r="BZ1185" s="2" t="s">
        <v>100</v>
      </c>
    </row>
    <row r="1186">
      <c r="A1186" s="2" t="s">
        <v>3872</v>
      </c>
      <c r="B1186" s="2" t="s">
        <v>87</v>
      </c>
      <c r="C1186" s="2" t="s">
        <v>3381</v>
      </c>
      <c r="D1186" s="2" t="s">
        <v>89</v>
      </c>
      <c r="E1186" s="2" t="s">
        <v>1944</v>
      </c>
      <c r="F1186" s="2" t="s">
        <v>3854</v>
      </c>
      <c r="G1186" s="2" t="s">
        <v>3855</v>
      </c>
      <c r="H1186" s="2" t="s">
        <v>3856</v>
      </c>
      <c r="I1186" s="2" t="s">
        <v>3532</v>
      </c>
      <c r="J1186" s="2" t="s">
        <v>120</v>
      </c>
      <c r="K1186" s="2" t="s">
        <v>175</v>
      </c>
      <c r="L1186" s="3">
        <v>65.7</v>
      </c>
      <c r="M1186" s="3">
        <v>68.98</v>
      </c>
      <c r="N1186" s="3">
        <v>119.99</v>
      </c>
      <c r="O1186" s="2" t="s">
        <v>97</v>
      </c>
      <c r="P1186" s="2" t="s">
        <v>242</v>
      </c>
      <c r="Q1186" s="2" t="s">
        <v>99</v>
      </c>
      <c r="R1186" s="2" t="s">
        <v>100</v>
      </c>
      <c r="S1186" s="2" t="s">
        <v>3867</v>
      </c>
      <c r="T1186" s="2" t="s">
        <v>100</v>
      </c>
      <c r="U1186" s="2" t="s">
        <v>343</v>
      </c>
      <c r="V1186" s="2" t="s">
        <v>805</v>
      </c>
      <c r="W1186" s="2" t="s">
        <v>976</v>
      </c>
      <c r="X1186" s="2" t="s">
        <v>105</v>
      </c>
      <c r="Y1186" s="2" t="s">
        <v>131</v>
      </c>
      <c r="Z1186" s="4">
        <v>207</v>
      </c>
      <c r="AA1186" s="4">
        <f>=ROUNDDOWN(17.25,0)</f>
      </c>
      <c r="AB1186" s="5">
        <v>12</v>
      </c>
      <c r="AC1186" s="2" t="s">
        <v>2579</v>
      </c>
      <c r="AD1186" s="4">
        <v>100</v>
      </c>
      <c r="AE1186" s="4">
        <v>260</v>
      </c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/>
      <c r="AQ1186" s="8"/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/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/>
      <c r="BJ1186" s="4">
        <v>5</v>
      </c>
      <c r="BK1186" s="8">
        <v>405.1</v>
      </c>
      <c r="BL1186" s="2" t="s">
        <v>625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544</v>
      </c>
      <c r="BX1186" s="2" t="s">
        <v>723</v>
      </c>
      <c r="BY1186" s="2" t="s">
        <v>112</v>
      </c>
      <c r="BZ1186" s="2" t="s">
        <v>100</v>
      </c>
    </row>
    <row r="1187">
      <c r="A1187" s="2" t="s">
        <v>3873</v>
      </c>
      <c r="B1187" s="2" t="s">
        <v>87</v>
      </c>
      <c r="C1187" s="2" t="s">
        <v>3381</v>
      </c>
      <c r="D1187" s="2" t="s">
        <v>89</v>
      </c>
      <c r="E1187" s="2" t="s">
        <v>1944</v>
      </c>
      <c r="F1187" s="2" t="s">
        <v>3854</v>
      </c>
      <c r="G1187" s="2" t="s">
        <v>3855</v>
      </c>
      <c r="H1187" s="2" t="s">
        <v>3856</v>
      </c>
      <c r="I1187" s="2" t="s">
        <v>3532</v>
      </c>
      <c r="J1187" s="2" t="s">
        <v>124</v>
      </c>
      <c r="K1187" s="2" t="s">
        <v>175</v>
      </c>
      <c r="L1187" s="3">
        <v>65.7</v>
      </c>
      <c r="M1187" s="3">
        <v>68.98</v>
      </c>
      <c r="N1187" s="3">
        <v>119.99</v>
      </c>
      <c r="O1187" s="2" t="s">
        <v>97</v>
      </c>
      <c r="P1187" s="2" t="s">
        <v>242</v>
      </c>
      <c r="Q1187" s="2" t="s">
        <v>99</v>
      </c>
      <c r="R1187" s="2" t="s">
        <v>100</v>
      </c>
      <c r="S1187" s="2" t="s">
        <v>3867</v>
      </c>
      <c r="T1187" s="2" t="s">
        <v>100</v>
      </c>
      <c r="U1187" s="2" t="s">
        <v>343</v>
      </c>
      <c r="V1187" s="2" t="s">
        <v>805</v>
      </c>
      <c r="W1187" s="2" t="s">
        <v>976</v>
      </c>
      <c r="X1187" s="2" t="s">
        <v>105</v>
      </c>
      <c r="Y1187" s="2" t="s">
        <v>131</v>
      </c>
      <c r="Z1187" s="4">
        <v>123</v>
      </c>
      <c r="AA1187" s="4">
        <f>=ROUNDDOWN(20.5,0)</f>
      </c>
      <c r="AB1187" s="5">
        <v>6</v>
      </c>
      <c r="AC1187" s="2" t="s">
        <v>368</v>
      </c>
      <c r="AD1187" s="4">
        <v>30</v>
      </c>
      <c r="AE1187" s="4">
        <v>150</v>
      </c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/>
      <c r="AQ1187" s="8"/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/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/>
      <c r="BJ1187" s="4">
        <v>3</v>
      </c>
      <c r="BK1187" s="8">
        <v>280.29</v>
      </c>
      <c r="BL1187" s="2" t="s">
        <v>3874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544</v>
      </c>
      <c r="BX1187" s="2" t="s">
        <v>469</v>
      </c>
      <c r="BY1187" s="2" t="s">
        <v>112</v>
      </c>
      <c r="BZ1187" s="2" t="s">
        <v>100</v>
      </c>
    </row>
    <row r="1188">
      <c r="A1188" s="2" t="s">
        <v>3875</v>
      </c>
      <c r="B1188" s="2" t="s">
        <v>87</v>
      </c>
      <c r="C1188" s="2" t="s">
        <v>3381</v>
      </c>
      <c r="D1188" s="2" t="s">
        <v>89</v>
      </c>
      <c r="E1188" s="2" t="s">
        <v>1944</v>
      </c>
      <c r="F1188" s="2" t="s">
        <v>3876</v>
      </c>
      <c r="G1188" s="2" t="s">
        <v>3877</v>
      </c>
      <c r="H1188" s="2" t="s">
        <v>1068</v>
      </c>
      <c r="I1188" s="2" t="s">
        <v>3532</v>
      </c>
      <c r="J1188" s="2" t="s">
        <v>114</v>
      </c>
      <c r="K1188" s="2" t="s">
        <v>175</v>
      </c>
      <c r="L1188" s="3">
        <v>67.39</v>
      </c>
      <c r="M1188" s="3">
        <v>70.76</v>
      </c>
      <c r="N1188" s="3">
        <v>134.99</v>
      </c>
      <c r="O1188" s="2" t="s">
        <v>473</v>
      </c>
      <c r="P1188" s="2" t="s">
        <v>447</v>
      </c>
      <c r="Q1188" s="2" t="s">
        <v>99</v>
      </c>
      <c r="R1188" s="2" t="s">
        <v>100</v>
      </c>
      <c r="S1188" s="2" t="s">
        <v>3878</v>
      </c>
      <c r="T1188" s="2" t="s">
        <v>100</v>
      </c>
      <c r="U1188" s="2" t="s">
        <v>343</v>
      </c>
      <c r="V1188" s="2" t="s">
        <v>677</v>
      </c>
      <c r="W1188" s="2" t="s">
        <v>104</v>
      </c>
      <c r="X1188" s="2" t="s">
        <v>2987</v>
      </c>
      <c r="Y1188" s="2" t="s">
        <v>131</v>
      </c>
      <c r="Z1188" s="4">
        <v>152</v>
      </c>
      <c r="AA1188" s="4">
        <f>=ROUNDDOWN(21.4084507042254,0)</f>
      </c>
      <c r="AB1188" s="5">
        <v>7.1</v>
      </c>
      <c r="AC1188" s="2" t="s">
        <v>100</v>
      </c>
      <c r="AD1188" s="4"/>
      <c r="AE1188" s="4"/>
      <c r="AF1188" s="6">
        <v>64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/>
      <c r="AQ1188" s="8"/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/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/>
      <c r="BJ1188" s="4">
        <v>7</v>
      </c>
      <c r="BK1188" s="8">
        <v>455.6</v>
      </c>
      <c r="BL1188" s="2" t="s">
        <v>3301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544</v>
      </c>
      <c r="BX1188" s="2" t="s">
        <v>189</v>
      </c>
      <c r="BY1188" s="2" t="s">
        <v>112</v>
      </c>
      <c r="BZ1188" s="2" t="s">
        <v>100</v>
      </c>
    </row>
    <row r="1189">
      <c r="A1189" s="2" t="s">
        <v>3879</v>
      </c>
      <c r="B1189" s="2" t="s">
        <v>87</v>
      </c>
      <c r="C1189" s="2" t="s">
        <v>3381</v>
      </c>
      <c r="D1189" s="2" t="s">
        <v>89</v>
      </c>
      <c r="E1189" s="2" t="s">
        <v>1944</v>
      </c>
      <c r="F1189" s="2" t="s">
        <v>3876</v>
      </c>
      <c r="G1189" s="2" t="s">
        <v>3877</v>
      </c>
      <c r="H1189" s="2" t="s">
        <v>1068</v>
      </c>
      <c r="I1189" s="2" t="s">
        <v>3532</v>
      </c>
      <c r="J1189" s="2" t="s">
        <v>120</v>
      </c>
      <c r="K1189" s="2" t="s">
        <v>175</v>
      </c>
      <c r="L1189" s="3">
        <v>73</v>
      </c>
      <c r="M1189" s="3">
        <v>76.65</v>
      </c>
      <c r="N1189" s="3">
        <v>144.99</v>
      </c>
      <c r="O1189" s="2" t="s">
        <v>473</v>
      </c>
      <c r="P1189" s="2" t="s">
        <v>447</v>
      </c>
      <c r="Q1189" s="2" t="s">
        <v>99</v>
      </c>
      <c r="R1189" s="2" t="s">
        <v>100</v>
      </c>
      <c r="S1189" s="2" t="s">
        <v>3878</v>
      </c>
      <c r="T1189" s="2" t="s">
        <v>100</v>
      </c>
      <c r="U1189" s="2" t="s">
        <v>343</v>
      </c>
      <c r="V1189" s="2" t="s">
        <v>677</v>
      </c>
      <c r="W1189" s="2" t="s">
        <v>104</v>
      </c>
      <c r="X1189" s="2" t="s">
        <v>2987</v>
      </c>
      <c r="Y1189" s="2" t="s">
        <v>131</v>
      </c>
      <c r="Z1189" s="4">
        <v>47</v>
      </c>
      <c r="AA1189" s="4">
        <f>=ROUNDDOWN(18.0769230769231,0)</f>
      </c>
      <c r="AB1189" s="5">
        <v>2.6</v>
      </c>
      <c r="AC1189" s="2" t="s">
        <v>100</v>
      </c>
      <c r="AD1189" s="4"/>
      <c r="AE1189" s="4"/>
      <c r="AF1189" s="6">
        <v>64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/>
      <c r="AQ1189" s="8"/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/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/>
      <c r="BJ1189" s="4">
        <v>2</v>
      </c>
      <c r="BK1189" s="8">
        <v>127.39</v>
      </c>
      <c r="BL1189" s="2" t="s">
        <v>1490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544</v>
      </c>
      <c r="BX1189" s="2" t="s">
        <v>127</v>
      </c>
      <c r="BY1189" s="2" t="s">
        <v>112</v>
      </c>
      <c r="BZ1189" s="2" t="s">
        <v>100</v>
      </c>
    </row>
    <row r="1190">
      <c r="A1190" s="2" t="s">
        <v>3880</v>
      </c>
      <c r="B1190" s="2" t="s">
        <v>87</v>
      </c>
      <c r="C1190" s="2" t="s">
        <v>3381</v>
      </c>
      <c r="D1190" s="2" t="s">
        <v>89</v>
      </c>
      <c r="E1190" s="2" t="s">
        <v>1944</v>
      </c>
      <c r="F1190" s="2" t="s">
        <v>3881</v>
      </c>
      <c r="G1190" s="2" t="s">
        <v>3882</v>
      </c>
      <c r="H1190" s="2" t="s">
        <v>3883</v>
      </c>
      <c r="I1190" s="2" t="s">
        <v>3884</v>
      </c>
      <c r="J1190" s="2" t="s">
        <v>114</v>
      </c>
      <c r="K1190" s="2" t="s">
        <v>763</v>
      </c>
      <c r="L1190" s="3">
        <v>79.9</v>
      </c>
      <c r="M1190" s="3">
        <v>83.89</v>
      </c>
      <c r="N1190" s="3">
        <v>169.99</v>
      </c>
      <c r="O1190" s="2" t="s">
        <v>97</v>
      </c>
      <c r="P1190" s="2" t="s">
        <v>98</v>
      </c>
      <c r="Q1190" s="2" t="s">
        <v>99</v>
      </c>
      <c r="R1190" s="2" t="s">
        <v>100</v>
      </c>
      <c r="S1190" s="2" t="s">
        <v>3885</v>
      </c>
      <c r="T1190" s="2" t="s">
        <v>100</v>
      </c>
      <c r="U1190" s="2" t="s">
        <v>3886</v>
      </c>
      <c r="V1190" s="2" t="s">
        <v>344</v>
      </c>
      <c r="W1190" s="2" t="s">
        <v>244</v>
      </c>
      <c r="X1190" s="2" t="s">
        <v>285</v>
      </c>
      <c r="Y1190" s="2" t="s">
        <v>3887</v>
      </c>
      <c r="Z1190" s="4">
        <v>257</v>
      </c>
      <c r="AA1190" s="4">
        <f>=ROUNDDOWN(25.7,0)</f>
      </c>
      <c r="AB1190" s="5">
        <v>10</v>
      </c>
      <c r="AC1190" s="2" t="s">
        <v>400</v>
      </c>
      <c r="AD1190" s="4">
        <v>110</v>
      </c>
      <c r="AE1190" s="4">
        <v>310</v>
      </c>
      <c r="AF1190" s="6">
        <v>64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/>
      <c r="AQ1190" s="8"/>
      <c r="AR1190" s="4"/>
      <c r="AS1190" s="8"/>
      <c r="AT1190" s="7"/>
      <c r="AU1190" s="7"/>
      <c r="AV1190" s="4" t="s">
        <v>100</v>
      </c>
      <c r="AW1190" s="8" t="s">
        <v>100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/>
      <c r="BJ1190" s="4">
        <v>9</v>
      </c>
      <c r="BK1190" s="8">
        <v>750.2</v>
      </c>
      <c r="BL1190" s="2" t="s">
        <v>1879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266</v>
      </c>
      <c r="BX1190" s="2" t="s">
        <v>902</v>
      </c>
      <c r="BY1190" s="2" t="s">
        <v>112</v>
      </c>
      <c r="BZ1190" s="2" t="s">
        <v>100</v>
      </c>
    </row>
    <row r="1191">
      <c r="A1191" s="2" t="s">
        <v>3888</v>
      </c>
      <c r="B1191" s="2" t="s">
        <v>87</v>
      </c>
      <c r="C1191" s="2" t="s">
        <v>3381</v>
      </c>
      <c r="D1191" s="2" t="s">
        <v>89</v>
      </c>
      <c r="E1191" s="2" t="s">
        <v>1944</v>
      </c>
      <c r="F1191" s="2" t="s">
        <v>3881</v>
      </c>
      <c r="G1191" s="2" t="s">
        <v>3882</v>
      </c>
      <c r="H1191" s="2" t="s">
        <v>3883</v>
      </c>
      <c r="I1191" s="2" t="s">
        <v>3884</v>
      </c>
      <c r="J1191" s="2" t="s">
        <v>120</v>
      </c>
      <c r="K1191" s="2" t="s">
        <v>763</v>
      </c>
      <c r="L1191" s="3">
        <v>84.6</v>
      </c>
      <c r="M1191" s="3">
        <v>88.83</v>
      </c>
      <c r="N1191" s="3">
        <v>179.99</v>
      </c>
      <c r="O1191" s="2" t="s">
        <v>97</v>
      </c>
      <c r="P1191" s="2" t="s">
        <v>98</v>
      </c>
      <c r="Q1191" s="2" t="s">
        <v>99</v>
      </c>
      <c r="R1191" s="2" t="s">
        <v>100</v>
      </c>
      <c r="S1191" s="2" t="s">
        <v>3885</v>
      </c>
      <c r="T1191" s="2" t="s">
        <v>100</v>
      </c>
      <c r="U1191" s="2" t="s">
        <v>3886</v>
      </c>
      <c r="V1191" s="2" t="s">
        <v>344</v>
      </c>
      <c r="W1191" s="2" t="s">
        <v>244</v>
      </c>
      <c r="X1191" s="2" t="s">
        <v>285</v>
      </c>
      <c r="Y1191" s="2" t="s">
        <v>3887</v>
      </c>
      <c r="Z1191" s="4">
        <v>237</v>
      </c>
      <c r="AA1191" s="4">
        <f>=ROUNDDOWN(23.7,0)</f>
      </c>
      <c r="AB1191" s="5">
        <v>10</v>
      </c>
      <c r="AC1191" s="2" t="s">
        <v>400</v>
      </c>
      <c r="AD1191" s="4">
        <v>80</v>
      </c>
      <c r="AE1191" s="4">
        <v>280</v>
      </c>
      <c r="AF1191" s="6">
        <v>64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>
        <v>0</v>
      </c>
      <c r="AP1191" s="4"/>
      <c r="AQ1191" s="8"/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/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/>
      <c r="BJ1191" s="4">
        <v>8</v>
      </c>
      <c r="BK1191" s="8">
        <v>734.5</v>
      </c>
      <c r="BL1191" s="2" t="s">
        <v>3889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266</v>
      </c>
      <c r="BX1191" s="2" t="s">
        <v>1792</v>
      </c>
      <c r="BY1191" s="2" t="s">
        <v>112</v>
      </c>
      <c r="BZ1191" s="2" t="s">
        <v>100</v>
      </c>
    </row>
    <row r="1192">
      <c r="A1192" s="2" t="s">
        <v>3890</v>
      </c>
      <c r="B1192" s="2" t="s">
        <v>87</v>
      </c>
      <c r="C1192" s="2" t="s">
        <v>3381</v>
      </c>
      <c r="D1192" s="2" t="s">
        <v>89</v>
      </c>
      <c r="E1192" s="2" t="s">
        <v>1944</v>
      </c>
      <c r="F1192" s="2" t="s">
        <v>3881</v>
      </c>
      <c r="G1192" s="2" t="s">
        <v>3882</v>
      </c>
      <c r="H1192" s="2" t="s">
        <v>3883</v>
      </c>
      <c r="I1192" s="2" t="s">
        <v>3884</v>
      </c>
      <c r="J1192" s="2" t="s">
        <v>124</v>
      </c>
      <c r="K1192" s="2" t="s">
        <v>763</v>
      </c>
      <c r="L1192" s="3">
        <v>84.6</v>
      </c>
      <c r="M1192" s="3">
        <v>88.83</v>
      </c>
      <c r="N1192" s="3">
        <v>179.99</v>
      </c>
      <c r="O1192" s="2" t="s">
        <v>97</v>
      </c>
      <c r="P1192" s="2" t="s">
        <v>98</v>
      </c>
      <c r="Q1192" s="2" t="s">
        <v>99</v>
      </c>
      <c r="R1192" s="2" t="s">
        <v>100</v>
      </c>
      <c r="S1192" s="2" t="s">
        <v>3885</v>
      </c>
      <c r="T1192" s="2" t="s">
        <v>100</v>
      </c>
      <c r="U1192" s="2" t="s">
        <v>3886</v>
      </c>
      <c r="V1192" s="2" t="s">
        <v>344</v>
      </c>
      <c r="W1192" s="2" t="s">
        <v>244</v>
      </c>
      <c r="X1192" s="2" t="s">
        <v>285</v>
      </c>
      <c r="Y1192" s="2" t="s">
        <v>3887</v>
      </c>
      <c r="Z1192" s="4">
        <v>106</v>
      </c>
      <c r="AA1192" s="4">
        <f>=ROUNDDOWN(17.6666666666667,0)</f>
      </c>
      <c r="AB1192" s="5">
        <v>6</v>
      </c>
      <c r="AC1192" s="2" t="s">
        <v>400</v>
      </c>
      <c r="AD1192" s="4">
        <v>100</v>
      </c>
      <c r="AE1192" s="4">
        <v>210</v>
      </c>
      <c r="AF1192" s="6">
        <v>64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/>
      <c r="AQ1192" s="8"/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/>
      <c r="BJ1192" s="4">
        <v>5</v>
      </c>
      <c r="BK1192" s="8">
        <v>458.21</v>
      </c>
      <c r="BL1192" s="2" t="s">
        <v>3891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266</v>
      </c>
      <c r="BX1192" s="2" t="s">
        <v>3805</v>
      </c>
      <c r="BY1192" s="2" t="s">
        <v>112</v>
      </c>
      <c r="BZ1192" s="2" t="s">
        <v>100</v>
      </c>
    </row>
    <row r="1193">
      <c r="A1193" s="2" t="s">
        <v>3892</v>
      </c>
      <c r="B1193" s="2" t="s">
        <v>87</v>
      </c>
      <c r="C1193" s="2" t="s">
        <v>3381</v>
      </c>
      <c r="D1193" s="2" t="s">
        <v>2230</v>
      </c>
      <c r="E1193" s="2" t="s">
        <v>1944</v>
      </c>
      <c r="F1193" s="2" t="s">
        <v>3893</v>
      </c>
      <c r="G1193" s="2" t="s">
        <v>3894</v>
      </c>
      <c r="H1193" s="2" t="s">
        <v>3895</v>
      </c>
      <c r="I1193" s="2" t="s">
        <v>3896</v>
      </c>
      <c r="J1193" s="2" t="s">
        <v>2236</v>
      </c>
      <c r="K1193" s="2" t="s">
        <v>253</v>
      </c>
      <c r="L1193" s="3">
        <v>44.5</v>
      </c>
      <c r="M1193" s="3">
        <v>46.73</v>
      </c>
      <c r="N1193" s="3">
        <v>89</v>
      </c>
      <c r="O1193" s="2" t="s">
        <v>97</v>
      </c>
      <c r="P1193" s="2" t="s">
        <v>447</v>
      </c>
      <c r="Q1193" s="2" t="s">
        <v>99</v>
      </c>
      <c r="R1193" s="2" t="s">
        <v>100</v>
      </c>
      <c r="S1193" s="2" t="s">
        <v>3897</v>
      </c>
      <c r="T1193" s="2" t="s">
        <v>100</v>
      </c>
      <c r="U1193" s="2" t="s">
        <v>676</v>
      </c>
      <c r="V1193" s="2" t="s">
        <v>608</v>
      </c>
      <c r="W1193" s="2" t="s">
        <v>345</v>
      </c>
      <c r="X1193" s="2" t="s">
        <v>2527</v>
      </c>
      <c r="Y1193" s="2" t="s">
        <v>3826</v>
      </c>
      <c r="Z1193" s="4">
        <v>123</v>
      </c>
      <c r="AA1193" s="4">
        <f>=ROUNDDOWN(30.75,0)</f>
      </c>
      <c r="AB1193" s="5">
        <v>4</v>
      </c>
      <c r="AC1193" s="2" t="s">
        <v>100</v>
      </c>
      <c r="AD1193" s="4"/>
      <c r="AE1193" s="4"/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>
        <v>2</v>
      </c>
      <c r="AQ1193" s="8">
        <v>96.28</v>
      </c>
      <c r="AR1193" s="4"/>
      <c r="AS1193" s="8"/>
      <c r="AT1193" s="7"/>
      <c r="AU1193" s="7"/>
      <c r="AV1193" s="4">
        <v>2</v>
      </c>
      <c r="AW1193" s="8">
        <v>96.28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1</v>
      </c>
      <c r="BC1193" s="4">
        <v>2</v>
      </c>
      <c r="BD1193" s="8">
        <v>96.28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>
        <v>1</v>
      </c>
      <c r="BJ1193" s="4">
        <v>3</v>
      </c>
      <c r="BK1193" s="8">
        <v>135.88</v>
      </c>
      <c r="BL1193" s="2" t="s">
        <v>3898</v>
      </c>
      <c r="BM1193" s="7">
        <v>0.6667</v>
      </c>
      <c r="BN1193" s="7">
        <v>0.7086</v>
      </c>
      <c r="BO1193" s="4">
        <v>2</v>
      </c>
      <c r="BP1193" s="8">
        <v>96.28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544</v>
      </c>
      <c r="BX1193" s="2" t="s">
        <v>3899</v>
      </c>
      <c r="BY1193" s="2" t="s">
        <v>112</v>
      </c>
      <c r="BZ1193" s="2" t="s">
        <v>100</v>
      </c>
    </row>
    <row r="1194">
      <c r="A1194" s="2" t="s">
        <v>3900</v>
      </c>
      <c r="B1194" s="2" t="s">
        <v>87</v>
      </c>
      <c r="C1194" s="2" t="s">
        <v>3381</v>
      </c>
      <c r="D1194" s="2" t="s">
        <v>2230</v>
      </c>
      <c r="E1194" s="2" t="s">
        <v>1944</v>
      </c>
      <c r="F1194" s="2" t="s">
        <v>3893</v>
      </c>
      <c r="G1194" s="2" t="s">
        <v>3894</v>
      </c>
      <c r="H1194" s="2" t="s">
        <v>3895</v>
      </c>
      <c r="I1194" s="2" t="s">
        <v>3901</v>
      </c>
      <c r="J1194" s="2" t="s">
        <v>95</v>
      </c>
      <c r="K1194" s="2" t="s">
        <v>253</v>
      </c>
      <c r="L1194" s="3">
        <v>51.48</v>
      </c>
      <c r="M1194" s="3">
        <v>54.05</v>
      </c>
      <c r="N1194" s="3">
        <v>99</v>
      </c>
      <c r="O1194" s="2" t="s">
        <v>473</v>
      </c>
      <c r="P1194" s="2" t="s">
        <v>447</v>
      </c>
      <c r="Q1194" s="2" t="s">
        <v>99</v>
      </c>
      <c r="R1194" s="2" t="s">
        <v>100</v>
      </c>
      <c r="S1194" s="2" t="s">
        <v>3897</v>
      </c>
      <c r="T1194" s="2" t="s">
        <v>100</v>
      </c>
      <c r="U1194" s="2" t="s">
        <v>283</v>
      </c>
      <c r="V1194" s="2" t="s">
        <v>608</v>
      </c>
      <c r="W1194" s="2" t="s">
        <v>345</v>
      </c>
      <c r="X1194" s="2" t="s">
        <v>2527</v>
      </c>
      <c r="Y1194" s="2" t="s">
        <v>3826</v>
      </c>
      <c r="Z1194" s="4">
        <v>120</v>
      </c>
      <c r="AA1194" s="4">
        <f>=ROUNDDOWN(85.7142857142857,0)</f>
      </c>
      <c r="AB1194" s="5">
        <v>1.4</v>
      </c>
      <c r="AC1194" s="2" t="s">
        <v>100</v>
      </c>
      <c r="AD1194" s="4"/>
      <c r="AE1194" s="4"/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4</v>
      </c>
      <c r="BK1194" s="8">
        <v>213.34</v>
      </c>
      <c r="BL1194" s="2" t="s">
        <v>887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544</v>
      </c>
      <c r="BX1194" s="2" t="s">
        <v>216</v>
      </c>
      <c r="BY1194" s="2" t="s">
        <v>112</v>
      </c>
      <c r="BZ1194" s="2" t="s">
        <v>100</v>
      </c>
    </row>
    <row r="1195">
      <c r="A1195" s="2" t="s">
        <v>3902</v>
      </c>
      <c r="B1195" s="2" t="s">
        <v>87</v>
      </c>
      <c r="C1195" s="2" t="s">
        <v>3381</v>
      </c>
      <c r="D1195" s="2" t="s">
        <v>2230</v>
      </c>
      <c r="E1195" s="2" t="s">
        <v>1944</v>
      </c>
      <c r="F1195" s="2" t="s">
        <v>3893</v>
      </c>
      <c r="G1195" s="2" t="s">
        <v>3894</v>
      </c>
      <c r="H1195" s="2" t="s">
        <v>3895</v>
      </c>
      <c r="I1195" s="2" t="s">
        <v>3901</v>
      </c>
      <c r="J1195" s="2" t="s">
        <v>114</v>
      </c>
      <c r="K1195" s="2" t="s">
        <v>253</v>
      </c>
      <c r="L1195" s="3">
        <v>56.68</v>
      </c>
      <c r="M1195" s="3">
        <v>59.51</v>
      </c>
      <c r="N1195" s="3">
        <v>109</v>
      </c>
      <c r="O1195" s="2" t="s">
        <v>473</v>
      </c>
      <c r="P1195" s="2" t="s">
        <v>447</v>
      </c>
      <c r="Q1195" s="2" t="s">
        <v>99</v>
      </c>
      <c r="R1195" s="2" t="s">
        <v>100</v>
      </c>
      <c r="S1195" s="2" t="s">
        <v>3897</v>
      </c>
      <c r="T1195" s="2" t="s">
        <v>100</v>
      </c>
      <c r="U1195" s="2" t="s">
        <v>283</v>
      </c>
      <c r="V1195" s="2" t="s">
        <v>608</v>
      </c>
      <c r="W1195" s="2" t="s">
        <v>345</v>
      </c>
      <c r="X1195" s="2" t="s">
        <v>2527</v>
      </c>
      <c r="Y1195" s="2" t="s">
        <v>3826</v>
      </c>
      <c r="Z1195" s="4">
        <v>291</v>
      </c>
      <c r="AA1195" s="4">
        <f>=ROUNDDOWN(48.5,0)</f>
      </c>
      <c r="AB1195" s="5">
        <v>6</v>
      </c>
      <c r="AC1195" s="2" t="s">
        <v>100</v>
      </c>
      <c r="AD1195" s="4"/>
      <c r="AE1195" s="4"/>
      <c r="AF1195" s="6">
        <v>65</v>
      </c>
      <c r="AG1195" s="6"/>
      <c r="AH1195" s="7">
        <v>1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10</v>
      </c>
      <c r="BK1195" s="8">
        <v>550.35</v>
      </c>
      <c r="BL1195" s="2" t="s">
        <v>2068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544</v>
      </c>
      <c r="BX1195" s="2" t="s">
        <v>3903</v>
      </c>
      <c r="BY1195" s="2" t="s">
        <v>112</v>
      </c>
      <c r="BZ1195" s="2" t="s">
        <v>100</v>
      </c>
    </row>
    <row r="1196">
      <c r="A1196" s="2" t="s">
        <v>3904</v>
      </c>
      <c r="B1196" s="2" t="s">
        <v>87</v>
      </c>
      <c r="C1196" s="2" t="s">
        <v>3381</v>
      </c>
      <c r="D1196" s="2" t="s">
        <v>2230</v>
      </c>
      <c r="E1196" s="2" t="s">
        <v>1944</v>
      </c>
      <c r="F1196" s="2" t="s">
        <v>3893</v>
      </c>
      <c r="G1196" s="2" t="s">
        <v>3894</v>
      </c>
      <c r="H1196" s="2" t="s">
        <v>3895</v>
      </c>
      <c r="I1196" s="2" t="s">
        <v>3901</v>
      </c>
      <c r="J1196" s="2" t="s">
        <v>120</v>
      </c>
      <c r="K1196" s="2" t="s">
        <v>253</v>
      </c>
      <c r="L1196" s="3">
        <v>61.88</v>
      </c>
      <c r="M1196" s="3">
        <v>64.97</v>
      </c>
      <c r="N1196" s="3">
        <v>119</v>
      </c>
      <c r="O1196" s="2" t="s">
        <v>97</v>
      </c>
      <c r="P1196" s="2" t="s">
        <v>447</v>
      </c>
      <c r="Q1196" s="2" t="s">
        <v>99</v>
      </c>
      <c r="R1196" s="2" t="s">
        <v>100</v>
      </c>
      <c r="S1196" s="2" t="s">
        <v>3897</v>
      </c>
      <c r="T1196" s="2" t="s">
        <v>100</v>
      </c>
      <c r="U1196" s="2" t="s">
        <v>283</v>
      </c>
      <c r="V1196" s="2" t="s">
        <v>608</v>
      </c>
      <c r="W1196" s="2" t="s">
        <v>345</v>
      </c>
      <c r="X1196" s="2" t="s">
        <v>2527</v>
      </c>
      <c r="Y1196" s="2" t="s">
        <v>3826</v>
      </c>
      <c r="Z1196" s="4">
        <v>119</v>
      </c>
      <c r="AA1196" s="4">
        <f>=ROUNDDOWN(19.8333333333333,0)</f>
      </c>
      <c r="AB1196" s="5">
        <v>6</v>
      </c>
      <c r="AC1196" s="2" t="s">
        <v>100</v>
      </c>
      <c r="AD1196" s="4"/>
      <c r="AE1196" s="4"/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 t="s">
        <v>100</v>
      </c>
      <c r="BJ1196" s="4">
        <v>6</v>
      </c>
      <c r="BK1196" s="8">
        <v>360.48</v>
      </c>
      <c r="BL1196" s="2" t="s">
        <v>1041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544</v>
      </c>
      <c r="BX1196" s="2" t="s">
        <v>100</v>
      </c>
      <c r="BY1196" s="2" t="s">
        <v>112</v>
      </c>
      <c r="BZ1196" s="2" t="s">
        <v>100</v>
      </c>
    </row>
    <row r="1197">
      <c r="A1197" s="2" t="s">
        <v>3905</v>
      </c>
      <c r="B1197" s="2" t="s">
        <v>87</v>
      </c>
      <c r="C1197" s="2" t="s">
        <v>3381</v>
      </c>
      <c r="D1197" s="2" t="s">
        <v>2230</v>
      </c>
      <c r="E1197" s="2" t="s">
        <v>1944</v>
      </c>
      <c r="F1197" s="2" t="s">
        <v>3893</v>
      </c>
      <c r="G1197" s="2" t="s">
        <v>3894</v>
      </c>
      <c r="H1197" s="2" t="s">
        <v>3895</v>
      </c>
      <c r="I1197" s="2" t="s">
        <v>3901</v>
      </c>
      <c r="J1197" s="2" t="s">
        <v>124</v>
      </c>
      <c r="K1197" s="2" t="s">
        <v>253</v>
      </c>
      <c r="L1197" s="3">
        <v>61.88</v>
      </c>
      <c r="M1197" s="3">
        <v>64.97</v>
      </c>
      <c r="N1197" s="3">
        <v>119</v>
      </c>
      <c r="O1197" s="2" t="s">
        <v>97</v>
      </c>
      <c r="P1197" s="2" t="s">
        <v>447</v>
      </c>
      <c r="Q1197" s="2" t="s">
        <v>99</v>
      </c>
      <c r="R1197" s="2" t="s">
        <v>100</v>
      </c>
      <c r="S1197" s="2" t="s">
        <v>3897</v>
      </c>
      <c r="T1197" s="2" t="s">
        <v>100</v>
      </c>
      <c r="U1197" s="2" t="s">
        <v>283</v>
      </c>
      <c r="V1197" s="2" t="s">
        <v>608</v>
      </c>
      <c r="W1197" s="2" t="s">
        <v>345</v>
      </c>
      <c r="X1197" s="2" t="s">
        <v>2527</v>
      </c>
      <c r="Y1197" s="2" t="s">
        <v>3826</v>
      </c>
      <c r="Z1197" s="4">
        <v>118</v>
      </c>
      <c r="AA1197" s="4">
        <f>=ROUNDDOWN(15.1282051282051,0)</f>
      </c>
      <c r="AB1197" s="5">
        <v>7.8</v>
      </c>
      <c r="AC1197" s="2" t="s">
        <v>100</v>
      </c>
      <c r="AD1197" s="4"/>
      <c r="AE1197" s="4"/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>
        <v>7</v>
      </c>
      <c r="BK1197" s="8">
        <v>406.15</v>
      </c>
      <c r="BL1197" s="2" t="s">
        <v>224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544</v>
      </c>
      <c r="BX1197" s="2" t="s">
        <v>427</v>
      </c>
      <c r="BY1197" s="2" t="s">
        <v>112</v>
      </c>
      <c r="BZ1197" s="2" t="s">
        <v>100</v>
      </c>
    </row>
    <row r="1198">
      <c r="A1198" s="2" t="s">
        <v>3906</v>
      </c>
      <c r="B1198" s="2" t="s">
        <v>87</v>
      </c>
      <c r="C1198" s="2" t="s">
        <v>3381</v>
      </c>
      <c r="D1198" s="2" t="s">
        <v>2230</v>
      </c>
      <c r="E1198" s="2" t="s">
        <v>1944</v>
      </c>
      <c r="F1198" s="2" t="s">
        <v>3613</v>
      </c>
      <c r="G1198" s="2" t="s">
        <v>3614</v>
      </c>
      <c r="H1198" s="2" t="s">
        <v>3615</v>
      </c>
      <c r="I1198" s="2" t="s">
        <v>3896</v>
      </c>
      <c r="J1198" s="2" t="s">
        <v>2236</v>
      </c>
      <c r="K1198" s="2" t="s">
        <v>146</v>
      </c>
      <c r="L1198" s="3">
        <v>47.17</v>
      </c>
      <c r="M1198" s="3">
        <v>49.53</v>
      </c>
      <c r="N1198" s="3">
        <v>89</v>
      </c>
      <c r="O1198" s="2" t="s">
        <v>97</v>
      </c>
      <c r="P1198" s="2" t="s">
        <v>98</v>
      </c>
      <c r="Q1198" s="2" t="s">
        <v>99</v>
      </c>
      <c r="R1198" s="2" t="s">
        <v>100</v>
      </c>
      <c r="S1198" s="2" t="s">
        <v>3907</v>
      </c>
      <c r="T1198" s="2" t="s">
        <v>100</v>
      </c>
      <c r="U1198" s="2" t="s">
        <v>676</v>
      </c>
      <c r="V1198" s="2" t="s">
        <v>734</v>
      </c>
      <c r="W1198" s="2" t="s">
        <v>976</v>
      </c>
      <c r="X1198" s="2" t="s">
        <v>3371</v>
      </c>
      <c r="Y1198" s="2" t="s">
        <v>131</v>
      </c>
      <c r="Z1198" s="4">
        <v>78</v>
      </c>
      <c r="AA1198" s="4">
        <f>=ROUNDDOWN(19.5,0)</f>
      </c>
      <c r="AB1198" s="5">
        <v>4</v>
      </c>
      <c r="AC1198" s="2" t="s">
        <v>406</v>
      </c>
      <c r="AD1198" s="4">
        <v>40</v>
      </c>
      <c r="AE1198" s="4">
        <v>70</v>
      </c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/>
      <c r="AQ1198" s="8"/>
      <c r="AR1198" s="4"/>
      <c r="AS1198" s="8"/>
      <c r="AT1198" s="7"/>
      <c r="AU1198" s="7"/>
      <c r="AV1198" s="4">
        <v>1</v>
      </c>
      <c r="AW1198" s="8">
        <v>70.39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>
        <v>1</v>
      </c>
      <c r="BD1198" s="8">
        <v>70.39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>
        <v>1</v>
      </c>
      <c r="BJ1198" s="4">
        <v>5</v>
      </c>
      <c r="BK1198" s="8">
        <v>251.63</v>
      </c>
      <c r="BL1198" s="2" t="s">
        <v>3827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544</v>
      </c>
      <c r="BX1198" s="2" t="s">
        <v>402</v>
      </c>
      <c r="BY1198" s="2" t="s">
        <v>112</v>
      </c>
      <c r="BZ1198" s="2" t="s">
        <v>100</v>
      </c>
    </row>
    <row r="1199">
      <c r="A1199" s="2" t="s">
        <v>3908</v>
      </c>
      <c r="B1199" s="2" t="s">
        <v>87</v>
      </c>
      <c r="C1199" s="2" t="s">
        <v>3381</v>
      </c>
      <c r="D1199" s="2" t="s">
        <v>2230</v>
      </c>
      <c r="E1199" s="2" t="s">
        <v>1944</v>
      </c>
      <c r="F1199" s="2" t="s">
        <v>3613</v>
      </c>
      <c r="G1199" s="2" t="s">
        <v>3614</v>
      </c>
      <c r="H1199" s="2" t="s">
        <v>3615</v>
      </c>
      <c r="I1199" s="2" t="s">
        <v>3901</v>
      </c>
      <c r="J1199" s="2" t="s">
        <v>95</v>
      </c>
      <c r="K1199" s="2" t="s">
        <v>146</v>
      </c>
      <c r="L1199" s="3">
        <v>54.45</v>
      </c>
      <c r="M1199" s="3">
        <v>57.17</v>
      </c>
      <c r="N1199" s="3">
        <v>99</v>
      </c>
      <c r="O1199" s="2" t="s">
        <v>97</v>
      </c>
      <c r="P1199" s="2" t="s">
        <v>98</v>
      </c>
      <c r="Q1199" s="2" t="s">
        <v>99</v>
      </c>
      <c r="R1199" s="2" t="s">
        <v>100</v>
      </c>
      <c r="S1199" s="2" t="s">
        <v>3907</v>
      </c>
      <c r="T1199" s="2" t="s">
        <v>100</v>
      </c>
      <c r="U1199" s="2" t="s">
        <v>283</v>
      </c>
      <c r="V1199" s="2" t="s">
        <v>734</v>
      </c>
      <c r="W1199" s="2" t="s">
        <v>976</v>
      </c>
      <c r="X1199" s="2" t="s">
        <v>3371</v>
      </c>
      <c r="Y1199" s="2" t="s">
        <v>131</v>
      </c>
      <c r="Z1199" s="4">
        <v>67</v>
      </c>
      <c r="AA1199" s="4">
        <f>=ROUNDDOWN(16.75,0)</f>
      </c>
      <c r="AB1199" s="5">
        <v>4</v>
      </c>
      <c r="AC1199" s="2" t="s">
        <v>406</v>
      </c>
      <c r="AD1199" s="4">
        <v>100</v>
      </c>
      <c r="AE1199" s="4">
        <v>100</v>
      </c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100</v>
      </c>
      <c r="AW1199" s="8" t="s">
        <v>100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 t="s">
        <v>100</v>
      </c>
      <c r="BJ1199" s="4">
        <v>7</v>
      </c>
      <c r="BK1199" s="8">
        <v>357.09</v>
      </c>
      <c r="BL1199" s="2" t="s">
        <v>2068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544</v>
      </c>
      <c r="BX1199" s="2" t="s">
        <v>590</v>
      </c>
      <c r="BY1199" s="2" t="s">
        <v>112</v>
      </c>
      <c r="BZ1199" s="2" t="s">
        <v>100</v>
      </c>
    </row>
    <row r="1200">
      <c r="A1200" s="2" t="s">
        <v>3909</v>
      </c>
      <c r="B1200" s="2" t="s">
        <v>87</v>
      </c>
      <c r="C1200" s="2" t="s">
        <v>3381</v>
      </c>
      <c r="D1200" s="2" t="s">
        <v>2230</v>
      </c>
      <c r="E1200" s="2" t="s">
        <v>1944</v>
      </c>
      <c r="F1200" s="2" t="s">
        <v>3613</v>
      </c>
      <c r="G1200" s="2" t="s">
        <v>3614</v>
      </c>
      <c r="H1200" s="2" t="s">
        <v>3615</v>
      </c>
      <c r="I1200" s="2" t="s">
        <v>3901</v>
      </c>
      <c r="J1200" s="2" t="s">
        <v>114</v>
      </c>
      <c r="K1200" s="2" t="s">
        <v>146</v>
      </c>
      <c r="L1200" s="3">
        <v>59.95</v>
      </c>
      <c r="M1200" s="3">
        <v>62.95</v>
      </c>
      <c r="N1200" s="3">
        <v>109</v>
      </c>
      <c r="O1200" s="2" t="s">
        <v>97</v>
      </c>
      <c r="P1200" s="2" t="s">
        <v>98</v>
      </c>
      <c r="Q1200" s="2" t="s">
        <v>99</v>
      </c>
      <c r="R1200" s="2" t="s">
        <v>100</v>
      </c>
      <c r="S1200" s="2" t="s">
        <v>3907</v>
      </c>
      <c r="T1200" s="2" t="s">
        <v>100</v>
      </c>
      <c r="U1200" s="2" t="s">
        <v>283</v>
      </c>
      <c r="V1200" s="2" t="s">
        <v>734</v>
      </c>
      <c r="W1200" s="2" t="s">
        <v>976</v>
      </c>
      <c r="X1200" s="2" t="s">
        <v>3371</v>
      </c>
      <c r="Y1200" s="2" t="s">
        <v>131</v>
      </c>
      <c r="Z1200" s="4">
        <v>82</v>
      </c>
      <c r="AA1200" s="4">
        <f>=ROUNDDOWN(7.45454545454546,0)</f>
      </c>
      <c r="AB1200" s="5">
        <v>11</v>
      </c>
      <c r="AC1200" s="2" t="s">
        <v>406</v>
      </c>
      <c r="AD1200" s="4">
        <v>200</v>
      </c>
      <c r="AE1200" s="4">
        <v>300</v>
      </c>
      <c r="AF1200" s="6">
        <v>65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/>
      <c r="AQ1200" s="8"/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/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 t="s">
        <v>100</v>
      </c>
      <c r="BJ1200" s="4">
        <v>9</v>
      </c>
      <c r="BK1200" s="8">
        <v>550.13</v>
      </c>
      <c r="BL1200" s="2" t="s">
        <v>999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544</v>
      </c>
      <c r="BX1200" s="2" t="s">
        <v>3839</v>
      </c>
      <c r="BY1200" s="2" t="s">
        <v>112</v>
      </c>
      <c r="BZ1200" s="2" t="s">
        <v>100</v>
      </c>
    </row>
    <row r="1201">
      <c r="A1201" s="2" t="s">
        <v>3910</v>
      </c>
      <c r="B1201" s="2" t="s">
        <v>87</v>
      </c>
      <c r="C1201" s="2" t="s">
        <v>3381</v>
      </c>
      <c r="D1201" s="2" t="s">
        <v>2230</v>
      </c>
      <c r="E1201" s="2" t="s">
        <v>1944</v>
      </c>
      <c r="F1201" s="2" t="s">
        <v>3613</v>
      </c>
      <c r="G1201" s="2" t="s">
        <v>3614</v>
      </c>
      <c r="H1201" s="2" t="s">
        <v>3615</v>
      </c>
      <c r="I1201" s="2" t="s">
        <v>3901</v>
      </c>
      <c r="J1201" s="2" t="s">
        <v>120</v>
      </c>
      <c r="K1201" s="2" t="s">
        <v>146</v>
      </c>
      <c r="L1201" s="3">
        <v>65.45</v>
      </c>
      <c r="M1201" s="3">
        <v>68.72</v>
      </c>
      <c r="N1201" s="3">
        <v>119</v>
      </c>
      <c r="O1201" s="2" t="s">
        <v>97</v>
      </c>
      <c r="P1201" s="2" t="s">
        <v>98</v>
      </c>
      <c r="Q1201" s="2" t="s">
        <v>99</v>
      </c>
      <c r="R1201" s="2" t="s">
        <v>100</v>
      </c>
      <c r="S1201" s="2" t="s">
        <v>3907</v>
      </c>
      <c r="T1201" s="2" t="s">
        <v>100</v>
      </c>
      <c r="U1201" s="2" t="s">
        <v>283</v>
      </c>
      <c r="V1201" s="2" t="s">
        <v>734</v>
      </c>
      <c r="W1201" s="2" t="s">
        <v>976</v>
      </c>
      <c r="X1201" s="2" t="s">
        <v>3371</v>
      </c>
      <c r="Y1201" s="2" t="s">
        <v>131</v>
      </c>
      <c r="Z1201" s="4">
        <v>114</v>
      </c>
      <c r="AA1201" s="4">
        <f>=ROUNDDOWN(12.6666666666667,0)</f>
      </c>
      <c r="AB1201" s="5">
        <v>9</v>
      </c>
      <c r="AC1201" s="2" t="s">
        <v>406</v>
      </c>
      <c r="AD1201" s="4">
        <v>150</v>
      </c>
      <c r="AE1201" s="4">
        <v>210</v>
      </c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>
        <v>1</v>
      </c>
      <c r="AQ1201" s="8">
        <v>70.39</v>
      </c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>
        <v>1</v>
      </c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8</v>
      </c>
      <c r="BK1201" s="8">
        <v>515.18</v>
      </c>
      <c r="BL1201" s="2" t="s">
        <v>3911</v>
      </c>
      <c r="BM1201" s="7">
        <v>0.125</v>
      </c>
      <c r="BN1201" s="7">
        <v>0.1366</v>
      </c>
      <c r="BO1201" s="4">
        <v>1</v>
      </c>
      <c r="BP1201" s="8">
        <v>70.39</v>
      </c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544</v>
      </c>
      <c r="BX1201" s="2" t="s">
        <v>170</v>
      </c>
      <c r="BY1201" s="2" t="s">
        <v>112</v>
      </c>
      <c r="BZ1201" s="2" t="s">
        <v>100</v>
      </c>
    </row>
    <row r="1202">
      <c r="A1202" s="2" t="s">
        <v>3912</v>
      </c>
      <c r="B1202" s="2" t="s">
        <v>87</v>
      </c>
      <c r="C1202" s="2" t="s">
        <v>3381</v>
      </c>
      <c r="D1202" s="2" t="s">
        <v>2230</v>
      </c>
      <c r="E1202" s="2" t="s">
        <v>1944</v>
      </c>
      <c r="F1202" s="2" t="s">
        <v>3613</v>
      </c>
      <c r="G1202" s="2" t="s">
        <v>3614</v>
      </c>
      <c r="H1202" s="2" t="s">
        <v>3615</v>
      </c>
      <c r="I1202" s="2" t="s">
        <v>3901</v>
      </c>
      <c r="J1202" s="2" t="s">
        <v>124</v>
      </c>
      <c r="K1202" s="2" t="s">
        <v>146</v>
      </c>
      <c r="L1202" s="3">
        <v>65.45</v>
      </c>
      <c r="M1202" s="3">
        <v>68.72</v>
      </c>
      <c r="N1202" s="3">
        <v>119</v>
      </c>
      <c r="O1202" s="2" t="s">
        <v>97</v>
      </c>
      <c r="P1202" s="2" t="s">
        <v>98</v>
      </c>
      <c r="Q1202" s="2" t="s">
        <v>99</v>
      </c>
      <c r="R1202" s="2" t="s">
        <v>100</v>
      </c>
      <c r="S1202" s="2" t="s">
        <v>3907</v>
      </c>
      <c r="T1202" s="2" t="s">
        <v>100</v>
      </c>
      <c r="U1202" s="2" t="s">
        <v>283</v>
      </c>
      <c r="V1202" s="2" t="s">
        <v>734</v>
      </c>
      <c r="W1202" s="2" t="s">
        <v>976</v>
      </c>
      <c r="X1202" s="2" t="s">
        <v>3371</v>
      </c>
      <c r="Y1202" s="2" t="s">
        <v>131</v>
      </c>
      <c r="Z1202" s="4">
        <v>84</v>
      </c>
      <c r="AA1202" s="4">
        <f>=ROUNDDOWN(14,0)</f>
      </c>
      <c r="AB1202" s="5">
        <v>6</v>
      </c>
      <c r="AC1202" s="2" t="s">
        <v>406</v>
      </c>
      <c r="AD1202" s="4">
        <v>100</v>
      </c>
      <c r="AE1202" s="4">
        <v>150</v>
      </c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/>
      <c r="AQ1202" s="8"/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>
        <v>4</v>
      </c>
      <c r="BK1202" s="8">
        <v>272.66</v>
      </c>
      <c r="BL1202" s="2" t="s">
        <v>2548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544</v>
      </c>
      <c r="BX1202" s="2" t="s">
        <v>211</v>
      </c>
      <c r="BY1202" s="2" t="s">
        <v>112</v>
      </c>
      <c r="BZ1202" s="2" t="s">
        <v>100</v>
      </c>
    </row>
    <row r="1203">
      <c r="A1203" s="2" t="s">
        <v>3913</v>
      </c>
      <c r="B1203" s="2" t="s">
        <v>87</v>
      </c>
      <c r="C1203" s="2" t="s">
        <v>3381</v>
      </c>
      <c r="D1203" s="2" t="s">
        <v>2230</v>
      </c>
      <c r="E1203" s="2" t="s">
        <v>1944</v>
      </c>
      <c r="F1203" s="2" t="s">
        <v>3854</v>
      </c>
      <c r="G1203" s="2" t="s">
        <v>3855</v>
      </c>
      <c r="H1203" s="2" t="s">
        <v>3856</v>
      </c>
      <c r="I1203" s="2" t="s">
        <v>3896</v>
      </c>
      <c r="J1203" s="2" t="s">
        <v>2236</v>
      </c>
      <c r="K1203" s="2" t="s">
        <v>340</v>
      </c>
      <c r="L1203" s="3">
        <v>46.28</v>
      </c>
      <c r="M1203" s="3">
        <v>48.59</v>
      </c>
      <c r="N1203" s="3">
        <v>89</v>
      </c>
      <c r="O1203" s="2" t="s">
        <v>97</v>
      </c>
      <c r="P1203" s="2" t="s">
        <v>98</v>
      </c>
      <c r="Q1203" s="2" t="s">
        <v>99</v>
      </c>
      <c r="R1203" s="2" t="s">
        <v>100</v>
      </c>
      <c r="S1203" s="2" t="s">
        <v>3857</v>
      </c>
      <c r="T1203" s="2" t="s">
        <v>100</v>
      </c>
      <c r="U1203" s="2" t="s">
        <v>676</v>
      </c>
      <c r="V1203" s="2" t="s">
        <v>805</v>
      </c>
      <c r="W1203" s="2" t="s">
        <v>976</v>
      </c>
      <c r="X1203" s="2" t="s">
        <v>105</v>
      </c>
      <c r="Y1203" s="2" t="s">
        <v>3914</v>
      </c>
      <c r="Z1203" s="4">
        <v>71</v>
      </c>
      <c r="AA1203" s="4">
        <f>=ROUNDDOWN(14.2,0)</f>
      </c>
      <c r="AB1203" s="5">
        <v>5</v>
      </c>
      <c r="AC1203" s="2" t="s">
        <v>871</v>
      </c>
      <c r="AD1203" s="4">
        <v>30</v>
      </c>
      <c r="AE1203" s="4">
        <v>130</v>
      </c>
      <c r="AF1203" s="6">
        <v>65</v>
      </c>
      <c r="AG1203" s="6">
        <v>73</v>
      </c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/>
      <c r="AQ1203" s="8"/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/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/>
      <c r="BJ1203" s="4">
        <v>2</v>
      </c>
      <c r="BK1203" s="8">
        <v>89.92</v>
      </c>
      <c r="BL1203" s="2" t="s">
        <v>1896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3915</v>
      </c>
      <c r="BX1203" s="2" t="s">
        <v>100</v>
      </c>
      <c r="BY1203" s="2" t="s">
        <v>112</v>
      </c>
      <c r="BZ1203" s="2" t="s">
        <v>100</v>
      </c>
    </row>
    <row r="1204">
      <c r="A1204" s="2" t="s">
        <v>3916</v>
      </c>
      <c r="B1204" s="2" t="s">
        <v>87</v>
      </c>
      <c r="C1204" s="2" t="s">
        <v>3381</v>
      </c>
      <c r="D1204" s="2" t="s">
        <v>2230</v>
      </c>
      <c r="E1204" s="2" t="s">
        <v>1944</v>
      </c>
      <c r="F1204" s="2" t="s">
        <v>3854</v>
      </c>
      <c r="G1204" s="2" t="s">
        <v>3855</v>
      </c>
      <c r="H1204" s="2" t="s">
        <v>3856</v>
      </c>
      <c r="I1204" s="2" t="s">
        <v>3901</v>
      </c>
      <c r="J1204" s="2" t="s">
        <v>95</v>
      </c>
      <c r="K1204" s="2" t="s">
        <v>340</v>
      </c>
      <c r="L1204" s="3">
        <v>54.45</v>
      </c>
      <c r="M1204" s="3">
        <v>57.17</v>
      </c>
      <c r="N1204" s="3">
        <v>99</v>
      </c>
      <c r="O1204" s="2" t="s">
        <v>97</v>
      </c>
      <c r="P1204" s="2" t="s">
        <v>98</v>
      </c>
      <c r="Q1204" s="2" t="s">
        <v>99</v>
      </c>
      <c r="R1204" s="2" t="s">
        <v>100</v>
      </c>
      <c r="S1204" s="2" t="s">
        <v>3857</v>
      </c>
      <c r="T1204" s="2" t="s">
        <v>100</v>
      </c>
      <c r="U1204" s="2" t="s">
        <v>283</v>
      </c>
      <c r="V1204" s="2" t="s">
        <v>805</v>
      </c>
      <c r="W1204" s="2" t="s">
        <v>976</v>
      </c>
      <c r="X1204" s="2" t="s">
        <v>105</v>
      </c>
      <c r="Y1204" s="2" t="s">
        <v>3914</v>
      </c>
      <c r="Z1204" s="4">
        <v>110</v>
      </c>
      <c r="AA1204" s="4">
        <f>=ROUNDDOWN(22,0)</f>
      </c>
      <c r="AB1204" s="5">
        <v>5</v>
      </c>
      <c r="AC1204" s="2" t="s">
        <v>871</v>
      </c>
      <c r="AD1204" s="4">
        <v>30</v>
      </c>
      <c r="AE1204" s="4">
        <v>160</v>
      </c>
      <c r="AF1204" s="6">
        <v>65</v>
      </c>
      <c r="AG1204" s="6">
        <v>73</v>
      </c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/>
      <c r="AQ1204" s="8"/>
      <c r="AR1204" s="4"/>
      <c r="AS1204" s="8"/>
      <c r="AT1204" s="7"/>
      <c r="AU1204" s="7"/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/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/>
      <c r="BJ1204" s="4">
        <v>1</v>
      </c>
      <c r="BK1204" s="8">
        <v>58.7</v>
      </c>
      <c r="BL1204" s="2" t="s">
        <v>625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266</v>
      </c>
      <c r="BX1204" s="2" t="s">
        <v>1086</v>
      </c>
      <c r="BY1204" s="2" t="s">
        <v>112</v>
      </c>
      <c r="BZ1204" s="2" t="s">
        <v>100</v>
      </c>
    </row>
    <row r="1205">
      <c r="A1205" s="2" t="s">
        <v>3917</v>
      </c>
      <c r="B1205" s="2" t="s">
        <v>87</v>
      </c>
      <c r="C1205" s="2" t="s">
        <v>3381</v>
      </c>
      <c r="D1205" s="2" t="s">
        <v>2230</v>
      </c>
      <c r="E1205" s="2" t="s">
        <v>1944</v>
      </c>
      <c r="F1205" s="2" t="s">
        <v>3854</v>
      </c>
      <c r="G1205" s="2" t="s">
        <v>3855</v>
      </c>
      <c r="H1205" s="2" t="s">
        <v>3856</v>
      </c>
      <c r="I1205" s="2" t="s">
        <v>3901</v>
      </c>
      <c r="J1205" s="2" t="s">
        <v>114</v>
      </c>
      <c r="K1205" s="2" t="s">
        <v>340</v>
      </c>
      <c r="L1205" s="3">
        <v>59.95</v>
      </c>
      <c r="M1205" s="3">
        <v>62.95</v>
      </c>
      <c r="N1205" s="3">
        <v>109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3857</v>
      </c>
      <c r="T1205" s="2" t="s">
        <v>100</v>
      </c>
      <c r="U1205" s="2" t="s">
        <v>283</v>
      </c>
      <c r="V1205" s="2" t="s">
        <v>805</v>
      </c>
      <c r="W1205" s="2" t="s">
        <v>976</v>
      </c>
      <c r="X1205" s="2" t="s">
        <v>105</v>
      </c>
      <c r="Y1205" s="2" t="s">
        <v>3914</v>
      </c>
      <c r="Z1205" s="4">
        <v>396</v>
      </c>
      <c r="AA1205" s="4">
        <f>=ROUNDDOWN(28.2857142857143,0)</f>
      </c>
      <c r="AB1205" s="5">
        <v>14</v>
      </c>
      <c r="AC1205" s="2" t="s">
        <v>907</v>
      </c>
      <c r="AD1205" s="4">
        <v>30</v>
      </c>
      <c r="AE1205" s="4">
        <v>270</v>
      </c>
      <c r="AF1205" s="6">
        <v>65</v>
      </c>
      <c r="AG1205" s="6">
        <v>73</v>
      </c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/>
      <c r="AQ1205" s="8"/>
      <c r="AR1205" s="4"/>
      <c r="AS1205" s="8"/>
      <c r="AT1205" s="7"/>
      <c r="AU1205" s="7"/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/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/>
      <c r="BJ1205" s="4">
        <v>7</v>
      </c>
      <c r="BK1205" s="8">
        <v>457.73</v>
      </c>
      <c r="BL1205" s="2" t="s">
        <v>625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266</v>
      </c>
      <c r="BX1205" s="2" t="s">
        <v>3918</v>
      </c>
      <c r="BY1205" s="2" t="s">
        <v>112</v>
      </c>
      <c r="BZ1205" s="2" t="s">
        <v>100</v>
      </c>
    </row>
    <row r="1206">
      <c r="A1206" s="2" t="s">
        <v>3919</v>
      </c>
      <c r="B1206" s="2" t="s">
        <v>87</v>
      </c>
      <c r="C1206" s="2" t="s">
        <v>3381</v>
      </c>
      <c r="D1206" s="2" t="s">
        <v>2230</v>
      </c>
      <c r="E1206" s="2" t="s">
        <v>1944</v>
      </c>
      <c r="F1206" s="2" t="s">
        <v>3854</v>
      </c>
      <c r="G1206" s="2" t="s">
        <v>3855</v>
      </c>
      <c r="H1206" s="2" t="s">
        <v>3856</v>
      </c>
      <c r="I1206" s="2" t="s">
        <v>3901</v>
      </c>
      <c r="J1206" s="2" t="s">
        <v>120</v>
      </c>
      <c r="K1206" s="2" t="s">
        <v>340</v>
      </c>
      <c r="L1206" s="3">
        <v>65.45</v>
      </c>
      <c r="M1206" s="3">
        <v>68.72</v>
      </c>
      <c r="N1206" s="3">
        <v>119</v>
      </c>
      <c r="O1206" s="2" t="s">
        <v>97</v>
      </c>
      <c r="P1206" s="2" t="s">
        <v>98</v>
      </c>
      <c r="Q1206" s="2" t="s">
        <v>99</v>
      </c>
      <c r="R1206" s="2" t="s">
        <v>100</v>
      </c>
      <c r="S1206" s="2" t="s">
        <v>3857</v>
      </c>
      <c r="T1206" s="2" t="s">
        <v>100</v>
      </c>
      <c r="U1206" s="2" t="s">
        <v>283</v>
      </c>
      <c r="V1206" s="2" t="s">
        <v>805</v>
      </c>
      <c r="W1206" s="2" t="s">
        <v>976</v>
      </c>
      <c r="X1206" s="2" t="s">
        <v>105</v>
      </c>
      <c r="Y1206" s="2" t="s">
        <v>3914</v>
      </c>
      <c r="Z1206" s="4">
        <v>175</v>
      </c>
      <c r="AA1206" s="4">
        <f>=ROUNDDOWN(19.4444444444444,0)</f>
      </c>
      <c r="AB1206" s="5">
        <v>9</v>
      </c>
      <c r="AC1206" s="2" t="s">
        <v>871</v>
      </c>
      <c r="AD1206" s="4">
        <v>30</v>
      </c>
      <c r="AE1206" s="4">
        <v>300</v>
      </c>
      <c r="AF1206" s="6">
        <v>65</v>
      </c>
      <c r="AG1206" s="6">
        <v>73</v>
      </c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/>
      <c r="AQ1206" s="8"/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/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/>
      <c r="BJ1206" s="4">
        <v>2</v>
      </c>
      <c r="BK1206" s="8">
        <v>140.82</v>
      </c>
      <c r="BL1206" s="2" t="s">
        <v>986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266</v>
      </c>
      <c r="BX1206" s="2" t="s">
        <v>295</v>
      </c>
      <c r="BY1206" s="2" t="s">
        <v>112</v>
      </c>
      <c r="BZ1206" s="2" t="s">
        <v>100</v>
      </c>
    </row>
    <row r="1207">
      <c r="A1207" s="2" t="s">
        <v>3920</v>
      </c>
      <c r="B1207" s="2" t="s">
        <v>87</v>
      </c>
      <c r="C1207" s="2" t="s">
        <v>3381</v>
      </c>
      <c r="D1207" s="2" t="s">
        <v>2230</v>
      </c>
      <c r="E1207" s="2" t="s">
        <v>1944</v>
      </c>
      <c r="F1207" s="2" t="s">
        <v>3854</v>
      </c>
      <c r="G1207" s="2" t="s">
        <v>3855</v>
      </c>
      <c r="H1207" s="2" t="s">
        <v>3856</v>
      </c>
      <c r="I1207" s="2" t="s">
        <v>3901</v>
      </c>
      <c r="J1207" s="2" t="s">
        <v>124</v>
      </c>
      <c r="K1207" s="2" t="s">
        <v>340</v>
      </c>
      <c r="L1207" s="3">
        <v>65.45</v>
      </c>
      <c r="M1207" s="3">
        <v>68.72</v>
      </c>
      <c r="N1207" s="3">
        <v>119</v>
      </c>
      <c r="O1207" s="2" t="s">
        <v>97</v>
      </c>
      <c r="P1207" s="2" t="s">
        <v>98</v>
      </c>
      <c r="Q1207" s="2" t="s">
        <v>99</v>
      </c>
      <c r="R1207" s="2" t="s">
        <v>100</v>
      </c>
      <c r="S1207" s="2" t="s">
        <v>3857</v>
      </c>
      <c r="T1207" s="2" t="s">
        <v>100</v>
      </c>
      <c r="U1207" s="2" t="s">
        <v>283</v>
      </c>
      <c r="V1207" s="2" t="s">
        <v>805</v>
      </c>
      <c r="W1207" s="2" t="s">
        <v>976</v>
      </c>
      <c r="X1207" s="2" t="s">
        <v>105</v>
      </c>
      <c r="Y1207" s="2" t="s">
        <v>3914</v>
      </c>
      <c r="Z1207" s="4">
        <v>65</v>
      </c>
      <c r="AA1207" s="4">
        <f>=ROUNDDOWN(13,0)</f>
      </c>
      <c r="AB1207" s="5">
        <v>5</v>
      </c>
      <c r="AC1207" s="2" t="s">
        <v>871</v>
      </c>
      <c r="AD1207" s="4">
        <v>40</v>
      </c>
      <c r="AE1207" s="4">
        <v>200</v>
      </c>
      <c r="AF1207" s="6">
        <v>65</v>
      </c>
      <c r="AG1207" s="6">
        <v>73</v>
      </c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/>
      <c r="AQ1207" s="8"/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/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/>
      <c r="BJ1207" s="4">
        <v>1</v>
      </c>
      <c r="BK1207" s="8">
        <v>70.9</v>
      </c>
      <c r="BL1207" s="2" t="s">
        <v>625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266</v>
      </c>
      <c r="BX1207" s="2" t="s">
        <v>3921</v>
      </c>
      <c r="BY1207" s="2" t="s">
        <v>112</v>
      </c>
      <c r="BZ1207" s="2" t="s">
        <v>100</v>
      </c>
    </row>
    <row r="1208">
      <c r="A1208" s="2" t="s">
        <v>3922</v>
      </c>
      <c r="B1208" s="2" t="s">
        <v>87</v>
      </c>
      <c r="C1208" s="2" t="s">
        <v>3381</v>
      </c>
      <c r="D1208" s="2" t="s">
        <v>2230</v>
      </c>
      <c r="E1208" s="2" t="s">
        <v>1944</v>
      </c>
      <c r="F1208" s="2" t="s">
        <v>3854</v>
      </c>
      <c r="G1208" s="2" t="s">
        <v>3855</v>
      </c>
      <c r="H1208" s="2" t="s">
        <v>3856</v>
      </c>
      <c r="I1208" s="2" t="s">
        <v>3896</v>
      </c>
      <c r="J1208" s="2" t="s">
        <v>2236</v>
      </c>
      <c r="K1208" s="2" t="s">
        <v>175</v>
      </c>
      <c r="L1208" s="3">
        <v>46.28</v>
      </c>
      <c r="M1208" s="3">
        <v>48.59</v>
      </c>
      <c r="N1208" s="3">
        <v>89</v>
      </c>
      <c r="O1208" s="2" t="s">
        <v>97</v>
      </c>
      <c r="P1208" s="2" t="s">
        <v>242</v>
      </c>
      <c r="Q1208" s="2" t="s">
        <v>99</v>
      </c>
      <c r="R1208" s="2" t="s">
        <v>100</v>
      </c>
      <c r="S1208" s="2" t="s">
        <v>3867</v>
      </c>
      <c r="T1208" s="2" t="s">
        <v>100</v>
      </c>
      <c r="U1208" s="2" t="s">
        <v>676</v>
      </c>
      <c r="V1208" s="2" t="s">
        <v>805</v>
      </c>
      <c r="W1208" s="2" t="s">
        <v>976</v>
      </c>
      <c r="X1208" s="2" t="s">
        <v>105</v>
      </c>
      <c r="Y1208" s="2" t="s">
        <v>131</v>
      </c>
      <c r="Z1208" s="4">
        <v>99</v>
      </c>
      <c r="AA1208" s="4">
        <f>=ROUNDDOWN(33,0)</f>
      </c>
      <c r="AB1208" s="5">
        <v>3</v>
      </c>
      <c r="AC1208" s="2" t="s">
        <v>593</v>
      </c>
      <c r="AD1208" s="4">
        <v>20</v>
      </c>
      <c r="AE1208" s="4">
        <v>20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/>
      <c r="AQ1208" s="8"/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/>
      <c r="BJ1208" s="4">
        <v>5</v>
      </c>
      <c r="BK1208" s="8">
        <v>249.97</v>
      </c>
      <c r="BL1208" s="2" t="s">
        <v>3923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544</v>
      </c>
      <c r="BX1208" s="2" t="s">
        <v>3008</v>
      </c>
      <c r="BY1208" s="2" t="s">
        <v>112</v>
      </c>
      <c r="BZ1208" s="2" t="s">
        <v>100</v>
      </c>
    </row>
    <row r="1209">
      <c r="A1209" s="2" t="s">
        <v>3924</v>
      </c>
      <c r="B1209" s="2" t="s">
        <v>87</v>
      </c>
      <c r="C1209" s="2" t="s">
        <v>3381</v>
      </c>
      <c r="D1209" s="2" t="s">
        <v>2230</v>
      </c>
      <c r="E1209" s="2" t="s">
        <v>1944</v>
      </c>
      <c r="F1209" s="2" t="s">
        <v>3854</v>
      </c>
      <c r="G1209" s="2" t="s">
        <v>3855</v>
      </c>
      <c r="H1209" s="2" t="s">
        <v>3856</v>
      </c>
      <c r="I1209" s="2" t="s">
        <v>3901</v>
      </c>
      <c r="J1209" s="2" t="s">
        <v>95</v>
      </c>
      <c r="K1209" s="2" t="s">
        <v>175</v>
      </c>
      <c r="L1209" s="3">
        <v>54.45</v>
      </c>
      <c r="M1209" s="3">
        <v>57.17</v>
      </c>
      <c r="N1209" s="3">
        <v>99</v>
      </c>
      <c r="O1209" s="2" t="s">
        <v>97</v>
      </c>
      <c r="P1209" s="2" t="s">
        <v>242</v>
      </c>
      <c r="Q1209" s="2" t="s">
        <v>99</v>
      </c>
      <c r="R1209" s="2" t="s">
        <v>100</v>
      </c>
      <c r="S1209" s="2" t="s">
        <v>3867</v>
      </c>
      <c r="T1209" s="2" t="s">
        <v>100</v>
      </c>
      <c r="U1209" s="2" t="s">
        <v>283</v>
      </c>
      <c r="V1209" s="2" t="s">
        <v>805</v>
      </c>
      <c r="W1209" s="2" t="s">
        <v>976</v>
      </c>
      <c r="X1209" s="2" t="s">
        <v>105</v>
      </c>
      <c r="Y1209" s="2" t="s">
        <v>131</v>
      </c>
      <c r="Z1209" s="4">
        <v>112</v>
      </c>
      <c r="AA1209" s="4">
        <f>=ROUNDDOWN(28,0)</f>
      </c>
      <c r="AB1209" s="5">
        <v>4</v>
      </c>
      <c r="AC1209" s="2" t="s">
        <v>593</v>
      </c>
      <c r="AD1209" s="4">
        <v>40</v>
      </c>
      <c r="AE1209" s="4">
        <v>40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/>
      <c r="AQ1209" s="8"/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/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/>
      <c r="BJ1209" s="4">
        <v>2</v>
      </c>
      <c r="BK1209" s="8">
        <v>99.77</v>
      </c>
      <c r="BL1209" s="2" t="s">
        <v>741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544</v>
      </c>
      <c r="BX1209" s="2" t="s">
        <v>196</v>
      </c>
      <c r="BY1209" s="2" t="s">
        <v>112</v>
      </c>
      <c r="BZ1209" s="2" t="s">
        <v>100</v>
      </c>
    </row>
    <row r="1210">
      <c r="A1210" s="2" t="s">
        <v>3925</v>
      </c>
      <c r="B1210" s="2" t="s">
        <v>87</v>
      </c>
      <c r="C1210" s="2" t="s">
        <v>3381</v>
      </c>
      <c r="D1210" s="2" t="s">
        <v>2230</v>
      </c>
      <c r="E1210" s="2" t="s">
        <v>1944</v>
      </c>
      <c r="F1210" s="2" t="s">
        <v>3854</v>
      </c>
      <c r="G1210" s="2" t="s">
        <v>3855</v>
      </c>
      <c r="H1210" s="2" t="s">
        <v>3856</v>
      </c>
      <c r="I1210" s="2" t="s">
        <v>3901</v>
      </c>
      <c r="J1210" s="2" t="s">
        <v>114</v>
      </c>
      <c r="K1210" s="2" t="s">
        <v>175</v>
      </c>
      <c r="L1210" s="3">
        <v>59.95</v>
      </c>
      <c r="M1210" s="3">
        <v>62.95</v>
      </c>
      <c r="N1210" s="3">
        <v>109</v>
      </c>
      <c r="O1210" s="2" t="s">
        <v>97</v>
      </c>
      <c r="P1210" s="2" t="s">
        <v>242</v>
      </c>
      <c r="Q1210" s="2" t="s">
        <v>99</v>
      </c>
      <c r="R1210" s="2" t="s">
        <v>100</v>
      </c>
      <c r="S1210" s="2" t="s">
        <v>3867</v>
      </c>
      <c r="T1210" s="2" t="s">
        <v>100</v>
      </c>
      <c r="U1210" s="2" t="s">
        <v>283</v>
      </c>
      <c r="V1210" s="2" t="s">
        <v>805</v>
      </c>
      <c r="W1210" s="2" t="s">
        <v>976</v>
      </c>
      <c r="X1210" s="2" t="s">
        <v>105</v>
      </c>
      <c r="Y1210" s="2" t="s">
        <v>131</v>
      </c>
      <c r="Z1210" s="4">
        <v>277</v>
      </c>
      <c r="AA1210" s="4">
        <f>=ROUNDDOWN(39.5714285714286,0)</f>
      </c>
      <c r="AB1210" s="5">
        <v>7</v>
      </c>
      <c r="AC1210" s="2" t="s">
        <v>329</v>
      </c>
      <c r="AD1210" s="4">
        <v>70</v>
      </c>
      <c r="AE1210" s="4">
        <v>70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/>
      <c r="AQ1210" s="8"/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/>
      <c r="BJ1210" s="4">
        <v>4</v>
      </c>
      <c r="BK1210" s="8">
        <v>241.95</v>
      </c>
      <c r="BL1210" s="2" t="s">
        <v>388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544</v>
      </c>
      <c r="BX1210" s="2" t="s">
        <v>1418</v>
      </c>
      <c r="BY1210" s="2" t="s">
        <v>112</v>
      </c>
      <c r="BZ1210" s="2" t="s">
        <v>100</v>
      </c>
    </row>
    <row r="1211">
      <c r="A1211" s="2" t="s">
        <v>3926</v>
      </c>
      <c r="B1211" s="2" t="s">
        <v>87</v>
      </c>
      <c r="C1211" s="2" t="s">
        <v>3381</v>
      </c>
      <c r="D1211" s="2" t="s">
        <v>2230</v>
      </c>
      <c r="E1211" s="2" t="s">
        <v>1944</v>
      </c>
      <c r="F1211" s="2" t="s">
        <v>3854</v>
      </c>
      <c r="G1211" s="2" t="s">
        <v>3855</v>
      </c>
      <c r="H1211" s="2" t="s">
        <v>3856</v>
      </c>
      <c r="I1211" s="2" t="s">
        <v>3901</v>
      </c>
      <c r="J1211" s="2" t="s">
        <v>120</v>
      </c>
      <c r="K1211" s="2" t="s">
        <v>175</v>
      </c>
      <c r="L1211" s="3">
        <v>65.45</v>
      </c>
      <c r="M1211" s="3">
        <v>68.72</v>
      </c>
      <c r="N1211" s="3">
        <v>119</v>
      </c>
      <c r="O1211" s="2" t="s">
        <v>97</v>
      </c>
      <c r="P1211" s="2" t="s">
        <v>242</v>
      </c>
      <c r="Q1211" s="2" t="s">
        <v>99</v>
      </c>
      <c r="R1211" s="2" t="s">
        <v>100</v>
      </c>
      <c r="S1211" s="2" t="s">
        <v>3867</v>
      </c>
      <c r="T1211" s="2" t="s">
        <v>100</v>
      </c>
      <c r="U1211" s="2" t="s">
        <v>283</v>
      </c>
      <c r="V1211" s="2" t="s">
        <v>805</v>
      </c>
      <c r="W1211" s="2" t="s">
        <v>976</v>
      </c>
      <c r="X1211" s="2" t="s">
        <v>105</v>
      </c>
      <c r="Y1211" s="2" t="s">
        <v>131</v>
      </c>
      <c r="Z1211" s="4">
        <v>216</v>
      </c>
      <c r="AA1211" s="4">
        <f>=ROUNDDOWN(43.2,0)</f>
      </c>
      <c r="AB1211" s="5">
        <v>5</v>
      </c>
      <c r="AC1211" s="2" t="s">
        <v>329</v>
      </c>
      <c r="AD1211" s="4">
        <v>50</v>
      </c>
      <c r="AE1211" s="4">
        <v>110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/>
      <c r="BJ1211" s="4">
        <v>3</v>
      </c>
      <c r="BK1211" s="8">
        <v>191.12</v>
      </c>
      <c r="BL1211" s="2" t="s">
        <v>501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544</v>
      </c>
      <c r="BX1211" s="2" t="s">
        <v>634</v>
      </c>
      <c r="BY1211" s="2" t="s">
        <v>112</v>
      </c>
      <c r="BZ1211" s="2" t="s">
        <v>100</v>
      </c>
    </row>
    <row r="1212">
      <c r="A1212" s="2" t="s">
        <v>3927</v>
      </c>
      <c r="B1212" s="2" t="s">
        <v>87</v>
      </c>
      <c r="C1212" s="2" t="s">
        <v>3381</v>
      </c>
      <c r="D1212" s="2" t="s">
        <v>2230</v>
      </c>
      <c r="E1212" s="2" t="s">
        <v>1944</v>
      </c>
      <c r="F1212" s="2" t="s">
        <v>3854</v>
      </c>
      <c r="G1212" s="2" t="s">
        <v>3855</v>
      </c>
      <c r="H1212" s="2" t="s">
        <v>3856</v>
      </c>
      <c r="I1212" s="2" t="s">
        <v>3901</v>
      </c>
      <c r="J1212" s="2" t="s">
        <v>124</v>
      </c>
      <c r="K1212" s="2" t="s">
        <v>175</v>
      </c>
      <c r="L1212" s="3">
        <v>65.45</v>
      </c>
      <c r="M1212" s="3">
        <v>68.72</v>
      </c>
      <c r="N1212" s="3">
        <v>119</v>
      </c>
      <c r="O1212" s="2" t="s">
        <v>97</v>
      </c>
      <c r="P1212" s="2" t="s">
        <v>242</v>
      </c>
      <c r="Q1212" s="2" t="s">
        <v>99</v>
      </c>
      <c r="R1212" s="2" t="s">
        <v>100</v>
      </c>
      <c r="S1212" s="2" t="s">
        <v>3867</v>
      </c>
      <c r="T1212" s="2" t="s">
        <v>100</v>
      </c>
      <c r="U1212" s="2" t="s">
        <v>283</v>
      </c>
      <c r="V1212" s="2" t="s">
        <v>805</v>
      </c>
      <c r="W1212" s="2" t="s">
        <v>976</v>
      </c>
      <c r="X1212" s="2" t="s">
        <v>105</v>
      </c>
      <c r="Y1212" s="2" t="s">
        <v>131</v>
      </c>
      <c r="Z1212" s="4">
        <v>149</v>
      </c>
      <c r="AA1212" s="4">
        <f>=ROUNDDOWN(49.6666666666667,0)</f>
      </c>
      <c r="AB1212" s="5">
        <v>3</v>
      </c>
      <c r="AC1212" s="2" t="s">
        <v>100</v>
      </c>
      <c r="AD1212" s="4"/>
      <c r="AE1212" s="4"/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/>
      <c r="AQ1212" s="8"/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/>
      <c r="BJ1212" s="4">
        <v>1</v>
      </c>
      <c r="BK1212" s="8">
        <v>70.9</v>
      </c>
      <c r="BL1212" s="2" t="s">
        <v>625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544</v>
      </c>
      <c r="BX1212" s="2" t="s">
        <v>621</v>
      </c>
      <c r="BY1212" s="2" t="s">
        <v>112</v>
      </c>
      <c r="BZ1212" s="2" t="s">
        <v>100</v>
      </c>
    </row>
    <row r="1213">
      <c r="A1213" s="2" t="s">
        <v>3928</v>
      </c>
      <c r="B1213" s="2" t="s">
        <v>87</v>
      </c>
      <c r="C1213" s="2" t="s">
        <v>3381</v>
      </c>
      <c r="D1213" s="2" t="s">
        <v>2230</v>
      </c>
      <c r="E1213" s="2" t="s">
        <v>2970</v>
      </c>
      <c r="F1213" s="2" t="s">
        <v>3820</v>
      </c>
      <c r="G1213" s="2" t="s">
        <v>3821</v>
      </c>
      <c r="H1213" s="2" t="s">
        <v>3822</v>
      </c>
      <c r="I1213" s="2" t="s">
        <v>3929</v>
      </c>
      <c r="J1213" s="2" t="s">
        <v>2972</v>
      </c>
      <c r="K1213" s="2" t="s">
        <v>146</v>
      </c>
      <c r="L1213" s="3">
        <v>42.3</v>
      </c>
      <c r="M1213" s="3">
        <v>44.41</v>
      </c>
      <c r="N1213" s="3">
        <v>89.99</v>
      </c>
      <c r="O1213" s="2" t="s">
        <v>97</v>
      </c>
      <c r="P1213" s="2" t="s">
        <v>447</v>
      </c>
      <c r="Q1213" s="2" t="s">
        <v>99</v>
      </c>
      <c r="R1213" s="2" t="s">
        <v>100</v>
      </c>
      <c r="S1213" s="2" t="s">
        <v>3825</v>
      </c>
      <c r="T1213" s="2" t="s">
        <v>100</v>
      </c>
      <c r="U1213" s="2" t="s">
        <v>676</v>
      </c>
      <c r="V1213" s="2" t="s">
        <v>734</v>
      </c>
      <c r="W1213" s="2" t="s">
        <v>104</v>
      </c>
      <c r="X1213" s="2" t="s">
        <v>450</v>
      </c>
      <c r="Y1213" s="2" t="s">
        <v>1717</v>
      </c>
      <c r="Z1213" s="4">
        <v>1</v>
      </c>
      <c r="AA1213" s="4">
        <f>=ROUNDDOWN(0.0833333333333333,0)</f>
      </c>
      <c r="AB1213" s="5">
        <v>12</v>
      </c>
      <c r="AC1213" s="2" t="s">
        <v>100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/>
      <c r="AQ1213" s="8"/>
      <c r="AR1213" s="4"/>
      <c r="AS1213" s="8"/>
      <c r="AT1213" s="7"/>
      <c r="AU1213" s="7"/>
      <c r="AV1213" s="4"/>
      <c r="AW1213" s="8"/>
      <c r="AX1213" s="4"/>
      <c r="AY1213" s="8"/>
      <c r="AZ1213" s="7"/>
      <c r="BA1213" s="7"/>
      <c r="BB1213" s="7"/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/>
      <c r="BJ1213" s="4">
        <v>11</v>
      </c>
      <c r="BK1213" s="8">
        <v>442.09</v>
      </c>
      <c r="BL1213" s="2" t="s">
        <v>2376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544</v>
      </c>
      <c r="BX1213" s="2" t="s">
        <v>469</v>
      </c>
      <c r="BY1213" s="2" t="s">
        <v>112</v>
      </c>
      <c r="BZ1213" s="2" t="s">
        <v>100</v>
      </c>
    </row>
    <row r="1214">
      <c r="A1214" s="2" t="s">
        <v>3930</v>
      </c>
      <c r="B1214" s="2" t="s">
        <v>87</v>
      </c>
      <c r="C1214" s="2" t="s">
        <v>3381</v>
      </c>
      <c r="D1214" s="2" t="s">
        <v>2230</v>
      </c>
      <c r="E1214" s="2" t="s">
        <v>2970</v>
      </c>
      <c r="F1214" s="2" t="s">
        <v>3820</v>
      </c>
      <c r="G1214" s="2" t="s">
        <v>3821</v>
      </c>
      <c r="H1214" s="2" t="s">
        <v>3822</v>
      </c>
      <c r="I1214" s="2" t="s">
        <v>3929</v>
      </c>
      <c r="J1214" s="2" t="s">
        <v>2972</v>
      </c>
      <c r="K1214" s="2" t="s">
        <v>163</v>
      </c>
      <c r="L1214" s="3">
        <v>42.3</v>
      </c>
      <c r="M1214" s="3">
        <v>44.41</v>
      </c>
      <c r="N1214" s="3">
        <v>89.99</v>
      </c>
      <c r="O1214" s="2" t="s">
        <v>97</v>
      </c>
      <c r="P1214" s="2" t="s">
        <v>447</v>
      </c>
      <c r="Q1214" s="2" t="s">
        <v>99</v>
      </c>
      <c r="R1214" s="2" t="s">
        <v>100</v>
      </c>
      <c r="S1214" s="2" t="s">
        <v>3931</v>
      </c>
      <c r="T1214" s="2" t="s">
        <v>100</v>
      </c>
      <c r="U1214" s="2" t="s">
        <v>676</v>
      </c>
      <c r="V1214" s="2" t="s">
        <v>734</v>
      </c>
      <c r="W1214" s="2" t="s">
        <v>104</v>
      </c>
      <c r="X1214" s="2" t="s">
        <v>450</v>
      </c>
      <c r="Y1214" s="2" t="s">
        <v>3932</v>
      </c>
      <c r="Z1214" s="4">
        <v>10</v>
      </c>
      <c r="AA1214" s="4">
        <f>=ROUNDDOWN(1.49253731343284,0)</f>
      </c>
      <c r="AB1214" s="5">
        <v>6.7</v>
      </c>
      <c r="AC1214" s="2" t="s">
        <v>100</v>
      </c>
      <c r="AD1214" s="4"/>
      <c r="AE1214" s="4"/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/>
      <c r="BJ1214" s="4">
        <v>10</v>
      </c>
      <c r="BK1214" s="8">
        <v>308.83</v>
      </c>
      <c r="BL1214" s="2" t="s">
        <v>543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544</v>
      </c>
      <c r="BX1214" s="2" t="s">
        <v>1053</v>
      </c>
      <c r="BY1214" s="2" t="s">
        <v>112</v>
      </c>
      <c r="BZ1214" s="2" t="s">
        <v>100</v>
      </c>
    </row>
    <row r="1215">
      <c r="A1215" s="2" t="s">
        <v>3933</v>
      </c>
      <c r="B1215" s="2" t="s">
        <v>87</v>
      </c>
      <c r="C1215" s="2" t="s">
        <v>3934</v>
      </c>
      <c r="D1215" s="2" t="s">
        <v>2230</v>
      </c>
      <c r="E1215" s="2" t="s">
        <v>2231</v>
      </c>
      <c r="F1215" s="2" t="s">
        <v>3935</v>
      </c>
      <c r="G1215" s="2" t="s">
        <v>3936</v>
      </c>
      <c r="H1215" s="2" t="s">
        <v>3937</v>
      </c>
      <c r="I1215" s="2" t="s">
        <v>2314</v>
      </c>
      <c r="J1215" s="2" t="s">
        <v>785</v>
      </c>
      <c r="K1215" s="2" t="s">
        <v>2257</v>
      </c>
      <c r="L1215" s="3">
        <v>32</v>
      </c>
      <c r="M1215" s="3">
        <v>33.6</v>
      </c>
      <c r="N1215" s="3">
        <v>79.99</v>
      </c>
      <c r="O1215" s="2" t="s">
        <v>97</v>
      </c>
      <c r="P1215" s="2" t="s">
        <v>242</v>
      </c>
      <c r="Q1215" s="2" t="s">
        <v>99</v>
      </c>
      <c r="R1215" s="2" t="s">
        <v>100</v>
      </c>
      <c r="S1215" s="2" t="s">
        <v>3938</v>
      </c>
      <c r="T1215" s="2" t="s">
        <v>787</v>
      </c>
      <c r="U1215" s="2" t="s">
        <v>1508</v>
      </c>
      <c r="V1215" s="2" t="s">
        <v>645</v>
      </c>
      <c r="W1215" s="2" t="s">
        <v>976</v>
      </c>
      <c r="X1215" s="2" t="s">
        <v>104</v>
      </c>
      <c r="Y1215" s="2" t="s">
        <v>3939</v>
      </c>
      <c r="Z1215" s="4">
        <v>795</v>
      </c>
      <c r="AA1215" s="4">
        <f>=ROUNDDOWN(31.8,0)</f>
      </c>
      <c r="AB1215" s="5">
        <v>25</v>
      </c>
      <c r="AC1215" s="2" t="s">
        <v>406</v>
      </c>
      <c r="AD1215" s="4">
        <v>300</v>
      </c>
      <c r="AE1215" s="4">
        <v>300</v>
      </c>
      <c r="AF1215" s="6">
        <v>65</v>
      </c>
      <c r="AG1215" s="6">
        <v>48</v>
      </c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>
        <v>4</v>
      </c>
      <c r="AQ1215" s="8">
        <v>131.2</v>
      </c>
      <c r="AR1215" s="4"/>
      <c r="AS1215" s="8"/>
      <c r="AT1215" s="7"/>
      <c r="AU1215" s="7"/>
      <c r="AV1215" s="4">
        <v>11</v>
      </c>
      <c r="AW1215" s="8">
        <v>399.09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>
        <v>0.3287</v>
      </c>
      <c r="BC1215" s="4">
        <v>29</v>
      </c>
      <c r="BD1215" s="8">
        <v>1061.01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>
        <v>0.3761</v>
      </c>
      <c r="BJ1215" s="4">
        <v>19</v>
      </c>
      <c r="BK1215" s="8">
        <v>645.5</v>
      </c>
      <c r="BL1215" s="2" t="s">
        <v>2710</v>
      </c>
      <c r="BM1215" s="7">
        <v>0.2105</v>
      </c>
      <c r="BN1215" s="7">
        <v>0.2033</v>
      </c>
      <c r="BO1215" s="4">
        <v>4</v>
      </c>
      <c r="BP1215" s="8">
        <v>131.2</v>
      </c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3940</v>
      </c>
      <c r="BX1215" s="2" t="s">
        <v>3941</v>
      </c>
      <c r="BY1215" s="2" t="s">
        <v>112</v>
      </c>
      <c r="BZ1215" s="2" t="s">
        <v>100</v>
      </c>
    </row>
    <row r="1216">
      <c r="A1216" s="2" t="s">
        <v>3942</v>
      </c>
      <c r="B1216" s="2" t="s">
        <v>87</v>
      </c>
      <c r="C1216" s="2" t="s">
        <v>3934</v>
      </c>
      <c r="D1216" s="2" t="s">
        <v>2230</v>
      </c>
      <c r="E1216" s="2" t="s">
        <v>2231</v>
      </c>
      <c r="F1216" s="2" t="s">
        <v>3935</v>
      </c>
      <c r="G1216" s="2" t="s">
        <v>3936</v>
      </c>
      <c r="H1216" s="2" t="s">
        <v>3937</v>
      </c>
      <c r="I1216" s="2" t="s">
        <v>2314</v>
      </c>
      <c r="J1216" s="2" t="s">
        <v>795</v>
      </c>
      <c r="K1216" s="2" t="s">
        <v>2257</v>
      </c>
      <c r="L1216" s="3">
        <v>37.8</v>
      </c>
      <c r="M1216" s="3">
        <v>39.69</v>
      </c>
      <c r="N1216" s="3">
        <v>89.99</v>
      </c>
      <c r="O1216" s="2" t="s">
        <v>97</v>
      </c>
      <c r="P1216" s="2" t="s">
        <v>242</v>
      </c>
      <c r="Q1216" s="2" t="s">
        <v>99</v>
      </c>
      <c r="R1216" s="2" t="s">
        <v>100</v>
      </c>
      <c r="S1216" s="2" t="s">
        <v>3938</v>
      </c>
      <c r="T1216" s="2" t="s">
        <v>787</v>
      </c>
      <c r="U1216" s="2" t="s">
        <v>1508</v>
      </c>
      <c r="V1216" s="2" t="s">
        <v>645</v>
      </c>
      <c r="W1216" s="2" t="s">
        <v>976</v>
      </c>
      <c r="X1216" s="2" t="s">
        <v>104</v>
      </c>
      <c r="Y1216" s="2" t="s">
        <v>3939</v>
      </c>
      <c r="Z1216" s="4">
        <v>1169</v>
      </c>
      <c r="AA1216" s="4">
        <f>=ROUNDDOWN(26.5681818181818,0)</f>
      </c>
      <c r="AB1216" s="5">
        <v>44</v>
      </c>
      <c r="AC1216" s="2" t="s">
        <v>648</v>
      </c>
      <c r="AD1216" s="4">
        <v>100</v>
      </c>
      <c r="AE1216" s="4">
        <v>300</v>
      </c>
      <c r="AF1216" s="6">
        <v>65</v>
      </c>
      <c r="AG1216" s="6">
        <v>48</v>
      </c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>
        <v>7</v>
      </c>
      <c r="AQ1216" s="8">
        <v>267.89</v>
      </c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>
        <v>0.6713</v>
      </c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47</v>
      </c>
      <c r="BK1216" s="8">
        <v>1836.63</v>
      </c>
      <c r="BL1216" s="2" t="s">
        <v>3943</v>
      </c>
      <c r="BM1216" s="7">
        <v>0.1489</v>
      </c>
      <c r="BN1216" s="7">
        <v>0.1459</v>
      </c>
      <c r="BO1216" s="4">
        <v>7</v>
      </c>
      <c r="BP1216" s="8">
        <v>267.89</v>
      </c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3940</v>
      </c>
      <c r="BX1216" s="2" t="s">
        <v>3944</v>
      </c>
      <c r="BY1216" s="2" t="s">
        <v>112</v>
      </c>
      <c r="BZ1216" s="2" t="s">
        <v>100</v>
      </c>
    </row>
    <row r="1217">
      <c r="A1217" s="2" t="s">
        <v>3945</v>
      </c>
      <c r="B1217" s="2" t="s">
        <v>87</v>
      </c>
      <c r="C1217" s="2" t="s">
        <v>3934</v>
      </c>
      <c r="D1217" s="2" t="s">
        <v>2230</v>
      </c>
      <c r="E1217" s="2" t="s">
        <v>2231</v>
      </c>
      <c r="F1217" s="2" t="s">
        <v>3935</v>
      </c>
      <c r="G1217" s="2" t="s">
        <v>3936</v>
      </c>
      <c r="H1217" s="2" t="s">
        <v>3937</v>
      </c>
      <c r="I1217" s="2" t="s">
        <v>2314</v>
      </c>
      <c r="J1217" s="2" t="s">
        <v>785</v>
      </c>
      <c r="K1217" s="2" t="s">
        <v>227</v>
      </c>
      <c r="L1217" s="3">
        <v>32</v>
      </c>
      <c r="M1217" s="3">
        <v>33.6</v>
      </c>
      <c r="N1217" s="3">
        <v>79.99</v>
      </c>
      <c r="O1217" s="2" t="s">
        <v>97</v>
      </c>
      <c r="P1217" s="2" t="s">
        <v>242</v>
      </c>
      <c r="Q1217" s="2" t="s">
        <v>99</v>
      </c>
      <c r="R1217" s="2" t="s">
        <v>100</v>
      </c>
      <c r="S1217" s="2" t="s">
        <v>3946</v>
      </c>
      <c r="T1217" s="2" t="s">
        <v>787</v>
      </c>
      <c r="U1217" s="2" t="s">
        <v>1508</v>
      </c>
      <c r="V1217" s="2" t="s">
        <v>645</v>
      </c>
      <c r="W1217" s="2" t="s">
        <v>976</v>
      </c>
      <c r="X1217" s="2" t="s">
        <v>104</v>
      </c>
      <c r="Y1217" s="2" t="s">
        <v>3939</v>
      </c>
      <c r="Z1217" s="4">
        <v>943</v>
      </c>
      <c r="AA1217" s="4">
        <f>=ROUNDDOWN(34.9259259259259,0)</f>
      </c>
      <c r="AB1217" s="5">
        <v>27</v>
      </c>
      <c r="AC1217" s="2" t="s">
        <v>2598</v>
      </c>
      <c r="AD1217" s="4">
        <v>100</v>
      </c>
      <c r="AE1217" s="4">
        <v>300</v>
      </c>
      <c r="AF1217" s="6">
        <v>65</v>
      </c>
      <c r="AG1217" s="6">
        <v>48</v>
      </c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>
        <v>4</v>
      </c>
      <c r="AQ1217" s="8">
        <v>131.2</v>
      </c>
      <c r="AR1217" s="4"/>
      <c r="AS1217" s="8"/>
      <c r="AT1217" s="7"/>
      <c r="AU1217" s="7"/>
      <c r="AV1217" s="4">
        <v>10</v>
      </c>
      <c r="AW1217" s="8">
        <v>360.82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0.3636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>
        <v>0.3401</v>
      </c>
      <c r="BJ1217" s="4">
        <v>22</v>
      </c>
      <c r="BK1217" s="8">
        <v>747.62</v>
      </c>
      <c r="BL1217" s="2" t="s">
        <v>3947</v>
      </c>
      <c r="BM1217" s="7">
        <v>0.1818</v>
      </c>
      <c r="BN1217" s="7">
        <v>0.1755</v>
      </c>
      <c r="BO1217" s="4">
        <v>4</v>
      </c>
      <c r="BP1217" s="8">
        <v>131.2</v>
      </c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3940</v>
      </c>
      <c r="BX1217" s="2" t="s">
        <v>1910</v>
      </c>
      <c r="BY1217" s="2" t="s">
        <v>112</v>
      </c>
      <c r="BZ1217" s="2" t="s">
        <v>100</v>
      </c>
    </row>
    <row r="1218">
      <c r="A1218" s="2" t="s">
        <v>3948</v>
      </c>
      <c r="B1218" s="2" t="s">
        <v>87</v>
      </c>
      <c r="C1218" s="2" t="s">
        <v>3934</v>
      </c>
      <c r="D1218" s="2" t="s">
        <v>2230</v>
      </c>
      <c r="E1218" s="2" t="s">
        <v>2231</v>
      </c>
      <c r="F1218" s="2" t="s">
        <v>3935</v>
      </c>
      <c r="G1218" s="2" t="s">
        <v>3936</v>
      </c>
      <c r="H1218" s="2" t="s">
        <v>3937</v>
      </c>
      <c r="I1218" s="2" t="s">
        <v>2314</v>
      </c>
      <c r="J1218" s="2" t="s">
        <v>795</v>
      </c>
      <c r="K1218" s="2" t="s">
        <v>227</v>
      </c>
      <c r="L1218" s="3">
        <v>37.8</v>
      </c>
      <c r="M1218" s="3">
        <v>39.69</v>
      </c>
      <c r="N1218" s="3">
        <v>89.99</v>
      </c>
      <c r="O1218" s="2" t="s">
        <v>97</v>
      </c>
      <c r="P1218" s="2" t="s">
        <v>242</v>
      </c>
      <c r="Q1218" s="2" t="s">
        <v>99</v>
      </c>
      <c r="R1218" s="2" t="s">
        <v>100</v>
      </c>
      <c r="S1218" s="2" t="s">
        <v>3946</v>
      </c>
      <c r="T1218" s="2" t="s">
        <v>787</v>
      </c>
      <c r="U1218" s="2" t="s">
        <v>1508</v>
      </c>
      <c r="V1218" s="2" t="s">
        <v>645</v>
      </c>
      <c r="W1218" s="2" t="s">
        <v>976</v>
      </c>
      <c r="X1218" s="2" t="s">
        <v>104</v>
      </c>
      <c r="Y1218" s="2" t="s">
        <v>3939</v>
      </c>
      <c r="Z1218" s="4">
        <v>1089</v>
      </c>
      <c r="AA1218" s="4">
        <f>=ROUNDDOWN(32.0294117647059,0)</f>
      </c>
      <c r="AB1218" s="5">
        <v>34</v>
      </c>
      <c r="AC1218" s="2" t="s">
        <v>2598</v>
      </c>
      <c r="AD1218" s="4">
        <v>100</v>
      </c>
      <c r="AE1218" s="4">
        <v>300</v>
      </c>
      <c r="AF1218" s="6">
        <v>65</v>
      </c>
      <c r="AG1218" s="6">
        <v>48</v>
      </c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>
        <v>6</v>
      </c>
      <c r="AQ1218" s="8">
        <v>229.62</v>
      </c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>
        <v>0.6364</v>
      </c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49</v>
      </c>
      <c r="BK1218" s="8">
        <v>2006.73</v>
      </c>
      <c r="BL1218" s="2" t="s">
        <v>3949</v>
      </c>
      <c r="BM1218" s="7">
        <v>0.1224</v>
      </c>
      <c r="BN1218" s="7">
        <v>0.1144</v>
      </c>
      <c r="BO1218" s="4">
        <v>6</v>
      </c>
      <c r="BP1218" s="8">
        <v>229.62</v>
      </c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3940</v>
      </c>
      <c r="BX1218" s="2" t="s">
        <v>3950</v>
      </c>
      <c r="BY1218" s="2" t="s">
        <v>112</v>
      </c>
      <c r="BZ1218" s="2" t="s">
        <v>100</v>
      </c>
    </row>
    <row r="1219">
      <c r="A1219" s="2" t="s">
        <v>3951</v>
      </c>
      <c r="B1219" s="2" t="s">
        <v>87</v>
      </c>
      <c r="C1219" s="2" t="s">
        <v>3934</v>
      </c>
      <c r="D1219" s="2" t="s">
        <v>2230</v>
      </c>
      <c r="E1219" s="2" t="s">
        <v>2231</v>
      </c>
      <c r="F1219" s="2" t="s">
        <v>3935</v>
      </c>
      <c r="G1219" s="2" t="s">
        <v>3936</v>
      </c>
      <c r="H1219" s="2" t="s">
        <v>3937</v>
      </c>
      <c r="I1219" s="2" t="s">
        <v>2314</v>
      </c>
      <c r="J1219" s="2" t="s">
        <v>785</v>
      </c>
      <c r="K1219" s="2" t="s">
        <v>1746</v>
      </c>
      <c r="L1219" s="3">
        <v>32</v>
      </c>
      <c r="M1219" s="3">
        <v>33.6</v>
      </c>
      <c r="N1219" s="3">
        <v>79.99</v>
      </c>
      <c r="O1219" s="2" t="s">
        <v>97</v>
      </c>
      <c r="P1219" s="2" t="s">
        <v>242</v>
      </c>
      <c r="Q1219" s="2" t="s">
        <v>99</v>
      </c>
      <c r="R1219" s="2" t="s">
        <v>100</v>
      </c>
      <c r="S1219" s="2" t="s">
        <v>3952</v>
      </c>
      <c r="T1219" s="2" t="s">
        <v>787</v>
      </c>
      <c r="U1219" s="2" t="s">
        <v>1508</v>
      </c>
      <c r="V1219" s="2" t="s">
        <v>645</v>
      </c>
      <c r="W1219" s="2" t="s">
        <v>976</v>
      </c>
      <c r="X1219" s="2" t="s">
        <v>104</v>
      </c>
      <c r="Y1219" s="2" t="s">
        <v>3939</v>
      </c>
      <c r="Z1219" s="4">
        <v>647</v>
      </c>
      <c r="AA1219" s="4">
        <f>=ROUNDDOWN(30.8095238095238,0)</f>
      </c>
      <c r="AB1219" s="5">
        <v>21</v>
      </c>
      <c r="AC1219" s="2" t="s">
        <v>648</v>
      </c>
      <c r="AD1219" s="4">
        <v>30</v>
      </c>
      <c r="AE1219" s="4">
        <v>300</v>
      </c>
      <c r="AF1219" s="6">
        <v>65</v>
      </c>
      <c r="AG1219" s="6">
        <v>48</v>
      </c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>
        <v>1</v>
      </c>
      <c r="AQ1219" s="8">
        <v>32.8</v>
      </c>
      <c r="AR1219" s="4"/>
      <c r="AS1219" s="8"/>
      <c r="AT1219" s="7"/>
      <c r="AU1219" s="7"/>
      <c r="AV1219" s="4">
        <v>6</v>
      </c>
      <c r="AW1219" s="8">
        <v>224.15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>
        <v>0.1463</v>
      </c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>
        <v>0.2113</v>
      </c>
      <c r="BJ1219" s="4">
        <v>25</v>
      </c>
      <c r="BK1219" s="8">
        <v>848.46</v>
      </c>
      <c r="BL1219" s="2" t="s">
        <v>3953</v>
      </c>
      <c r="BM1219" s="7">
        <v>0.04</v>
      </c>
      <c r="BN1219" s="7">
        <v>0.0387</v>
      </c>
      <c r="BO1219" s="4">
        <v>1</v>
      </c>
      <c r="BP1219" s="8">
        <v>32.8</v>
      </c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3940</v>
      </c>
      <c r="BX1219" s="2" t="s">
        <v>1910</v>
      </c>
      <c r="BY1219" s="2" t="s">
        <v>112</v>
      </c>
      <c r="BZ1219" s="2" t="s">
        <v>100</v>
      </c>
    </row>
    <row r="1220">
      <c r="A1220" s="2" t="s">
        <v>3954</v>
      </c>
      <c r="B1220" s="2" t="s">
        <v>87</v>
      </c>
      <c r="C1220" s="2" t="s">
        <v>3934</v>
      </c>
      <c r="D1220" s="2" t="s">
        <v>2230</v>
      </c>
      <c r="E1220" s="2" t="s">
        <v>2231</v>
      </c>
      <c r="F1220" s="2" t="s">
        <v>3935</v>
      </c>
      <c r="G1220" s="2" t="s">
        <v>3936</v>
      </c>
      <c r="H1220" s="2" t="s">
        <v>3937</v>
      </c>
      <c r="I1220" s="2" t="s">
        <v>2314</v>
      </c>
      <c r="J1220" s="2" t="s">
        <v>795</v>
      </c>
      <c r="K1220" s="2" t="s">
        <v>1746</v>
      </c>
      <c r="L1220" s="3">
        <v>37.8</v>
      </c>
      <c r="M1220" s="3">
        <v>39.69</v>
      </c>
      <c r="N1220" s="3">
        <v>89.99</v>
      </c>
      <c r="O1220" s="2" t="s">
        <v>97</v>
      </c>
      <c r="P1220" s="2" t="s">
        <v>242</v>
      </c>
      <c r="Q1220" s="2" t="s">
        <v>99</v>
      </c>
      <c r="R1220" s="2" t="s">
        <v>100</v>
      </c>
      <c r="S1220" s="2" t="s">
        <v>3952</v>
      </c>
      <c r="T1220" s="2" t="s">
        <v>787</v>
      </c>
      <c r="U1220" s="2" t="s">
        <v>1508</v>
      </c>
      <c r="V1220" s="2" t="s">
        <v>645</v>
      </c>
      <c r="W1220" s="2" t="s">
        <v>976</v>
      </c>
      <c r="X1220" s="2" t="s">
        <v>104</v>
      </c>
      <c r="Y1220" s="2" t="s">
        <v>3939</v>
      </c>
      <c r="Z1220" s="4">
        <v>871</v>
      </c>
      <c r="AA1220" s="4">
        <f>=ROUNDDOWN(23.5405405405405,0)</f>
      </c>
      <c r="AB1220" s="5">
        <v>37</v>
      </c>
      <c r="AC1220" s="2" t="s">
        <v>648</v>
      </c>
      <c r="AD1220" s="4">
        <v>100</v>
      </c>
      <c r="AE1220" s="4">
        <v>500</v>
      </c>
      <c r="AF1220" s="6">
        <v>65</v>
      </c>
      <c r="AG1220" s="6">
        <v>48</v>
      </c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>
        <v>5</v>
      </c>
      <c r="AQ1220" s="8">
        <v>191.35</v>
      </c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>
        <v>0.8537</v>
      </c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 t="s">
        <v>100</v>
      </c>
      <c r="BJ1220" s="4">
        <v>32</v>
      </c>
      <c r="BK1220" s="8">
        <v>1281.77</v>
      </c>
      <c r="BL1220" s="2" t="s">
        <v>3955</v>
      </c>
      <c r="BM1220" s="7">
        <v>0.1562</v>
      </c>
      <c r="BN1220" s="7">
        <v>0.1493</v>
      </c>
      <c r="BO1220" s="4">
        <v>5</v>
      </c>
      <c r="BP1220" s="8">
        <v>191.35</v>
      </c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3940</v>
      </c>
      <c r="BX1220" s="2" t="s">
        <v>3950</v>
      </c>
      <c r="BY1220" s="2" t="s">
        <v>112</v>
      </c>
      <c r="BZ1220" s="2" t="s">
        <v>100</v>
      </c>
    </row>
    <row r="1221">
      <c r="A1221" s="2" t="s">
        <v>3956</v>
      </c>
      <c r="B1221" s="2" t="s">
        <v>87</v>
      </c>
      <c r="C1221" s="2" t="s">
        <v>3934</v>
      </c>
      <c r="D1221" s="2" t="s">
        <v>2230</v>
      </c>
      <c r="E1221" s="2" t="s">
        <v>2231</v>
      </c>
      <c r="F1221" s="2" t="s">
        <v>3935</v>
      </c>
      <c r="G1221" s="2" t="s">
        <v>3936</v>
      </c>
      <c r="H1221" s="2" t="s">
        <v>3937</v>
      </c>
      <c r="I1221" s="2" t="s">
        <v>2314</v>
      </c>
      <c r="J1221" s="2" t="s">
        <v>785</v>
      </c>
      <c r="K1221" s="2" t="s">
        <v>213</v>
      </c>
      <c r="L1221" s="3">
        <v>32</v>
      </c>
      <c r="M1221" s="3">
        <v>33.6</v>
      </c>
      <c r="N1221" s="3">
        <v>79.99</v>
      </c>
      <c r="O1221" s="2" t="s">
        <v>97</v>
      </c>
      <c r="P1221" s="2" t="s">
        <v>98</v>
      </c>
      <c r="Q1221" s="2" t="s">
        <v>99</v>
      </c>
      <c r="R1221" s="2" t="s">
        <v>100</v>
      </c>
      <c r="S1221" s="2" t="s">
        <v>3957</v>
      </c>
      <c r="T1221" s="2" t="s">
        <v>787</v>
      </c>
      <c r="U1221" s="2" t="s">
        <v>1508</v>
      </c>
      <c r="V1221" s="2" t="s">
        <v>645</v>
      </c>
      <c r="W1221" s="2" t="s">
        <v>976</v>
      </c>
      <c r="X1221" s="2" t="s">
        <v>104</v>
      </c>
      <c r="Y1221" s="2" t="s">
        <v>3958</v>
      </c>
      <c r="Z1221" s="4">
        <v>356</v>
      </c>
      <c r="AA1221" s="4">
        <f>=ROUNDDOWN(32.3636363636364,0)</f>
      </c>
      <c r="AB1221" s="5">
        <v>11</v>
      </c>
      <c r="AC1221" s="2" t="s">
        <v>100</v>
      </c>
      <c r="AD1221" s="4"/>
      <c r="AE1221" s="4"/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>
        <v>1</v>
      </c>
      <c r="AQ1221" s="8">
        <v>35.28</v>
      </c>
      <c r="AR1221" s="4"/>
      <c r="AS1221" s="8"/>
      <c r="AT1221" s="7"/>
      <c r="AU1221" s="7"/>
      <c r="AV1221" s="4">
        <v>2</v>
      </c>
      <c r="AW1221" s="8">
        <v>76.95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0.4585</v>
      </c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>
        <v>0.0725</v>
      </c>
      <c r="BJ1221" s="4">
        <v>5</v>
      </c>
      <c r="BK1221" s="8">
        <v>176.88</v>
      </c>
      <c r="BL1221" s="2" t="s">
        <v>3959</v>
      </c>
      <c r="BM1221" s="7">
        <v>0.2</v>
      </c>
      <c r="BN1221" s="7">
        <v>0.1995</v>
      </c>
      <c r="BO1221" s="4">
        <v>1</v>
      </c>
      <c r="BP1221" s="8">
        <v>35.28</v>
      </c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3960</v>
      </c>
      <c r="BX1221" s="2" t="s">
        <v>2009</v>
      </c>
      <c r="BY1221" s="2" t="s">
        <v>112</v>
      </c>
      <c r="BZ1221" s="2" t="s">
        <v>100</v>
      </c>
    </row>
    <row r="1222">
      <c r="A1222" s="2" t="s">
        <v>3961</v>
      </c>
      <c r="B1222" s="2" t="s">
        <v>87</v>
      </c>
      <c r="C1222" s="2" t="s">
        <v>3934</v>
      </c>
      <c r="D1222" s="2" t="s">
        <v>2230</v>
      </c>
      <c r="E1222" s="2" t="s">
        <v>2231</v>
      </c>
      <c r="F1222" s="2" t="s">
        <v>3935</v>
      </c>
      <c r="G1222" s="2" t="s">
        <v>3936</v>
      </c>
      <c r="H1222" s="2" t="s">
        <v>3937</v>
      </c>
      <c r="I1222" s="2" t="s">
        <v>2314</v>
      </c>
      <c r="J1222" s="2" t="s">
        <v>795</v>
      </c>
      <c r="K1222" s="2" t="s">
        <v>213</v>
      </c>
      <c r="L1222" s="3">
        <v>37.8</v>
      </c>
      <c r="M1222" s="3">
        <v>39.69</v>
      </c>
      <c r="N1222" s="3">
        <v>89.99</v>
      </c>
      <c r="O1222" s="2" t="s">
        <v>97</v>
      </c>
      <c r="P1222" s="2" t="s">
        <v>98</v>
      </c>
      <c r="Q1222" s="2" t="s">
        <v>99</v>
      </c>
      <c r="R1222" s="2" t="s">
        <v>100</v>
      </c>
      <c r="S1222" s="2" t="s">
        <v>3957</v>
      </c>
      <c r="T1222" s="2" t="s">
        <v>787</v>
      </c>
      <c r="U1222" s="2" t="s">
        <v>1508</v>
      </c>
      <c r="V1222" s="2" t="s">
        <v>645</v>
      </c>
      <c r="W1222" s="2" t="s">
        <v>976</v>
      </c>
      <c r="X1222" s="2" t="s">
        <v>104</v>
      </c>
      <c r="Y1222" s="2" t="s">
        <v>3958</v>
      </c>
      <c r="Z1222" s="4">
        <v>637</v>
      </c>
      <c r="AA1222" s="4">
        <f>=ROUNDDOWN(35.3888888888889,0)</f>
      </c>
      <c r="AB1222" s="5">
        <v>18</v>
      </c>
      <c r="AC1222" s="2" t="s">
        <v>100</v>
      </c>
      <c r="AD1222" s="4"/>
      <c r="AE1222" s="4"/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>
        <v>1</v>
      </c>
      <c r="AQ1222" s="8">
        <v>41.67</v>
      </c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0.5415</v>
      </c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 t="s">
        <v>100</v>
      </c>
      <c r="BJ1222" s="4">
        <v>6</v>
      </c>
      <c r="BK1222" s="8">
        <v>259.02</v>
      </c>
      <c r="BL1222" s="2" t="s">
        <v>3962</v>
      </c>
      <c r="BM1222" s="7">
        <v>0.1667</v>
      </c>
      <c r="BN1222" s="7">
        <v>0.1609</v>
      </c>
      <c r="BO1222" s="4">
        <v>1</v>
      </c>
      <c r="BP1222" s="8">
        <v>41.67</v>
      </c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3960</v>
      </c>
      <c r="BX1222" s="2" t="s">
        <v>2009</v>
      </c>
      <c r="BY1222" s="2" t="s">
        <v>112</v>
      </c>
      <c r="BZ1222" s="2" t="s">
        <v>100</v>
      </c>
    </row>
    <row r="1223">
      <c r="A1223" s="2" t="s">
        <v>3963</v>
      </c>
      <c r="B1223" s="2" t="s">
        <v>87</v>
      </c>
      <c r="C1223" s="2" t="s">
        <v>3934</v>
      </c>
      <c r="D1223" s="2" t="s">
        <v>2230</v>
      </c>
      <c r="E1223" s="2" t="s">
        <v>2231</v>
      </c>
      <c r="F1223" s="2" t="s">
        <v>3935</v>
      </c>
      <c r="G1223" s="2" t="s">
        <v>3936</v>
      </c>
      <c r="H1223" s="2" t="s">
        <v>3937</v>
      </c>
      <c r="I1223" s="2" t="s">
        <v>2314</v>
      </c>
      <c r="J1223" s="2" t="s">
        <v>785</v>
      </c>
      <c r="K1223" s="2" t="s">
        <v>163</v>
      </c>
      <c r="L1223" s="3">
        <v>32</v>
      </c>
      <c r="M1223" s="3">
        <v>33.6</v>
      </c>
      <c r="N1223" s="3">
        <v>79.99</v>
      </c>
      <c r="O1223" s="2" t="s">
        <v>97</v>
      </c>
      <c r="P1223" s="2" t="s">
        <v>98</v>
      </c>
      <c r="Q1223" s="2" t="s">
        <v>99</v>
      </c>
      <c r="R1223" s="2" t="s">
        <v>100</v>
      </c>
      <c r="S1223" s="2" t="s">
        <v>3964</v>
      </c>
      <c r="T1223" s="2" t="s">
        <v>787</v>
      </c>
      <c r="U1223" s="2" t="s">
        <v>1508</v>
      </c>
      <c r="V1223" s="2" t="s">
        <v>645</v>
      </c>
      <c r="W1223" s="2" t="s">
        <v>976</v>
      </c>
      <c r="X1223" s="2" t="s">
        <v>104</v>
      </c>
      <c r="Y1223" s="2" t="s">
        <v>3958</v>
      </c>
      <c r="Z1223" s="4">
        <v>270</v>
      </c>
      <c r="AA1223" s="4">
        <f>=ROUNDDOWN(14.2105263157895,0)</f>
      </c>
      <c r="AB1223" s="5">
        <v>19</v>
      </c>
      <c r="AC1223" s="2" t="s">
        <v>583</v>
      </c>
      <c r="AD1223" s="4">
        <v>230</v>
      </c>
      <c r="AE1223" s="4">
        <v>455</v>
      </c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/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12</v>
      </c>
      <c r="BK1223" s="8">
        <v>424.89</v>
      </c>
      <c r="BL1223" s="2" t="s">
        <v>3965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3960</v>
      </c>
      <c r="BX1223" s="2" t="s">
        <v>100</v>
      </c>
      <c r="BY1223" s="2" t="s">
        <v>112</v>
      </c>
      <c r="BZ1223" s="2" t="s">
        <v>100</v>
      </c>
    </row>
    <row r="1224">
      <c r="A1224" s="2" t="s">
        <v>3966</v>
      </c>
      <c r="B1224" s="2" t="s">
        <v>87</v>
      </c>
      <c r="C1224" s="2" t="s">
        <v>3934</v>
      </c>
      <c r="D1224" s="2" t="s">
        <v>2230</v>
      </c>
      <c r="E1224" s="2" t="s">
        <v>2231</v>
      </c>
      <c r="F1224" s="2" t="s">
        <v>3935</v>
      </c>
      <c r="G1224" s="2" t="s">
        <v>3936</v>
      </c>
      <c r="H1224" s="2" t="s">
        <v>3937</v>
      </c>
      <c r="I1224" s="2" t="s">
        <v>2314</v>
      </c>
      <c r="J1224" s="2" t="s">
        <v>795</v>
      </c>
      <c r="K1224" s="2" t="s">
        <v>163</v>
      </c>
      <c r="L1224" s="3">
        <v>37.8</v>
      </c>
      <c r="M1224" s="3">
        <v>39.69</v>
      </c>
      <c r="N1224" s="3">
        <v>89.99</v>
      </c>
      <c r="O1224" s="2" t="s">
        <v>97</v>
      </c>
      <c r="P1224" s="2" t="s">
        <v>98</v>
      </c>
      <c r="Q1224" s="2" t="s">
        <v>99</v>
      </c>
      <c r="R1224" s="2" t="s">
        <v>100</v>
      </c>
      <c r="S1224" s="2" t="s">
        <v>3964</v>
      </c>
      <c r="T1224" s="2" t="s">
        <v>787</v>
      </c>
      <c r="U1224" s="2" t="s">
        <v>1508</v>
      </c>
      <c r="V1224" s="2" t="s">
        <v>645</v>
      </c>
      <c r="W1224" s="2" t="s">
        <v>976</v>
      </c>
      <c r="X1224" s="2" t="s">
        <v>104</v>
      </c>
      <c r="Y1224" s="2" t="s">
        <v>3958</v>
      </c>
      <c r="Z1224" s="4">
        <v>336</v>
      </c>
      <c r="AA1224" s="4">
        <f>=ROUNDDOWN(12.4444444444444,0)</f>
      </c>
      <c r="AB1224" s="5">
        <v>27</v>
      </c>
      <c r="AC1224" s="2" t="s">
        <v>583</v>
      </c>
      <c r="AD1224" s="4">
        <v>370</v>
      </c>
      <c r="AE1224" s="4">
        <v>720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/>
      <c r="AQ1224" s="8"/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/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 t="s">
        <v>100</v>
      </c>
      <c r="BJ1224" s="4">
        <v>20</v>
      </c>
      <c r="BK1224" s="8">
        <v>815.05</v>
      </c>
      <c r="BL1224" s="2" t="s">
        <v>3967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3960</v>
      </c>
      <c r="BX1224" s="2" t="s">
        <v>100</v>
      </c>
      <c r="BY1224" s="2" t="s">
        <v>112</v>
      </c>
      <c r="BZ1224" s="2" t="s">
        <v>100</v>
      </c>
    </row>
    <row r="1225">
      <c r="A1225" s="2" t="s">
        <v>3968</v>
      </c>
      <c r="B1225" s="2" t="s">
        <v>87</v>
      </c>
      <c r="C1225" s="2" t="s">
        <v>3934</v>
      </c>
      <c r="D1225" s="2" t="s">
        <v>2230</v>
      </c>
      <c r="E1225" s="2" t="s">
        <v>2393</v>
      </c>
      <c r="F1225" s="2" t="s">
        <v>3969</v>
      </c>
      <c r="G1225" s="2" t="s">
        <v>3970</v>
      </c>
      <c r="H1225" s="2" t="s">
        <v>3971</v>
      </c>
      <c r="I1225" s="2" t="s">
        <v>2717</v>
      </c>
      <c r="J1225" s="2" t="s">
        <v>785</v>
      </c>
      <c r="K1225" s="2" t="s">
        <v>213</v>
      </c>
      <c r="L1225" s="3">
        <v>21.6</v>
      </c>
      <c r="M1225" s="3">
        <v>22.68</v>
      </c>
      <c r="N1225" s="3">
        <v>59.99</v>
      </c>
      <c r="O1225" s="2" t="s">
        <v>97</v>
      </c>
      <c r="P1225" s="2" t="s">
        <v>98</v>
      </c>
      <c r="Q1225" s="2" t="s">
        <v>99</v>
      </c>
      <c r="R1225" s="2" t="s">
        <v>100</v>
      </c>
      <c r="S1225" s="2" t="s">
        <v>3972</v>
      </c>
      <c r="T1225" s="2" t="s">
        <v>100</v>
      </c>
      <c r="U1225" s="2" t="s">
        <v>1508</v>
      </c>
      <c r="V1225" s="2" t="s">
        <v>645</v>
      </c>
      <c r="W1225" s="2" t="s">
        <v>976</v>
      </c>
      <c r="X1225" s="2" t="s">
        <v>2806</v>
      </c>
      <c r="Y1225" s="2" t="s">
        <v>3973</v>
      </c>
      <c r="Z1225" s="4">
        <v>460</v>
      </c>
      <c r="AA1225" s="4">
        <f>=ROUNDDOWN(28.75,0)</f>
      </c>
      <c r="AB1225" s="5">
        <v>16</v>
      </c>
      <c r="AC1225" s="2" t="s">
        <v>1595</v>
      </c>
      <c r="AD1225" s="4">
        <v>100</v>
      </c>
      <c r="AE1225" s="4">
        <v>100</v>
      </c>
      <c r="AF1225" s="6">
        <v>65</v>
      </c>
      <c r="AG1225" s="6">
        <v>48</v>
      </c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/>
      <c r="AQ1225" s="8"/>
      <c r="AR1225" s="4"/>
      <c r="AS1225" s="8"/>
      <c r="AT1225" s="7"/>
      <c r="AU1225" s="7"/>
      <c r="AV1225" s="4">
        <v>1</v>
      </c>
      <c r="AW1225" s="8">
        <v>28.18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/>
      <c r="BC1225" s="4">
        <v>3</v>
      </c>
      <c r="BD1225" s="8">
        <v>73.28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>
        <v>0.3846</v>
      </c>
      <c r="BJ1225" s="4">
        <v>19</v>
      </c>
      <c r="BK1225" s="8">
        <v>453.58</v>
      </c>
      <c r="BL1225" s="2" t="s">
        <v>3974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3940</v>
      </c>
      <c r="BX1225" s="2" t="s">
        <v>3975</v>
      </c>
      <c r="BY1225" s="2" t="s">
        <v>112</v>
      </c>
      <c r="BZ1225" s="2" t="s">
        <v>100</v>
      </c>
    </row>
    <row r="1226">
      <c r="A1226" s="2" t="s">
        <v>3976</v>
      </c>
      <c r="B1226" s="2" t="s">
        <v>87</v>
      </c>
      <c r="C1226" s="2" t="s">
        <v>3934</v>
      </c>
      <c r="D1226" s="2" t="s">
        <v>2230</v>
      </c>
      <c r="E1226" s="2" t="s">
        <v>2393</v>
      </c>
      <c r="F1226" s="2" t="s">
        <v>3969</v>
      </c>
      <c r="G1226" s="2" t="s">
        <v>3970</v>
      </c>
      <c r="H1226" s="2" t="s">
        <v>3971</v>
      </c>
      <c r="I1226" s="2" t="s">
        <v>2717</v>
      </c>
      <c r="J1226" s="2" t="s">
        <v>795</v>
      </c>
      <c r="K1226" s="2" t="s">
        <v>213</v>
      </c>
      <c r="L1226" s="3">
        <v>26.6</v>
      </c>
      <c r="M1226" s="3">
        <v>27.93</v>
      </c>
      <c r="N1226" s="3">
        <v>69.99</v>
      </c>
      <c r="O1226" s="2" t="s">
        <v>97</v>
      </c>
      <c r="P1226" s="2" t="s">
        <v>98</v>
      </c>
      <c r="Q1226" s="2" t="s">
        <v>99</v>
      </c>
      <c r="R1226" s="2" t="s">
        <v>100</v>
      </c>
      <c r="S1226" s="2" t="s">
        <v>3972</v>
      </c>
      <c r="T1226" s="2" t="s">
        <v>100</v>
      </c>
      <c r="U1226" s="2" t="s">
        <v>1508</v>
      </c>
      <c r="V1226" s="2" t="s">
        <v>645</v>
      </c>
      <c r="W1226" s="2" t="s">
        <v>976</v>
      </c>
      <c r="X1226" s="2" t="s">
        <v>2806</v>
      </c>
      <c r="Y1226" s="2" t="s">
        <v>3973</v>
      </c>
      <c r="Z1226" s="4">
        <v>298</v>
      </c>
      <c r="AA1226" s="4">
        <f>=ROUNDDOWN(21.2857142857143,0)</f>
      </c>
      <c r="AB1226" s="5">
        <v>14</v>
      </c>
      <c r="AC1226" s="2" t="s">
        <v>1595</v>
      </c>
      <c r="AD1226" s="4">
        <v>190</v>
      </c>
      <c r="AE1226" s="4">
        <v>190</v>
      </c>
      <c r="AF1226" s="6">
        <v>65</v>
      </c>
      <c r="AG1226" s="6">
        <v>48</v>
      </c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>
        <v>1</v>
      </c>
      <c r="AQ1226" s="8">
        <v>28.18</v>
      </c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>
        <v>1</v>
      </c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 t="s">
        <v>100</v>
      </c>
      <c r="BJ1226" s="4">
        <v>15</v>
      </c>
      <c r="BK1226" s="8">
        <v>430.17</v>
      </c>
      <c r="BL1226" s="2" t="s">
        <v>3977</v>
      </c>
      <c r="BM1226" s="7">
        <v>0.0667</v>
      </c>
      <c r="BN1226" s="7">
        <v>0.0655</v>
      </c>
      <c r="BO1226" s="4">
        <v>1</v>
      </c>
      <c r="BP1226" s="8">
        <v>28.18</v>
      </c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3940</v>
      </c>
      <c r="BX1226" s="2" t="s">
        <v>1910</v>
      </c>
      <c r="BY1226" s="2" t="s">
        <v>112</v>
      </c>
      <c r="BZ1226" s="2" t="s">
        <v>100</v>
      </c>
    </row>
    <row r="1227">
      <c r="A1227" s="2" t="s">
        <v>3978</v>
      </c>
      <c r="B1227" s="2" t="s">
        <v>87</v>
      </c>
      <c r="C1227" s="2" t="s">
        <v>3934</v>
      </c>
      <c r="D1227" s="2" t="s">
        <v>2230</v>
      </c>
      <c r="E1227" s="2" t="s">
        <v>2393</v>
      </c>
      <c r="F1227" s="2" t="s">
        <v>3969</v>
      </c>
      <c r="G1227" s="2" t="s">
        <v>3970</v>
      </c>
      <c r="H1227" s="2" t="s">
        <v>3971</v>
      </c>
      <c r="I1227" s="2" t="s">
        <v>2717</v>
      </c>
      <c r="J1227" s="2" t="s">
        <v>785</v>
      </c>
      <c r="K1227" s="2" t="s">
        <v>146</v>
      </c>
      <c r="L1227" s="3">
        <v>21.6</v>
      </c>
      <c r="M1227" s="3">
        <v>22.68</v>
      </c>
      <c r="N1227" s="3">
        <v>59.99</v>
      </c>
      <c r="O1227" s="2" t="s">
        <v>97</v>
      </c>
      <c r="P1227" s="2" t="s">
        <v>587</v>
      </c>
      <c r="Q1227" s="2" t="s">
        <v>99</v>
      </c>
      <c r="R1227" s="2" t="s">
        <v>100</v>
      </c>
      <c r="S1227" s="2" t="s">
        <v>3979</v>
      </c>
      <c r="T1227" s="2" t="s">
        <v>100</v>
      </c>
      <c r="U1227" s="2" t="s">
        <v>1508</v>
      </c>
      <c r="V1227" s="2" t="s">
        <v>645</v>
      </c>
      <c r="W1227" s="2" t="s">
        <v>976</v>
      </c>
      <c r="X1227" s="2" t="s">
        <v>2806</v>
      </c>
      <c r="Y1227" s="2" t="s">
        <v>3973</v>
      </c>
      <c r="Z1227" s="4">
        <v>361</v>
      </c>
      <c r="AA1227" s="4">
        <f>=ROUNDDOWN(36.1,0)</f>
      </c>
      <c r="AB1227" s="5">
        <v>10</v>
      </c>
      <c r="AC1227" s="2" t="s">
        <v>100</v>
      </c>
      <c r="AD1227" s="4"/>
      <c r="AE1227" s="4"/>
      <c r="AF1227" s="6">
        <v>65</v>
      </c>
      <c r="AG1227" s="6">
        <v>48</v>
      </c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>
        <v>1</v>
      </c>
      <c r="AQ1227" s="8">
        <v>22.55</v>
      </c>
      <c r="AR1227" s="4"/>
      <c r="AS1227" s="8"/>
      <c r="AT1227" s="7"/>
      <c r="AU1227" s="7"/>
      <c r="AV1227" s="4">
        <v>1</v>
      </c>
      <c r="AW1227" s="8">
        <v>22.55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>
        <v>1</v>
      </c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>
        <v>0.3077</v>
      </c>
      <c r="BJ1227" s="4">
        <v>7</v>
      </c>
      <c r="BK1227" s="8">
        <v>163.72</v>
      </c>
      <c r="BL1227" s="2" t="s">
        <v>3980</v>
      </c>
      <c r="BM1227" s="7">
        <v>0.1429</v>
      </c>
      <c r="BN1227" s="7">
        <v>0.1377</v>
      </c>
      <c r="BO1227" s="4">
        <v>1</v>
      </c>
      <c r="BP1227" s="8">
        <v>22.55</v>
      </c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3940</v>
      </c>
      <c r="BX1227" s="2" t="s">
        <v>3941</v>
      </c>
      <c r="BY1227" s="2" t="s">
        <v>112</v>
      </c>
      <c r="BZ1227" s="2" t="s">
        <v>100</v>
      </c>
    </row>
    <row r="1228">
      <c r="A1228" s="2" t="s">
        <v>3981</v>
      </c>
      <c r="B1228" s="2" t="s">
        <v>87</v>
      </c>
      <c r="C1228" s="2" t="s">
        <v>3934</v>
      </c>
      <c r="D1228" s="2" t="s">
        <v>2230</v>
      </c>
      <c r="E1228" s="2" t="s">
        <v>2393</v>
      </c>
      <c r="F1228" s="2" t="s">
        <v>3969</v>
      </c>
      <c r="G1228" s="2" t="s">
        <v>3970</v>
      </c>
      <c r="H1228" s="2" t="s">
        <v>3971</v>
      </c>
      <c r="I1228" s="2" t="s">
        <v>2717</v>
      </c>
      <c r="J1228" s="2" t="s">
        <v>795</v>
      </c>
      <c r="K1228" s="2" t="s">
        <v>146</v>
      </c>
      <c r="L1228" s="3">
        <v>26.6</v>
      </c>
      <c r="M1228" s="3">
        <v>27.93</v>
      </c>
      <c r="N1228" s="3">
        <v>69.99</v>
      </c>
      <c r="O1228" s="2" t="s">
        <v>97</v>
      </c>
      <c r="P1228" s="2" t="s">
        <v>587</v>
      </c>
      <c r="Q1228" s="2" t="s">
        <v>99</v>
      </c>
      <c r="R1228" s="2" t="s">
        <v>100</v>
      </c>
      <c r="S1228" s="2" t="s">
        <v>3979</v>
      </c>
      <c r="T1228" s="2" t="s">
        <v>100</v>
      </c>
      <c r="U1228" s="2" t="s">
        <v>1508</v>
      </c>
      <c r="V1228" s="2" t="s">
        <v>645</v>
      </c>
      <c r="W1228" s="2" t="s">
        <v>976</v>
      </c>
      <c r="X1228" s="2" t="s">
        <v>2806</v>
      </c>
      <c r="Y1228" s="2" t="s">
        <v>3973</v>
      </c>
      <c r="Z1228" s="4">
        <v>295</v>
      </c>
      <c r="AA1228" s="4">
        <f>=ROUNDDOWN(32.7777777777778,0)</f>
      </c>
      <c r="AB1228" s="5">
        <v>9</v>
      </c>
      <c r="AC1228" s="2" t="s">
        <v>100</v>
      </c>
      <c r="AD1228" s="4"/>
      <c r="AE1228" s="4"/>
      <c r="AF1228" s="6">
        <v>65</v>
      </c>
      <c r="AG1228" s="6">
        <v>48</v>
      </c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/>
      <c r="AQ1228" s="8"/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8</v>
      </c>
      <c r="BK1228" s="8">
        <v>229.13</v>
      </c>
      <c r="BL1228" s="2" t="s">
        <v>3982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3914</v>
      </c>
      <c r="BX1228" s="2" t="s">
        <v>3950</v>
      </c>
      <c r="BY1228" s="2" t="s">
        <v>112</v>
      </c>
      <c r="BZ1228" s="2" t="s">
        <v>100</v>
      </c>
    </row>
    <row r="1229">
      <c r="A1229" s="2" t="s">
        <v>3983</v>
      </c>
      <c r="B1229" s="2" t="s">
        <v>87</v>
      </c>
      <c r="C1229" s="2" t="s">
        <v>3934</v>
      </c>
      <c r="D1229" s="2" t="s">
        <v>2230</v>
      </c>
      <c r="E1229" s="2" t="s">
        <v>2393</v>
      </c>
      <c r="F1229" s="2" t="s">
        <v>3969</v>
      </c>
      <c r="G1229" s="2" t="s">
        <v>3970</v>
      </c>
      <c r="H1229" s="2" t="s">
        <v>3971</v>
      </c>
      <c r="I1229" s="2" t="s">
        <v>2717</v>
      </c>
      <c r="J1229" s="2" t="s">
        <v>785</v>
      </c>
      <c r="K1229" s="2" t="s">
        <v>1746</v>
      </c>
      <c r="L1229" s="3">
        <v>21.6</v>
      </c>
      <c r="M1229" s="3">
        <v>22.68</v>
      </c>
      <c r="N1229" s="3">
        <v>59.99</v>
      </c>
      <c r="O1229" s="2" t="s">
        <v>97</v>
      </c>
      <c r="P1229" s="2" t="s">
        <v>98</v>
      </c>
      <c r="Q1229" s="2" t="s">
        <v>99</v>
      </c>
      <c r="R1229" s="2" t="s">
        <v>100</v>
      </c>
      <c r="S1229" s="2" t="s">
        <v>3984</v>
      </c>
      <c r="T1229" s="2" t="s">
        <v>100</v>
      </c>
      <c r="U1229" s="2" t="s">
        <v>1508</v>
      </c>
      <c r="V1229" s="2" t="s">
        <v>645</v>
      </c>
      <c r="W1229" s="2" t="s">
        <v>976</v>
      </c>
      <c r="X1229" s="2" t="s">
        <v>2806</v>
      </c>
      <c r="Y1229" s="2" t="s">
        <v>3973</v>
      </c>
      <c r="Z1229" s="4">
        <v>431</v>
      </c>
      <c r="AA1229" s="4">
        <f>=ROUNDDOWN(33.1538461538462,0)</f>
      </c>
      <c r="AB1229" s="5">
        <v>13</v>
      </c>
      <c r="AC1229" s="2" t="s">
        <v>100</v>
      </c>
      <c r="AD1229" s="4"/>
      <c r="AE1229" s="4"/>
      <c r="AF1229" s="6">
        <v>65</v>
      </c>
      <c r="AG1229" s="6">
        <v>48</v>
      </c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>
        <v>1</v>
      </c>
      <c r="AQ1229" s="8">
        <v>22.55</v>
      </c>
      <c r="AR1229" s="4"/>
      <c r="AS1229" s="8"/>
      <c r="AT1229" s="7"/>
      <c r="AU1229" s="7"/>
      <c r="AV1229" s="4">
        <v>1</v>
      </c>
      <c r="AW1229" s="8">
        <v>22.55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>
        <v>1</v>
      </c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>
        <v>0.3077</v>
      </c>
      <c r="BJ1229" s="4">
        <v>17</v>
      </c>
      <c r="BK1229" s="8">
        <v>394.15</v>
      </c>
      <c r="BL1229" s="2" t="s">
        <v>3985</v>
      </c>
      <c r="BM1229" s="7">
        <v>0.0588</v>
      </c>
      <c r="BN1229" s="7">
        <v>0.0572</v>
      </c>
      <c r="BO1229" s="4">
        <v>1</v>
      </c>
      <c r="BP1229" s="8">
        <v>22.55</v>
      </c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3940</v>
      </c>
      <c r="BX1229" s="2" t="s">
        <v>3986</v>
      </c>
      <c r="BY1229" s="2" t="s">
        <v>112</v>
      </c>
      <c r="BZ1229" s="2" t="s">
        <v>100</v>
      </c>
    </row>
    <row r="1230">
      <c r="A1230" s="2" t="s">
        <v>3987</v>
      </c>
      <c r="B1230" s="2" t="s">
        <v>87</v>
      </c>
      <c r="C1230" s="2" t="s">
        <v>3934</v>
      </c>
      <c r="D1230" s="2" t="s">
        <v>2230</v>
      </c>
      <c r="E1230" s="2" t="s">
        <v>2393</v>
      </c>
      <c r="F1230" s="2" t="s">
        <v>3969</v>
      </c>
      <c r="G1230" s="2" t="s">
        <v>3970</v>
      </c>
      <c r="H1230" s="2" t="s">
        <v>3971</v>
      </c>
      <c r="I1230" s="2" t="s">
        <v>2717</v>
      </c>
      <c r="J1230" s="2" t="s">
        <v>795</v>
      </c>
      <c r="K1230" s="2" t="s">
        <v>1746</v>
      </c>
      <c r="L1230" s="3">
        <v>26.6</v>
      </c>
      <c r="M1230" s="3">
        <v>27.93</v>
      </c>
      <c r="N1230" s="3">
        <v>69.99</v>
      </c>
      <c r="O1230" s="2" t="s">
        <v>97</v>
      </c>
      <c r="P1230" s="2" t="s">
        <v>98</v>
      </c>
      <c r="Q1230" s="2" t="s">
        <v>99</v>
      </c>
      <c r="R1230" s="2" t="s">
        <v>100</v>
      </c>
      <c r="S1230" s="2" t="s">
        <v>3984</v>
      </c>
      <c r="T1230" s="2" t="s">
        <v>100</v>
      </c>
      <c r="U1230" s="2" t="s">
        <v>1508</v>
      </c>
      <c r="V1230" s="2" t="s">
        <v>645</v>
      </c>
      <c r="W1230" s="2" t="s">
        <v>976</v>
      </c>
      <c r="X1230" s="2" t="s">
        <v>2806</v>
      </c>
      <c r="Y1230" s="2" t="s">
        <v>3973</v>
      </c>
      <c r="Z1230" s="4">
        <v>175</v>
      </c>
      <c r="AA1230" s="4">
        <f>=ROUNDDOWN(17.5,0)</f>
      </c>
      <c r="AB1230" s="5">
        <v>10</v>
      </c>
      <c r="AC1230" s="2" t="s">
        <v>100</v>
      </c>
      <c r="AD1230" s="4"/>
      <c r="AE1230" s="4"/>
      <c r="AF1230" s="6">
        <v>65</v>
      </c>
      <c r="AG1230" s="6">
        <v>48</v>
      </c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/>
      <c r="AQ1230" s="8"/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/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 t="s">
        <v>100</v>
      </c>
      <c r="BJ1230" s="4">
        <v>7</v>
      </c>
      <c r="BK1230" s="8">
        <v>198.42</v>
      </c>
      <c r="BL1230" s="2" t="s">
        <v>1353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3940</v>
      </c>
      <c r="BX1230" s="2" t="s">
        <v>1910</v>
      </c>
      <c r="BY1230" s="2" t="s">
        <v>112</v>
      </c>
      <c r="BZ1230" s="2" t="s">
        <v>100</v>
      </c>
    </row>
    <row r="1231">
      <c r="A1231" s="2" t="s">
        <v>3988</v>
      </c>
      <c r="B1231" s="2" t="s">
        <v>87</v>
      </c>
      <c r="C1231" s="2" t="s">
        <v>3934</v>
      </c>
      <c r="D1231" s="2" t="s">
        <v>89</v>
      </c>
      <c r="E1231" s="2" t="s">
        <v>90</v>
      </c>
      <c r="F1231" s="2" t="s">
        <v>1744</v>
      </c>
      <c r="G1231" s="2" t="s">
        <v>3989</v>
      </c>
      <c r="H1231" s="2" t="s">
        <v>3990</v>
      </c>
      <c r="I1231" s="2" t="s">
        <v>3991</v>
      </c>
      <c r="J1231" s="2" t="s">
        <v>114</v>
      </c>
      <c r="K1231" s="2" t="s">
        <v>146</v>
      </c>
      <c r="L1231" s="3">
        <v>49.61</v>
      </c>
      <c r="M1231" s="3">
        <v>52.09</v>
      </c>
      <c r="N1231" s="3">
        <v>109.99</v>
      </c>
      <c r="O1231" s="2" t="s">
        <v>97</v>
      </c>
      <c r="P1231" s="2" t="s">
        <v>98</v>
      </c>
      <c r="Q1231" s="2" t="s">
        <v>99</v>
      </c>
      <c r="R1231" s="2" t="s">
        <v>100</v>
      </c>
      <c r="S1231" s="2" t="s">
        <v>3992</v>
      </c>
      <c r="T1231" s="2" t="s">
        <v>787</v>
      </c>
      <c r="U1231" s="2" t="s">
        <v>283</v>
      </c>
      <c r="V1231" s="2" t="s">
        <v>344</v>
      </c>
      <c r="W1231" s="2" t="s">
        <v>104</v>
      </c>
      <c r="X1231" s="2" t="s">
        <v>399</v>
      </c>
      <c r="Y1231" s="2" t="s">
        <v>3993</v>
      </c>
      <c r="Z1231" s="4">
        <v>364</v>
      </c>
      <c r="AA1231" s="4">
        <f>=ROUNDDOWN(20.2222222222222,0)</f>
      </c>
      <c r="AB1231" s="5">
        <v>18</v>
      </c>
      <c r="AC1231" s="2" t="s">
        <v>1372</v>
      </c>
      <c r="AD1231" s="4">
        <v>160</v>
      </c>
      <c r="AE1231" s="4">
        <v>160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/>
      <c r="AQ1231" s="8"/>
      <c r="AR1231" s="4"/>
      <c r="AS1231" s="8"/>
      <c r="AT1231" s="7"/>
      <c r="AU1231" s="7"/>
      <c r="AV1231" s="4">
        <v>2</v>
      </c>
      <c r="AW1231" s="8">
        <v>122.24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/>
      <c r="BC1231" s="4">
        <v>4</v>
      </c>
      <c r="BD1231" s="8">
        <v>244.48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>
        <v>0.5</v>
      </c>
      <c r="BJ1231" s="4">
        <v>14</v>
      </c>
      <c r="BK1231" s="8">
        <v>703.09</v>
      </c>
      <c r="BL1231" s="2" t="s">
        <v>3994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110</v>
      </c>
      <c r="BX1231" s="2" t="s">
        <v>301</v>
      </c>
      <c r="BY1231" s="2" t="s">
        <v>112</v>
      </c>
      <c r="BZ1231" s="2" t="s">
        <v>100</v>
      </c>
    </row>
    <row r="1232">
      <c r="A1232" s="2" t="s">
        <v>3995</v>
      </c>
      <c r="B1232" s="2" t="s">
        <v>87</v>
      </c>
      <c r="C1232" s="2" t="s">
        <v>3934</v>
      </c>
      <c r="D1232" s="2" t="s">
        <v>89</v>
      </c>
      <c r="E1232" s="2" t="s">
        <v>90</v>
      </c>
      <c r="F1232" s="2" t="s">
        <v>1744</v>
      </c>
      <c r="G1232" s="2" t="s">
        <v>3989</v>
      </c>
      <c r="H1232" s="2" t="s">
        <v>3990</v>
      </c>
      <c r="I1232" s="2" t="s">
        <v>3991</v>
      </c>
      <c r="J1232" s="2" t="s">
        <v>120</v>
      </c>
      <c r="K1232" s="2" t="s">
        <v>146</v>
      </c>
      <c r="L1232" s="3">
        <v>55.44</v>
      </c>
      <c r="M1232" s="3">
        <v>58.21</v>
      </c>
      <c r="N1232" s="3">
        <v>119.99</v>
      </c>
      <c r="O1232" s="2" t="s">
        <v>97</v>
      </c>
      <c r="P1232" s="2" t="s">
        <v>98</v>
      </c>
      <c r="Q1232" s="2" t="s">
        <v>99</v>
      </c>
      <c r="R1232" s="2" t="s">
        <v>100</v>
      </c>
      <c r="S1232" s="2" t="s">
        <v>3992</v>
      </c>
      <c r="T1232" s="2" t="s">
        <v>787</v>
      </c>
      <c r="U1232" s="2" t="s">
        <v>283</v>
      </c>
      <c r="V1232" s="2" t="s">
        <v>344</v>
      </c>
      <c r="W1232" s="2" t="s">
        <v>104</v>
      </c>
      <c r="X1232" s="2" t="s">
        <v>399</v>
      </c>
      <c r="Y1232" s="2" t="s">
        <v>3993</v>
      </c>
      <c r="Z1232" s="4">
        <v>157</v>
      </c>
      <c r="AA1232" s="4">
        <f>=ROUNDDOWN(10.4666666666667,0)</f>
      </c>
      <c r="AB1232" s="5">
        <v>15</v>
      </c>
      <c r="AC1232" s="2" t="s">
        <v>1629</v>
      </c>
      <c r="AD1232" s="4">
        <v>320</v>
      </c>
      <c r="AE1232" s="4">
        <v>510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/>
      <c r="AQ1232" s="8"/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/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12</v>
      </c>
      <c r="BK1232" s="8">
        <v>643.09</v>
      </c>
      <c r="BL1232" s="2" t="s">
        <v>3996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110</v>
      </c>
      <c r="BX1232" s="2" t="s">
        <v>389</v>
      </c>
      <c r="BY1232" s="2" t="s">
        <v>112</v>
      </c>
      <c r="BZ1232" s="2" t="s">
        <v>100</v>
      </c>
    </row>
    <row r="1233">
      <c r="A1233" s="2" t="s">
        <v>3997</v>
      </c>
      <c r="B1233" s="2" t="s">
        <v>87</v>
      </c>
      <c r="C1233" s="2" t="s">
        <v>3934</v>
      </c>
      <c r="D1233" s="2" t="s">
        <v>89</v>
      </c>
      <c r="E1233" s="2" t="s">
        <v>90</v>
      </c>
      <c r="F1233" s="2" t="s">
        <v>1744</v>
      </c>
      <c r="G1233" s="2" t="s">
        <v>3989</v>
      </c>
      <c r="H1233" s="2" t="s">
        <v>3990</v>
      </c>
      <c r="I1233" s="2" t="s">
        <v>3991</v>
      </c>
      <c r="J1233" s="2" t="s">
        <v>124</v>
      </c>
      <c r="K1233" s="2" t="s">
        <v>146</v>
      </c>
      <c r="L1233" s="3">
        <v>55.44</v>
      </c>
      <c r="M1233" s="3">
        <v>58.21</v>
      </c>
      <c r="N1233" s="3">
        <v>119.99</v>
      </c>
      <c r="O1233" s="2" t="s">
        <v>97</v>
      </c>
      <c r="P1233" s="2" t="s">
        <v>98</v>
      </c>
      <c r="Q1233" s="2" t="s">
        <v>99</v>
      </c>
      <c r="R1233" s="2" t="s">
        <v>100</v>
      </c>
      <c r="S1233" s="2" t="s">
        <v>3992</v>
      </c>
      <c r="T1233" s="2" t="s">
        <v>787</v>
      </c>
      <c r="U1233" s="2" t="s">
        <v>283</v>
      </c>
      <c r="V1233" s="2" t="s">
        <v>344</v>
      </c>
      <c r="W1233" s="2" t="s">
        <v>104</v>
      </c>
      <c r="X1233" s="2" t="s">
        <v>399</v>
      </c>
      <c r="Y1233" s="2" t="s">
        <v>3993</v>
      </c>
      <c r="Z1233" s="4">
        <v>342</v>
      </c>
      <c r="AA1233" s="4">
        <f>=ROUNDDOWN(42.75,0)</f>
      </c>
      <c r="AB1233" s="5">
        <v>8</v>
      </c>
      <c r="AC1233" s="2" t="s">
        <v>1372</v>
      </c>
      <c r="AD1233" s="4">
        <v>30</v>
      </c>
      <c r="AE1233" s="4">
        <v>30</v>
      </c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>
        <v>2</v>
      </c>
      <c r="AQ1233" s="8">
        <v>122.24</v>
      </c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>
        <v>1</v>
      </c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9</v>
      </c>
      <c r="BK1233" s="8">
        <v>512.65</v>
      </c>
      <c r="BL1233" s="2" t="s">
        <v>3998</v>
      </c>
      <c r="BM1233" s="7">
        <v>0.2222</v>
      </c>
      <c r="BN1233" s="7">
        <v>0.2384</v>
      </c>
      <c r="BO1233" s="4">
        <v>2</v>
      </c>
      <c r="BP1233" s="8">
        <v>122.24</v>
      </c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110</v>
      </c>
      <c r="BX1233" s="2" t="s">
        <v>289</v>
      </c>
      <c r="BY1233" s="2" t="s">
        <v>112</v>
      </c>
      <c r="BZ1233" s="2" t="s">
        <v>100</v>
      </c>
    </row>
    <row r="1234">
      <c r="A1234" s="2" t="s">
        <v>3999</v>
      </c>
      <c r="B1234" s="2" t="s">
        <v>87</v>
      </c>
      <c r="C1234" s="2" t="s">
        <v>3934</v>
      </c>
      <c r="D1234" s="2" t="s">
        <v>89</v>
      </c>
      <c r="E1234" s="2" t="s">
        <v>90</v>
      </c>
      <c r="F1234" s="2" t="s">
        <v>1744</v>
      </c>
      <c r="G1234" s="2" t="s">
        <v>3989</v>
      </c>
      <c r="H1234" s="2" t="s">
        <v>3990</v>
      </c>
      <c r="I1234" s="2" t="s">
        <v>4000</v>
      </c>
      <c r="J1234" s="2" t="s">
        <v>114</v>
      </c>
      <c r="K1234" s="2" t="s">
        <v>1555</v>
      </c>
      <c r="L1234" s="3">
        <v>49.61</v>
      </c>
      <c r="M1234" s="3">
        <v>52.09</v>
      </c>
      <c r="N1234" s="3">
        <v>109.99</v>
      </c>
      <c r="O1234" s="2" t="s">
        <v>97</v>
      </c>
      <c r="P1234" s="2" t="s">
        <v>281</v>
      </c>
      <c r="Q1234" s="2" t="s">
        <v>99</v>
      </c>
      <c r="R1234" s="2" t="s">
        <v>100</v>
      </c>
      <c r="S1234" s="2" t="s">
        <v>4001</v>
      </c>
      <c r="T1234" s="2" t="s">
        <v>787</v>
      </c>
      <c r="U1234" s="2" t="s">
        <v>283</v>
      </c>
      <c r="V1234" s="2" t="s">
        <v>344</v>
      </c>
      <c r="W1234" s="2" t="s">
        <v>104</v>
      </c>
      <c r="X1234" s="2" t="s">
        <v>399</v>
      </c>
      <c r="Y1234" s="2" t="s">
        <v>4002</v>
      </c>
      <c r="Z1234" s="4">
        <v>610</v>
      </c>
      <c r="AA1234" s="4">
        <f>=ROUNDDOWN(9.68253968253968,0)</f>
      </c>
      <c r="AB1234" s="5">
        <v>63</v>
      </c>
      <c r="AC1234" s="2" t="s">
        <v>1962</v>
      </c>
      <c r="AD1234" s="4">
        <v>210</v>
      </c>
      <c r="AE1234" s="4">
        <v>2110</v>
      </c>
      <c r="AF1234" s="6">
        <v>69</v>
      </c>
      <c r="AG1234" s="6">
        <v>77</v>
      </c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>
        <v>2</v>
      </c>
      <c r="AW1234" s="8">
        <v>122.24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>
        <v>0.5</v>
      </c>
      <c r="BJ1234" s="4">
        <v>52</v>
      </c>
      <c r="BK1234" s="8">
        <v>2597.77</v>
      </c>
      <c r="BL1234" s="2" t="s">
        <v>4003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3940</v>
      </c>
      <c r="BX1234" s="2" t="s">
        <v>2983</v>
      </c>
      <c r="BY1234" s="2" t="s">
        <v>112</v>
      </c>
      <c r="BZ1234" s="2" t="s">
        <v>100</v>
      </c>
    </row>
    <row r="1235">
      <c r="A1235" s="2" t="s">
        <v>4004</v>
      </c>
      <c r="B1235" s="2" t="s">
        <v>87</v>
      </c>
      <c r="C1235" s="2" t="s">
        <v>3934</v>
      </c>
      <c r="D1235" s="2" t="s">
        <v>89</v>
      </c>
      <c r="E1235" s="2" t="s">
        <v>90</v>
      </c>
      <c r="F1235" s="2" t="s">
        <v>1744</v>
      </c>
      <c r="G1235" s="2" t="s">
        <v>3989</v>
      </c>
      <c r="H1235" s="2" t="s">
        <v>3990</v>
      </c>
      <c r="I1235" s="2" t="s">
        <v>4000</v>
      </c>
      <c r="J1235" s="2" t="s">
        <v>120</v>
      </c>
      <c r="K1235" s="2" t="s">
        <v>1555</v>
      </c>
      <c r="L1235" s="3">
        <v>55.44</v>
      </c>
      <c r="M1235" s="3">
        <v>58.21</v>
      </c>
      <c r="N1235" s="3">
        <v>119.99</v>
      </c>
      <c r="O1235" s="2" t="s">
        <v>97</v>
      </c>
      <c r="P1235" s="2" t="s">
        <v>281</v>
      </c>
      <c r="Q1235" s="2" t="s">
        <v>99</v>
      </c>
      <c r="R1235" s="2" t="s">
        <v>100</v>
      </c>
      <c r="S1235" s="2" t="s">
        <v>4001</v>
      </c>
      <c r="T1235" s="2" t="s">
        <v>787</v>
      </c>
      <c r="U1235" s="2" t="s">
        <v>283</v>
      </c>
      <c r="V1235" s="2" t="s">
        <v>344</v>
      </c>
      <c r="W1235" s="2" t="s">
        <v>104</v>
      </c>
      <c r="X1235" s="2" t="s">
        <v>399</v>
      </c>
      <c r="Y1235" s="2" t="s">
        <v>4002</v>
      </c>
      <c r="Z1235" s="4">
        <v>704</v>
      </c>
      <c r="AA1235" s="4">
        <f>=ROUNDDOWN(12.5714285714286,0)</f>
      </c>
      <c r="AB1235" s="5">
        <v>56</v>
      </c>
      <c r="AC1235" s="2" t="s">
        <v>4005</v>
      </c>
      <c r="AD1235" s="4">
        <v>390</v>
      </c>
      <c r="AE1235" s="4">
        <v>1710</v>
      </c>
      <c r="AF1235" s="6">
        <v>69</v>
      </c>
      <c r="AG1235" s="6">
        <v>77</v>
      </c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>
        <v>1</v>
      </c>
      <c r="AQ1235" s="8">
        <v>61.12</v>
      </c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>
        <v>0.5</v>
      </c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 t="s">
        <v>100</v>
      </c>
      <c r="BJ1235" s="4">
        <v>35</v>
      </c>
      <c r="BK1235" s="8">
        <v>1943.44</v>
      </c>
      <c r="BL1235" s="2" t="s">
        <v>4006</v>
      </c>
      <c r="BM1235" s="7">
        <v>0.0286</v>
      </c>
      <c r="BN1235" s="7">
        <v>0.0314</v>
      </c>
      <c r="BO1235" s="4">
        <v>1</v>
      </c>
      <c r="BP1235" s="8">
        <v>61.12</v>
      </c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3940</v>
      </c>
      <c r="BX1235" s="2" t="s">
        <v>4007</v>
      </c>
      <c r="BY1235" s="2" t="s">
        <v>112</v>
      </c>
      <c r="BZ1235" s="2" t="s">
        <v>100</v>
      </c>
    </row>
    <row r="1236">
      <c r="A1236" s="2" t="s">
        <v>4008</v>
      </c>
      <c r="B1236" s="2" t="s">
        <v>87</v>
      </c>
      <c r="C1236" s="2" t="s">
        <v>3934</v>
      </c>
      <c r="D1236" s="2" t="s">
        <v>89</v>
      </c>
      <c r="E1236" s="2" t="s">
        <v>90</v>
      </c>
      <c r="F1236" s="2" t="s">
        <v>1744</v>
      </c>
      <c r="G1236" s="2" t="s">
        <v>3989</v>
      </c>
      <c r="H1236" s="2" t="s">
        <v>3990</v>
      </c>
      <c r="I1236" s="2" t="s">
        <v>4000</v>
      </c>
      <c r="J1236" s="2" t="s">
        <v>124</v>
      </c>
      <c r="K1236" s="2" t="s">
        <v>1555</v>
      </c>
      <c r="L1236" s="3">
        <v>55.44</v>
      </c>
      <c r="M1236" s="3">
        <v>58.21</v>
      </c>
      <c r="N1236" s="3">
        <v>119.99</v>
      </c>
      <c r="O1236" s="2" t="s">
        <v>97</v>
      </c>
      <c r="P1236" s="2" t="s">
        <v>281</v>
      </c>
      <c r="Q1236" s="2" t="s">
        <v>99</v>
      </c>
      <c r="R1236" s="2" t="s">
        <v>100</v>
      </c>
      <c r="S1236" s="2" t="s">
        <v>4001</v>
      </c>
      <c r="T1236" s="2" t="s">
        <v>787</v>
      </c>
      <c r="U1236" s="2" t="s">
        <v>283</v>
      </c>
      <c r="V1236" s="2" t="s">
        <v>344</v>
      </c>
      <c r="W1236" s="2" t="s">
        <v>104</v>
      </c>
      <c r="X1236" s="2" t="s">
        <v>399</v>
      </c>
      <c r="Y1236" s="2" t="s">
        <v>4009</v>
      </c>
      <c r="Z1236" s="4">
        <v>245</v>
      </c>
      <c r="AA1236" s="4">
        <f>=ROUNDDOWN(10.6521739130435,0)</f>
      </c>
      <c r="AB1236" s="5">
        <v>23</v>
      </c>
      <c r="AC1236" s="2" t="s">
        <v>1962</v>
      </c>
      <c r="AD1236" s="4">
        <v>170</v>
      </c>
      <c r="AE1236" s="4">
        <v>660</v>
      </c>
      <c r="AF1236" s="6">
        <v>69</v>
      </c>
      <c r="AG1236" s="6">
        <v>77</v>
      </c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>
        <v>1</v>
      </c>
      <c r="AQ1236" s="8">
        <v>61.12</v>
      </c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>
        <v>0.5</v>
      </c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17</v>
      </c>
      <c r="BK1236" s="8">
        <v>947.89</v>
      </c>
      <c r="BL1236" s="2" t="s">
        <v>4010</v>
      </c>
      <c r="BM1236" s="7">
        <v>0.0588</v>
      </c>
      <c r="BN1236" s="7">
        <v>0.0645</v>
      </c>
      <c r="BO1236" s="4">
        <v>1</v>
      </c>
      <c r="BP1236" s="8">
        <v>61.12</v>
      </c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3940</v>
      </c>
      <c r="BX1236" s="2" t="s">
        <v>4011</v>
      </c>
      <c r="BY1236" s="2" t="s">
        <v>112</v>
      </c>
      <c r="BZ1236" s="2" t="s">
        <v>100</v>
      </c>
    </row>
    <row r="1237">
      <c r="A1237" s="2" t="s">
        <v>4012</v>
      </c>
      <c r="B1237" s="2" t="s">
        <v>87</v>
      </c>
      <c r="C1237" s="2" t="s">
        <v>3934</v>
      </c>
      <c r="D1237" s="2" t="s">
        <v>89</v>
      </c>
      <c r="E1237" s="2" t="s">
        <v>90</v>
      </c>
      <c r="F1237" s="2" t="s">
        <v>1744</v>
      </c>
      <c r="G1237" s="2" t="s">
        <v>3989</v>
      </c>
      <c r="H1237" s="2" t="s">
        <v>3990</v>
      </c>
      <c r="I1237" s="2" t="s">
        <v>4000</v>
      </c>
      <c r="J1237" s="2" t="s">
        <v>114</v>
      </c>
      <c r="K1237" s="2" t="s">
        <v>253</v>
      </c>
      <c r="L1237" s="3">
        <v>49.61</v>
      </c>
      <c r="M1237" s="3">
        <v>52.09</v>
      </c>
      <c r="N1237" s="3">
        <v>109.99</v>
      </c>
      <c r="O1237" s="2" t="s">
        <v>97</v>
      </c>
      <c r="P1237" s="2" t="s">
        <v>447</v>
      </c>
      <c r="Q1237" s="2" t="s">
        <v>99</v>
      </c>
      <c r="R1237" s="2" t="s">
        <v>100</v>
      </c>
      <c r="S1237" s="2" t="s">
        <v>4013</v>
      </c>
      <c r="T1237" s="2" t="s">
        <v>787</v>
      </c>
      <c r="U1237" s="2" t="s">
        <v>283</v>
      </c>
      <c r="V1237" s="2" t="s">
        <v>344</v>
      </c>
      <c r="W1237" s="2" t="s">
        <v>104</v>
      </c>
      <c r="X1237" s="2" t="s">
        <v>399</v>
      </c>
      <c r="Y1237" s="2" t="s">
        <v>508</v>
      </c>
      <c r="Z1237" s="4">
        <v>131</v>
      </c>
      <c r="AA1237" s="4">
        <f>=ROUNDDOWN(10.0769230769231,0)</f>
      </c>
      <c r="AB1237" s="5">
        <v>13</v>
      </c>
      <c r="AC1237" s="2" t="s">
        <v>100</v>
      </c>
      <c r="AD1237" s="4"/>
      <c r="AE1237" s="4"/>
      <c r="AF1237" s="6">
        <v>65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7</v>
      </c>
      <c r="BK1237" s="8">
        <v>365.64</v>
      </c>
      <c r="BL1237" s="2" t="s">
        <v>4014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3637</v>
      </c>
      <c r="BX1237" s="2" t="s">
        <v>3667</v>
      </c>
      <c r="BY1237" s="2" t="s">
        <v>112</v>
      </c>
      <c r="BZ1237" s="2" t="s">
        <v>100</v>
      </c>
    </row>
    <row r="1238">
      <c r="A1238" s="2" t="s">
        <v>4015</v>
      </c>
      <c r="B1238" s="2" t="s">
        <v>87</v>
      </c>
      <c r="C1238" s="2" t="s">
        <v>3934</v>
      </c>
      <c r="D1238" s="2" t="s">
        <v>89</v>
      </c>
      <c r="E1238" s="2" t="s">
        <v>90</v>
      </c>
      <c r="F1238" s="2" t="s">
        <v>1744</v>
      </c>
      <c r="G1238" s="2" t="s">
        <v>3989</v>
      </c>
      <c r="H1238" s="2" t="s">
        <v>3990</v>
      </c>
      <c r="I1238" s="2" t="s">
        <v>4000</v>
      </c>
      <c r="J1238" s="2" t="s">
        <v>120</v>
      </c>
      <c r="K1238" s="2" t="s">
        <v>253</v>
      </c>
      <c r="L1238" s="3">
        <v>55.44</v>
      </c>
      <c r="M1238" s="3">
        <v>58.21</v>
      </c>
      <c r="N1238" s="3">
        <v>119.99</v>
      </c>
      <c r="O1238" s="2" t="s">
        <v>97</v>
      </c>
      <c r="P1238" s="2" t="s">
        <v>447</v>
      </c>
      <c r="Q1238" s="2" t="s">
        <v>99</v>
      </c>
      <c r="R1238" s="2" t="s">
        <v>100</v>
      </c>
      <c r="S1238" s="2" t="s">
        <v>4013</v>
      </c>
      <c r="T1238" s="2" t="s">
        <v>787</v>
      </c>
      <c r="U1238" s="2" t="s">
        <v>283</v>
      </c>
      <c r="V1238" s="2" t="s">
        <v>344</v>
      </c>
      <c r="W1238" s="2" t="s">
        <v>104</v>
      </c>
      <c r="X1238" s="2" t="s">
        <v>399</v>
      </c>
      <c r="Y1238" s="2" t="s">
        <v>508</v>
      </c>
      <c r="Z1238" s="4">
        <v>196</v>
      </c>
      <c r="AA1238" s="4">
        <f>=ROUNDDOWN(24.5,0)</f>
      </c>
      <c r="AB1238" s="5">
        <v>8</v>
      </c>
      <c r="AC1238" s="2" t="s">
        <v>100</v>
      </c>
      <c r="AD1238" s="4"/>
      <c r="AE1238" s="4"/>
      <c r="AF1238" s="6">
        <v>65</v>
      </c>
      <c r="AG1238" s="6"/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 t="s">
        <v>100</v>
      </c>
      <c r="BJ1238" s="4">
        <v>6</v>
      </c>
      <c r="BK1238" s="8">
        <v>303.68</v>
      </c>
      <c r="BL1238" s="2" t="s">
        <v>4016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3637</v>
      </c>
      <c r="BX1238" s="2" t="s">
        <v>2879</v>
      </c>
      <c r="BY1238" s="2" t="s">
        <v>112</v>
      </c>
      <c r="BZ1238" s="2" t="s">
        <v>100</v>
      </c>
    </row>
    <row r="1239">
      <c r="A1239" s="2" t="s">
        <v>4017</v>
      </c>
      <c r="B1239" s="2" t="s">
        <v>87</v>
      </c>
      <c r="C1239" s="2" t="s">
        <v>3934</v>
      </c>
      <c r="D1239" s="2" t="s">
        <v>89</v>
      </c>
      <c r="E1239" s="2" t="s">
        <v>90</v>
      </c>
      <c r="F1239" s="2" t="s">
        <v>1744</v>
      </c>
      <c r="G1239" s="2" t="s">
        <v>3989</v>
      </c>
      <c r="H1239" s="2" t="s">
        <v>3990</v>
      </c>
      <c r="I1239" s="2" t="s">
        <v>4000</v>
      </c>
      <c r="J1239" s="2" t="s">
        <v>124</v>
      </c>
      <c r="K1239" s="2" t="s">
        <v>253</v>
      </c>
      <c r="L1239" s="3">
        <v>55.44</v>
      </c>
      <c r="M1239" s="3">
        <v>58.21</v>
      </c>
      <c r="N1239" s="3">
        <v>119.99</v>
      </c>
      <c r="O1239" s="2" t="s">
        <v>97</v>
      </c>
      <c r="P1239" s="2" t="s">
        <v>447</v>
      </c>
      <c r="Q1239" s="2" t="s">
        <v>99</v>
      </c>
      <c r="R1239" s="2" t="s">
        <v>100</v>
      </c>
      <c r="S1239" s="2" t="s">
        <v>4013</v>
      </c>
      <c r="T1239" s="2" t="s">
        <v>787</v>
      </c>
      <c r="U1239" s="2" t="s">
        <v>283</v>
      </c>
      <c r="V1239" s="2" t="s">
        <v>344</v>
      </c>
      <c r="W1239" s="2" t="s">
        <v>104</v>
      </c>
      <c r="X1239" s="2" t="s">
        <v>399</v>
      </c>
      <c r="Y1239" s="2" t="s">
        <v>508</v>
      </c>
      <c r="Z1239" s="4">
        <v>67</v>
      </c>
      <c r="AA1239" s="4">
        <f>=ROUNDDOWN(16.75,0)</f>
      </c>
      <c r="AB1239" s="5">
        <v>4</v>
      </c>
      <c r="AC1239" s="2" t="s">
        <v>100</v>
      </c>
      <c r="AD1239" s="4"/>
      <c r="AE1239" s="4"/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1</v>
      </c>
      <c r="BK1239" s="8">
        <v>64.03</v>
      </c>
      <c r="BL1239" s="2" t="s">
        <v>1310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3637</v>
      </c>
      <c r="BX1239" s="2" t="s">
        <v>1133</v>
      </c>
      <c r="BY1239" s="2" t="s">
        <v>112</v>
      </c>
      <c r="BZ1239" s="2" t="s">
        <v>100</v>
      </c>
    </row>
    <row r="1240">
      <c r="A1240" s="2" t="s">
        <v>4018</v>
      </c>
      <c r="B1240" s="2" t="s">
        <v>87</v>
      </c>
      <c r="C1240" s="2" t="s">
        <v>3934</v>
      </c>
      <c r="D1240" s="2" t="s">
        <v>89</v>
      </c>
      <c r="E1240" s="2" t="s">
        <v>90</v>
      </c>
      <c r="F1240" s="2" t="s">
        <v>4019</v>
      </c>
      <c r="G1240" s="2" t="s">
        <v>4020</v>
      </c>
      <c r="H1240" s="2" t="s">
        <v>4021</v>
      </c>
      <c r="I1240" s="2" t="s">
        <v>4022</v>
      </c>
      <c r="J1240" s="2" t="s">
        <v>114</v>
      </c>
      <c r="K1240" s="2" t="s">
        <v>357</v>
      </c>
      <c r="L1240" s="3">
        <v>43.85</v>
      </c>
      <c r="M1240" s="3">
        <v>46.04</v>
      </c>
      <c r="N1240" s="3">
        <v>99.99</v>
      </c>
      <c r="O1240" s="2" t="s">
        <v>97</v>
      </c>
      <c r="P1240" s="2" t="s">
        <v>447</v>
      </c>
      <c r="Q1240" s="2" t="s">
        <v>99</v>
      </c>
      <c r="R1240" s="2" t="s">
        <v>100</v>
      </c>
      <c r="S1240" s="2" t="s">
        <v>4023</v>
      </c>
      <c r="T1240" s="2" t="s">
        <v>787</v>
      </c>
      <c r="U1240" s="2" t="s">
        <v>283</v>
      </c>
      <c r="V1240" s="2" t="s">
        <v>344</v>
      </c>
      <c r="W1240" s="2" t="s">
        <v>104</v>
      </c>
      <c r="X1240" s="2" t="s">
        <v>399</v>
      </c>
      <c r="Y1240" s="2" t="s">
        <v>4024</v>
      </c>
      <c r="Z1240" s="4">
        <v>281</v>
      </c>
      <c r="AA1240" s="4">
        <f>=ROUNDDOWN(17.5625,0)</f>
      </c>
      <c r="AB1240" s="5">
        <v>16</v>
      </c>
      <c r="AC1240" s="2" t="s">
        <v>615</v>
      </c>
      <c r="AD1240" s="4">
        <v>200</v>
      </c>
      <c r="AE1240" s="4">
        <v>480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>
        <v>1</v>
      </c>
      <c r="AQ1240" s="8">
        <v>53.7</v>
      </c>
      <c r="AR1240" s="4"/>
      <c r="AS1240" s="8"/>
      <c r="AT1240" s="7"/>
      <c r="AU1240" s="7"/>
      <c r="AV1240" s="4">
        <v>2</v>
      </c>
      <c r="AW1240" s="8">
        <v>113.71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>
        <v>0.4723</v>
      </c>
      <c r="BC1240" s="4">
        <v>4</v>
      </c>
      <c r="BD1240" s="8">
        <v>233.73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>
        <v>0.4865</v>
      </c>
      <c r="BJ1240" s="4">
        <v>12</v>
      </c>
      <c r="BK1240" s="8">
        <v>572.37</v>
      </c>
      <c r="BL1240" s="2" t="s">
        <v>4025</v>
      </c>
      <c r="BM1240" s="7">
        <v>0.0833</v>
      </c>
      <c r="BN1240" s="7">
        <v>0.0938</v>
      </c>
      <c r="BO1240" s="4">
        <v>1</v>
      </c>
      <c r="BP1240" s="8">
        <v>53.7</v>
      </c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3637</v>
      </c>
      <c r="BX1240" s="2" t="s">
        <v>1737</v>
      </c>
      <c r="BY1240" s="2" t="s">
        <v>112</v>
      </c>
      <c r="BZ1240" s="2" t="s">
        <v>100</v>
      </c>
    </row>
    <row r="1241">
      <c r="A1241" s="2" t="s">
        <v>4026</v>
      </c>
      <c r="B1241" s="2" t="s">
        <v>87</v>
      </c>
      <c r="C1241" s="2" t="s">
        <v>3934</v>
      </c>
      <c r="D1241" s="2" t="s">
        <v>89</v>
      </c>
      <c r="E1241" s="2" t="s">
        <v>90</v>
      </c>
      <c r="F1241" s="2" t="s">
        <v>4019</v>
      </c>
      <c r="G1241" s="2" t="s">
        <v>4020</v>
      </c>
      <c r="H1241" s="2" t="s">
        <v>4021</v>
      </c>
      <c r="I1241" s="2" t="s">
        <v>4022</v>
      </c>
      <c r="J1241" s="2" t="s">
        <v>120</v>
      </c>
      <c r="K1241" s="2" t="s">
        <v>357</v>
      </c>
      <c r="L1241" s="3">
        <v>48.99</v>
      </c>
      <c r="M1241" s="3">
        <v>51.44</v>
      </c>
      <c r="N1241" s="3">
        <v>109.99</v>
      </c>
      <c r="O1241" s="2" t="s">
        <v>97</v>
      </c>
      <c r="P1241" s="2" t="s">
        <v>447</v>
      </c>
      <c r="Q1241" s="2" t="s">
        <v>99</v>
      </c>
      <c r="R1241" s="2" t="s">
        <v>100</v>
      </c>
      <c r="S1241" s="2" t="s">
        <v>4023</v>
      </c>
      <c r="T1241" s="2" t="s">
        <v>787</v>
      </c>
      <c r="U1241" s="2" t="s">
        <v>283</v>
      </c>
      <c r="V1241" s="2" t="s">
        <v>344</v>
      </c>
      <c r="W1241" s="2" t="s">
        <v>104</v>
      </c>
      <c r="X1241" s="2" t="s">
        <v>399</v>
      </c>
      <c r="Y1241" s="2" t="s">
        <v>4024</v>
      </c>
      <c r="Z1241" s="4">
        <v>193</v>
      </c>
      <c r="AA1241" s="4">
        <f>=ROUNDDOWN(17.5454545454545,0)</f>
      </c>
      <c r="AB1241" s="5">
        <v>11</v>
      </c>
      <c r="AC1241" s="2" t="s">
        <v>615</v>
      </c>
      <c r="AD1241" s="4">
        <v>200</v>
      </c>
      <c r="AE1241" s="4">
        <v>290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/>
      <c r="AQ1241" s="8"/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/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12</v>
      </c>
      <c r="BK1241" s="8">
        <v>654.78</v>
      </c>
      <c r="BL1241" s="2" t="s">
        <v>4027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3637</v>
      </c>
      <c r="BX1241" s="2" t="s">
        <v>4028</v>
      </c>
      <c r="BY1241" s="2" t="s">
        <v>112</v>
      </c>
      <c r="BZ1241" s="2" t="s">
        <v>100</v>
      </c>
    </row>
    <row r="1242">
      <c r="A1242" s="2" t="s">
        <v>4029</v>
      </c>
      <c r="B1242" s="2" t="s">
        <v>87</v>
      </c>
      <c r="C1242" s="2" t="s">
        <v>3934</v>
      </c>
      <c r="D1242" s="2" t="s">
        <v>89</v>
      </c>
      <c r="E1242" s="2" t="s">
        <v>90</v>
      </c>
      <c r="F1242" s="2" t="s">
        <v>4019</v>
      </c>
      <c r="G1242" s="2" t="s">
        <v>4020</v>
      </c>
      <c r="H1242" s="2" t="s">
        <v>4021</v>
      </c>
      <c r="I1242" s="2" t="s">
        <v>4022</v>
      </c>
      <c r="J1242" s="2" t="s">
        <v>124</v>
      </c>
      <c r="K1242" s="2" t="s">
        <v>357</v>
      </c>
      <c r="L1242" s="3">
        <v>48.99</v>
      </c>
      <c r="M1242" s="3">
        <v>51.44</v>
      </c>
      <c r="N1242" s="3">
        <v>109.99</v>
      </c>
      <c r="O1242" s="2" t="s">
        <v>97</v>
      </c>
      <c r="P1242" s="2" t="s">
        <v>447</v>
      </c>
      <c r="Q1242" s="2" t="s">
        <v>99</v>
      </c>
      <c r="R1242" s="2" t="s">
        <v>100</v>
      </c>
      <c r="S1242" s="2" t="s">
        <v>4023</v>
      </c>
      <c r="T1242" s="2" t="s">
        <v>787</v>
      </c>
      <c r="U1242" s="2" t="s">
        <v>283</v>
      </c>
      <c r="V1242" s="2" t="s">
        <v>344</v>
      </c>
      <c r="W1242" s="2" t="s">
        <v>104</v>
      </c>
      <c r="X1242" s="2" t="s">
        <v>399</v>
      </c>
      <c r="Y1242" s="2" t="s">
        <v>4024</v>
      </c>
      <c r="Z1242" s="4">
        <v>215</v>
      </c>
      <c r="AA1242" s="4">
        <f>=ROUNDDOWN(35.8333333333333,0)</f>
      </c>
      <c r="AB1242" s="5">
        <v>6</v>
      </c>
      <c r="AC1242" s="2" t="s">
        <v>593</v>
      </c>
      <c r="AD1242" s="4">
        <v>30</v>
      </c>
      <c r="AE1242" s="4">
        <v>30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>
        <v>1</v>
      </c>
      <c r="AQ1242" s="8">
        <v>60.01</v>
      </c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>
        <v>0.5277</v>
      </c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 t="s">
        <v>100</v>
      </c>
      <c r="BJ1242" s="4">
        <v>5</v>
      </c>
      <c r="BK1242" s="8">
        <v>277.92</v>
      </c>
      <c r="BL1242" s="2" t="s">
        <v>4030</v>
      </c>
      <c r="BM1242" s="7">
        <v>0.2</v>
      </c>
      <c r="BN1242" s="7">
        <v>0.2159</v>
      </c>
      <c r="BO1242" s="4">
        <v>1</v>
      </c>
      <c r="BP1242" s="8">
        <v>60.01</v>
      </c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3637</v>
      </c>
      <c r="BX1242" s="2" t="s">
        <v>3430</v>
      </c>
      <c r="BY1242" s="2" t="s">
        <v>112</v>
      </c>
      <c r="BZ1242" s="2" t="s">
        <v>100</v>
      </c>
    </row>
    <row r="1243">
      <c r="A1243" s="2" t="s">
        <v>4031</v>
      </c>
      <c r="B1243" s="2" t="s">
        <v>87</v>
      </c>
      <c r="C1243" s="2" t="s">
        <v>3934</v>
      </c>
      <c r="D1243" s="2" t="s">
        <v>89</v>
      </c>
      <c r="E1243" s="2" t="s">
        <v>90</v>
      </c>
      <c r="F1243" s="2" t="s">
        <v>4019</v>
      </c>
      <c r="G1243" s="2" t="s">
        <v>4020</v>
      </c>
      <c r="H1243" s="2" t="s">
        <v>4021</v>
      </c>
      <c r="I1243" s="2" t="s">
        <v>4032</v>
      </c>
      <c r="J1243" s="2" t="s">
        <v>114</v>
      </c>
      <c r="K1243" s="2" t="s">
        <v>253</v>
      </c>
      <c r="L1243" s="3">
        <v>43.85</v>
      </c>
      <c r="M1243" s="3">
        <v>46.04</v>
      </c>
      <c r="N1243" s="3">
        <v>99.99</v>
      </c>
      <c r="O1243" s="2" t="s">
        <v>97</v>
      </c>
      <c r="P1243" s="2" t="s">
        <v>98</v>
      </c>
      <c r="Q1243" s="2" t="s">
        <v>99</v>
      </c>
      <c r="R1243" s="2" t="s">
        <v>100</v>
      </c>
      <c r="S1243" s="2" t="s">
        <v>4033</v>
      </c>
      <c r="T1243" s="2" t="s">
        <v>787</v>
      </c>
      <c r="U1243" s="2" t="s">
        <v>283</v>
      </c>
      <c r="V1243" s="2" t="s">
        <v>344</v>
      </c>
      <c r="W1243" s="2" t="s">
        <v>104</v>
      </c>
      <c r="X1243" s="2" t="s">
        <v>581</v>
      </c>
      <c r="Y1243" s="2" t="s">
        <v>4034</v>
      </c>
      <c r="Z1243" s="4">
        <v>199</v>
      </c>
      <c r="AA1243" s="4">
        <f>=ROUNDDOWN(9.47619047619048,0)</f>
      </c>
      <c r="AB1243" s="5">
        <v>21</v>
      </c>
      <c r="AC1243" s="2" t="s">
        <v>400</v>
      </c>
      <c r="AD1243" s="4">
        <v>30</v>
      </c>
      <c r="AE1243" s="4">
        <v>700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>
        <v>1</v>
      </c>
      <c r="AW1243" s="8">
        <v>60.01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>
        <v>0.2567</v>
      </c>
      <c r="BJ1243" s="4">
        <v>15</v>
      </c>
      <c r="BK1243" s="8">
        <v>715.08</v>
      </c>
      <c r="BL1243" s="2" t="s">
        <v>4035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316</v>
      </c>
      <c r="BX1243" s="2" t="s">
        <v>4036</v>
      </c>
      <c r="BY1243" s="2" t="s">
        <v>112</v>
      </c>
      <c r="BZ1243" s="2" t="s">
        <v>100</v>
      </c>
    </row>
    <row r="1244">
      <c r="A1244" s="2" t="s">
        <v>4037</v>
      </c>
      <c r="B1244" s="2" t="s">
        <v>87</v>
      </c>
      <c r="C1244" s="2" t="s">
        <v>3934</v>
      </c>
      <c r="D1244" s="2" t="s">
        <v>89</v>
      </c>
      <c r="E1244" s="2" t="s">
        <v>90</v>
      </c>
      <c r="F1244" s="2" t="s">
        <v>4019</v>
      </c>
      <c r="G1244" s="2" t="s">
        <v>4020</v>
      </c>
      <c r="H1244" s="2" t="s">
        <v>4021</v>
      </c>
      <c r="I1244" s="2" t="s">
        <v>4032</v>
      </c>
      <c r="J1244" s="2" t="s">
        <v>120</v>
      </c>
      <c r="K1244" s="2" t="s">
        <v>253</v>
      </c>
      <c r="L1244" s="3">
        <v>48.99</v>
      </c>
      <c r="M1244" s="3">
        <v>51.44</v>
      </c>
      <c r="N1244" s="3">
        <v>109.99</v>
      </c>
      <c r="O1244" s="2" t="s">
        <v>97</v>
      </c>
      <c r="P1244" s="2" t="s">
        <v>98</v>
      </c>
      <c r="Q1244" s="2" t="s">
        <v>99</v>
      </c>
      <c r="R1244" s="2" t="s">
        <v>100</v>
      </c>
      <c r="S1244" s="2" t="s">
        <v>4033</v>
      </c>
      <c r="T1244" s="2" t="s">
        <v>787</v>
      </c>
      <c r="U1244" s="2" t="s">
        <v>283</v>
      </c>
      <c r="V1244" s="2" t="s">
        <v>344</v>
      </c>
      <c r="W1244" s="2" t="s">
        <v>104</v>
      </c>
      <c r="X1244" s="2" t="s">
        <v>581</v>
      </c>
      <c r="Y1244" s="2" t="s">
        <v>4034</v>
      </c>
      <c r="Z1244" s="4">
        <v>128</v>
      </c>
      <c r="AA1244" s="4">
        <f>=ROUNDDOWN(9.14285714285714,0)</f>
      </c>
      <c r="AB1244" s="5">
        <v>14</v>
      </c>
      <c r="AC1244" s="2" t="s">
        <v>400</v>
      </c>
      <c r="AD1244" s="4">
        <v>200</v>
      </c>
      <c r="AE1244" s="4">
        <v>640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7</v>
      </c>
      <c r="BK1244" s="8">
        <v>368.81</v>
      </c>
      <c r="BL1244" s="2" t="s">
        <v>2723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4038</v>
      </c>
      <c r="BX1244" s="2" t="s">
        <v>946</v>
      </c>
      <c r="BY1244" s="2" t="s">
        <v>112</v>
      </c>
      <c r="BZ1244" s="2" t="s">
        <v>100</v>
      </c>
    </row>
    <row r="1245">
      <c r="A1245" s="2" t="s">
        <v>4039</v>
      </c>
      <c r="B1245" s="2" t="s">
        <v>87</v>
      </c>
      <c r="C1245" s="2" t="s">
        <v>3934</v>
      </c>
      <c r="D1245" s="2" t="s">
        <v>89</v>
      </c>
      <c r="E1245" s="2" t="s">
        <v>90</v>
      </c>
      <c r="F1245" s="2" t="s">
        <v>4019</v>
      </c>
      <c r="G1245" s="2" t="s">
        <v>4020</v>
      </c>
      <c r="H1245" s="2" t="s">
        <v>4021</v>
      </c>
      <c r="I1245" s="2" t="s">
        <v>4032</v>
      </c>
      <c r="J1245" s="2" t="s">
        <v>124</v>
      </c>
      <c r="K1245" s="2" t="s">
        <v>253</v>
      </c>
      <c r="L1245" s="3">
        <v>48.99</v>
      </c>
      <c r="M1245" s="3">
        <v>51.44</v>
      </c>
      <c r="N1245" s="3">
        <v>109.99</v>
      </c>
      <c r="O1245" s="2" t="s">
        <v>97</v>
      </c>
      <c r="P1245" s="2" t="s">
        <v>98</v>
      </c>
      <c r="Q1245" s="2" t="s">
        <v>99</v>
      </c>
      <c r="R1245" s="2" t="s">
        <v>100</v>
      </c>
      <c r="S1245" s="2" t="s">
        <v>4033</v>
      </c>
      <c r="T1245" s="2" t="s">
        <v>787</v>
      </c>
      <c r="U1245" s="2" t="s">
        <v>283</v>
      </c>
      <c r="V1245" s="2" t="s">
        <v>344</v>
      </c>
      <c r="W1245" s="2" t="s">
        <v>104</v>
      </c>
      <c r="X1245" s="2" t="s">
        <v>581</v>
      </c>
      <c r="Y1245" s="2" t="s">
        <v>4034</v>
      </c>
      <c r="Z1245" s="4">
        <v>35</v>
      </c>
      <c r="AA1245" s="4">
        <f>=ROUNDDOWN(5,0)</f>
      </c>
      <c r="AB1245" s="5">
        <v>7</v>
      </c>
      <c r="AC1245" s="2" t="s">
        <v>1372</v>
      </c>
      <c r="AD1245" s="4">
        <v>80</v>
      </c>
      <c r="AE1245" s="4">
        <v>260</v>
      </c>
      <c r="AF1245" s="6">
        <v>65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>
        <v>1</v>
      </c>
      <c r="AQ1245" s="8">
        <v>60.01</v>
      </c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>
        <v>1</v>
      </c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10</v>
      </c>
      <c r="BK1245" s="8">
        <v>555.85</v>
      </c>
      <c r="BL1245" s="2" t="s">
        <v>4040</v>
      </c>
      <c r="BM1245" s="7">
        <v>0.1</v>
      </c>
      <c r="BN1245" s="7">
        <v>0.108</v>
      </c>
      <c r="BO1245" s="4">
        <v>1</v>
      </c>
      <c r="BP1245" s="8">
        <v>60.01</v>
      </c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3637</v>
      </c>
      <c r="BX1245" s="2" t="s">
        <v>1517</v>
      </c>
      <c r="BY1245" s="2" t="s">
        <v>112</v>
      </c>
      <c r="BZ1245" s="2" t="s">
        <v>100</v>
      </c>
    </row>
    <row r="1246">
      <c r="A1246" s="2" t="s">
        <v>4041</v>
      </c>
      <c r="B1246" s="2" t="s">
        <v>87</v>
      </c>
      <c r="C1246" s="2" t="s">
        <v>3934</v>
      </c>
      <c r="D1246" s="2" t="s">
        <v>89</v>
      </c>
      <c r="E1246" s="2" t="s">
        <v>90</v>
      </c>
      <c r="F1246" s="2" t="s">
        <v>4019</v>
      </c>
      <c r="G1246" s="2" t="s">
        <v>4020</v>
      </c>
      <c r="H1246" s="2" t="s">
        <v>4021</v>
      </c>
      <c r="I1246" s="2" t="s">
        <v>4022</v>
      </c>
      <c r="J1246" s="2" t="s">
        <v>114</v>
      </c>
      <c r="K1246" s="2" t="s">
        <v>96</v>
      </c>
      <c r="L1246" s="3">
        <v>43.85</v>
      </c>
      <c r="M1246" s="3">
        <v>46.04</v>
      </c>
      <c r="N1246" s="3">
        <v>99.99</v>
      </c>
      <c r="O1246" s="2" t="s">
        <v>97</v>
      </c>
      <c r="P1246" s="2" t="s">
        <v>98</v>
      </c>
      <c r="Q1246" s="2" t="s">
        <v>99</v>
      </c>
      <c r="R1246" s="2" t="s">
        <v>100</v>
      </c>
      <c r="S1246" s="2" t="s">
        <v>4042</v>
      </c>
      <c r="T1246" s="2" t="s">
        <v>787</v>
      </c>
      <c r="U1246" s="2" t="s">
        <v>283</v>
      </c>
      <c r="V1246" s="2" t="s">
        <v>344</v>
      </c>
      <c r="W1246" s="2" t="s">
        <v>104</v>
      </c>
      <c r="X1246" s="2" t="s">
        <v>581</v>
      </c>
      <c r="Y1246" s="2" t="s">
        <v>3161</v>
      </c>
      <c r="Z1246" s="4">
        <v>593</v>
      </c>
      <c r="AA1246" s="4">
        <f>=ROUNDDOWN(21.962962962963,0)</f>
      </c>
      <c r="AB1246" s="5">
        <v>27</v>
      </c>
      <c r="AC1246" s="2" t="s">
        <v>1372</v>
      </c>
      <c r="AD1246" s="4">
        <v>330</v>
      </c>
      <c r="AE1246" s="4">
        <v>730</v>
      </c>
      <c r="AF1246" s="6">
        <v>65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>
        <v>1</v>
      </c>
      <c r="AW1246" s="8">
        <v>60.01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>
        <v>0.2567</v>
      </c>
      <c r="BJ1246" s="4">
        <v>12</v>
      </c>
      <c r="BK1246" s="8">
        <v>545.29</v>
      </c>
      <c r="BL1246" s="2" t="s">
        <v>4043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266</v>
      </c>
      <c r="BX1246" s="2" t="s">
        <v>4044</v>
      </c>
      <c r="BY1246" s="2" t="s">
        <v>112</v>
      </c>
      <c r="BZ1246" s="2" t="s">
        <v>100</v>
      </c>
    </row>
    <row r="1247">
      <c r="A1247" s="2" t="s">
        <v>4045</v>
      </c>
      <c r="B1247" s="2" t="s">
        <v>87</v>
      </c>
      <c r="C1247" s="2" t="s">
        <v>3934</v>
      </c>
      <c r="D1247" s="2" t="s">
        <v>89</v>
      </c>
      <c r="E1247" s="2" t="s">
        <v>90</v>
      </c>
      <c r="F1247" s="2" t="s">
        <v>4019</v>
      </c>
      <c r="G1247" s="2" t="s">
        <v>4020</v>
      </c>
      <c r="H1247" s="2" t="s">
        <v>4021</v>
      </c>
      <c r="I1247" s="2" t="s">
        <v>4022</v>
      </c>
      <c r="J1247" s="2" t="s">
        <v>120</v>
      </c>
      <c r="K1247" s="2" t="s">
        <v>96</v>
      </c>
      <c r="L1247" s="3">
        <v>48.99</v>
      </c>
      <c r="M1247" s="3">
        <v>51.44</v>
      </c>
      <c r="N1247" s="3">
        <v>109.99</v>
      </c>
      <c r="O1247" s="2" t="s">
        <v>97</v>
      </c>
      <c r="P1247" s="2" t="s">
        <v>98</v>
      </c>
      <c r="Q1247" s="2" t="s">
        <v>99</v>
      </c>
      <c r="R1247" s="2" t="s">
        <v>100</v>
      </c>
      <c r="S1247" s="2" t="s">
        <v>4042</v>
      </c>
      <c r="T1247" s="2" t="s">
        <v>787</v>
      </c>
      <c r="U1247" s="2" t="s">
        <v>283</v>
      </c>
      <c r="V1247" s="2" t="s">
        <v>344</v>
      </c>
      <c r="W1247" s="2" t="s">
        <v>104</v>
      </c>
      <c r="X1247" s="2" t="s">
        <v>581</v>
      </c>
      <c r="Y1247" s="2" t="s">
        <v>3161</v>
      </c>
      <c r="Z1247" s="4">
        <v>370</v>
      </c>
      <c r="AA1247" s="4">
        <f>=ROUNDDOWN(24.6666666666667,0)</f>
      </c>
      <c r="AB1247" s="5">
        <v>15</v>
      </c>
      <c r="AC1247" s="2" t="s">
        <v>1372</v>
      </c>
      <c r="AD1247" s="4">
        <v>290</v>
      </c>
      <c r="AE1247" s="4">
        <v>610</v>
      </c>
      <c r="AF1247" s="6">
        <v>65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>
        <v>1</v>
      </c>
      <c r="AQ1247" s="8">
        <v>60.01</v>
      </c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>
        <v>1</v>
      </c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9</v>
      </c>
      <c r="BK1247" s="8">
        <v>531.12</v>
      </c>
      <c r="BL1247" s="2" t="s">
        <v>4046</v>
      </c>
      <c r="BM1247" s="7">
        <v>0.1111</v>
      </c>
      <c r="BN1247" s="7">
        <v>0.113</v>
      </c>
      <c r="BO1247" s="4">
        <v>1</v>
      </c>
      <c r="BP1247" s="8">
        <v>60.01</v>
      </c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266</v>
      </c>
      <c r="BX1247" s="2" t="s">
        <v>902</v>
      </c>
      <c r="BY1247" s="2" t="s">
        <v>112</v>
      </c>
      <c r="BZ1247" s="2" t="s">
        <v>100</v>
      </c>
    </row>
    <row r="1248">
      <c r="A1248" s="2" t="s">
        <v>4047</v>
      </c>
      <c r="B1248" s="2" t="s">
        <v>87</v>
      </c>
      <c r="C1248" s="2" t="s">
        <v>3934</v>
      </c>
      <c r="D1248" s="2" t="s">
        <v>89</v>
      </c>
      <c r="E1248" s="2" t="s">
        <v>90</v>
      </c>
      <c r="F1248" s="2" t="s">
        <v>4019</v>
      </c>
      <c r="G1248" s="2" t="s">
        <v>4020</v>
      </c>
      <c r="H1248" s="2" t="s">
        <v>4021</v>
      </c>
      <c r="I1248" s="2" t="s">
        <v>4022</v>
      </c>
      <c r="J1248" s="2" t="s">
        <v>124</v>
      </c>
      <c r="K1248" s="2" t="s">
        <v>96</v>
      </c>
      <c r="L1248" s="3">
        <v>48.99</v>
      </c>
      <c r="M1248" s="3">
        <v>51.44</v>
      </c>
      <c r="N1248" s="3">
        <v>109.99</v>
      </c>
      <c r="O1248" s="2" t="s">
        <v>97</v>
      </c>
      <c r="P1248" s="2" t="s">
        <v>98</v>
      </c>
      <c r="Q1248" s="2" t="s">
        <v>99</v>
      </c>
      <c r="R1248" s="2" t="s">
        <v>100</v>
      </c>
      <c r="S1248" s="2" t="s">
        <v>4042</v>
      </c>
      <c r="T1248" s="2" t="s">
        <v>787</v>
      </c>
      <c r="U1248" s="2" t="s">
        <v>283</v>
      </c>
      <c r="V1248" s="2" t="s">
        <v>344</v>
      </c>
      <c r="W1248" s="2" t="s">
        <v>104</v>
      </c>
      <c r="X1248" s="2" t="s">
        <v>581</v>
      </c>
      <c r="Y1248" s="2" t="s">
        <v>3161</v>
      </c>
      <c r="Z1248" s="4">
        <v>107</v>
      </c>
      <c r="AA1248" s="4">
        <f>=ROUNDDOWN(15.2857142857143,0)</f>
      </c>
      <c r="AB1248" s="5">
        <v>7</v>
      </c>
      <c r="AC1248" s="2" t="s">
        <v>1372</v>
      </c>
      <c r="AD1248" s="4">
        <v>100</v>
      </c>
      <c r="AE1248" s="4">
        <v>260</v>
      </c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/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4</v>
      </c>
      <c r="BK1248" s="8">
        <v>227.72</v>
      </c>
      <c r="BL1248" s="2" t="s">
        <v>273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266</v>
      </c>
      <c r="BX1248" s="2" t="s">
        <v>389</v>
      </c>
      <c r="BY1248" s="2" t="s">
        <v>112</v>
      </c>
      <c r="BZ1248" s="2" t="s">
        <v>100</v>
      </c>
    </row>
    <row r="1249">
      <c r="A1249" s="2" t="s">
        <v>4048</v>
      </c>
      <c r="B1249" s="2" t="s">
        <v>87</v>
      </c>
      <c r="C1249" s="2" t="s">
        <v>3934</v>
      </c>
      <c r="D1249" s="2" t="s">
        <v>89</v>
      </c>
      <c r="E1249" s="2" t="s">
        <v>90</v>
      </c>
      <c r="F1249" s="2" t="s">
        <v>4019</v>
      </c>
      <c r="G1249" s="2" t="s">
        <v>4020</v>
      </c>
      <c r="H1249" s="2" t="s">
        <v>4021</v>
      </c>
      <c r="I1249" s="2" t="s">
        <v>4022</v>
      </c>
      <c r="J1249" s="2" t="s">
        <v>114</v>
      </c>
      <c r="K1249" s="2" t="s">
        <v>227</v>
      </c>
      <c r="L1249" s="3">
        <v>43.85</v>
      </c>
      <c r="M1249" s="3">
        <v>46.04</v>
      </c>
      <c r="N1249" s="3">
        <v>99.99</v>
      </c>
      <c r="O1249" s="2" t="s">
        <v>97</v>
      </c>
      <c r="P1249" s="2" t="s">
        <v>281</v>
      </c>
      <c r="Q1249" s="2" t="s">
        <v>99</v>
      </c>
      <c r="R1249" s="2" t="s">
        <v>100</v>
      </c>
      <c r="S1249" s="2" t="s">
        <v>4049</v>
      </c>
      <c r="T1249" s="2" t="s">
        <v>787</v>
      </c>
      <c r="U1249" s="2" t="s">
        <v>283</v>
      </c>
      <c r="V1249" s="2" t="s">
        <v>344</v>
      </c>
      <c r="W1249" s="2" t="s">
        <v>104</v>
      </c>
      <c r="X1249" s="2" t="s">
        <v>399</v>
      </c>
      <c r="Y1249" s="2" t="s">
        <v>4002</v>
      </c>
      <c r="Z1249" s="4">
        <v>1209</v>
      </c>
      <c r="AA1249" s="4">
        <f>=ROUNDDOWN(17.5217391304348,0)</f>
      </c>
      <c r="AB1249" s="5">
        <v>69</v>
      </c>
      <c r="AC1249" s="2" t="s">
        <v>4005</v>
      </c>
      <c r="AD1249" s="4">
        <v>250</v>
      </c>
      <c r="AE1249" s="4">
        <v>2090</v>
      </c>
      <c r="AF1249" s="6">
        <v>69</v>
      </c>
      <c r="AG1249" s="6">
        <v>77</v>
      </c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/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 t="s">
        <v>100</v>
      </c>
      <c r="BJ1249" s="4">
        <v>37</v>
      </c>
      <c r="BK1249" s="8">
        <v>1797.95</v>
      </c>
      <c r="BL1249" s="2" t="s">
        <v>4050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3940</v>
      </c>
      <c r="BX1249" s="2" t="s">
        <v>4051</v>
      </c>
      <c r="BY1249" s="2" t="s">
        <v>112</v>
      </c>
      <c r="BZ1249" s="2" t="s">
        <v>100</v>
      </c>
    </row>
    <row r="1250">
      <c r="A1250" s="2" t="s">
        <v>4052</v>
      </c>
      <c r="B1250" s="2" t="s">
        <v>87</v>
      </c>
      <c r="C1250" s="2" t="s">
        <v>3934</v>
      </c>
      <c r="D1250" s="2" t="s">
        <v>89</v>
      </c>
      <c r="E1250" s="2" t="s">
        <v>90</v>
      </c>
      <c r="F1250" s="2" t="s">
        <v>4019</v>
      </c>
      <c r="G1250" s="2" t="s">
        <v>4020</v>
      </c>
      <c r="H1250" s="2" t="s">
        <v>4021</v>
      </c>
      <c r="I1250" s="2" t="s">
        <v>4022</v>
      </c>
      <c r="J1250" s="2" t="s">
        <v>120</v>
      </c>
      <c r="K1250" s="2" t="s">
        <v>227</v>
      </c>
      <c r="L1250" s="3">
        <v>48.99</v>
      </c>
      <c r="M1250" s="3">
        <v>51.44</v>
      </c>
      <c r="N1250" s="3">
        <v>109.99</v>
      </c>
      <c r="O1250" s="2" t="s">
        <v>97</v>
      </c>
      <c r="P1250" s="2" t="s">
        <v>281</v>
      </c>
      <c r="Q1250" s="2" t="s">
        <v>99</v>
      </c>
      <c r="R1250" s="2" t="s">
        <v>100</v>
      </c>
      <c r="S1250" s="2" t="s">
        <v>4049</v>
      </c>
      <c r="T1250" s="2" t="s">
        <v>787</v>
      </c>
      <c r="U1250" s="2" t="s">
        <v>283</v>
      </c>
      <c r="V1250" s="2" t="s">
        <v>344</v>
      </c>
      <c r="W1250" s="2" t="s">
        <v>104</v>
      </c>
      <c r="X1250" s="2" t="s">
        <v>399</v>
      </c>
      <c r="Y1250" s="2" t="s">
        <v>4002</v>
      </c>
      <c r="Z1250" s="4">
        <v>799</v>
      </c>
      <c r="AA1250" s="4">
        <f>=ROUNDDOWN(16.6458333333333,0)</f>
      </c>
      <c r="AB1250" s="5">
        <v>48</v>
      </c>
      <c r="AC1250" s="2" t="s">
        <v>1962</v>
      </c>
      <c r="AD1250" s="4">
        <v>200</v>
      </c>
      <c r="AE1250" s="4">
        <v>1550</v>
      </c>
      <c r="AF1250" s="6">
        <v>69</v>
      </c>
      <c r="AG1250" s="6">
        <v>77</v>
      </c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 t="s">
        <v>100</v>
      </c>
      <c r="BJ1250" s="4">
        <v>33</v>
      </c>
      <c r="BK1250" s="8">
        <v>1765.64</v>
      </c>
      <c r="BL1250" s="2" t="s">
        <v>4053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3940</v>
      </c>
      <c r="BX1250" s="2" t="s">
        <v>4051</v>
      </c>
      <c r="BY1250" s="2" t="s">
        <v>112</v>
      </c>
      <c r="BZ1250" s="2" t="s">
        <v>100</v>
      </c>
    </row>
    <row r="1251">
      <c r="A1251" s="2" t="s">
        <v>4054</v>
      </c>
      <c r="B1251" s="2" t="s">
        <v>87</v>
      </c>
      <c r="C1251" s="2" t="s">
        <v>3934</v>
      </c>
      <c r="D1251" s="2" t="s">
        <v>89</v>
      </c>
      <c r="E1251" s="2" t="s">
        <v>90</v>
      </c>
      <c r="F1251" s="2" t="s">
        <v>4019</v>
      </c>
      <c r="G1251" s="2" t="s">
        <v>4020</v>
      </c>
      <c r="H1251" s="2" t="s">
        <v>4021</v>
      </c>
      <c r="I1251" s="2" t="s">
        <v>4022</v>
      </c>
      <c r="J1251" s="2" t="s">
        <v>124</v>
      </c>
      <c r="K1251" s="2" t="s">
        <v>227</v>
      </c>
      <c r="L1251" s="3">
        <v>48.99</v>
      </c>
      <c r="M1251" s="3">
        <v>51.44</v>
      </c>
      <c r="N1251" s="3">
        <v>109.99</v>
      </c>
      <c r="O1251" s="2" t="s">
        <v>97</v>
      </c>
      <c r="P1251" s="2" t="s">
        <v>281</v>
      </c>
      <c r="Q1251" s="2" t="s">
        <v>99</v>
      </c>
      <c r="R1251" s="2" t="s">
        <v>100</v>
      </c>
      <c r="S1251" s="2" t="s">
        <v>4055</v>
      </c>
      <c r="T1251" s="2" t="s">
        <v>787</v>
      </c>
      <c r="U1251" s="2" t="s">
        <v>283</v>
      </c>
      <c r="V1251" s="2" t="s">
        <v>344</v>
      </c>
      <c r="W1251" s="2" t="s">
        <v>104</v>
      </c>
      <c r="X1251" s="2" t="s">
        <v>399</v>
      </c>
      <c r="Y1251" s="2" t="s">
        <v>4002</v>
      </c>
      <c r="Z1251" s="4">
        <v>504</v>
      </c>
      <c r="AA1251" s="4">
        <f>=ROUNDDOWN(24,0)</f>
      </c>
      <c r="AB1251" s="5">
        <v>21</v>
      </c>
      <c r="AC1251" s="2" t="s">
        <v>4005</v>
      </c>
      <c r="AD1251" s="4">
        <v>50</v>
      </c>
      <c r="AE1251" s="4">
        <v>560</v>
      </c>
      <c r="AF1251" s="6">
        <v>69</v>
      </c>
      <c r="AG1251" s="6">
        <v>77</v>
      </c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/>
      <c r="AQ1251" s="8"/>
      <c r="AR1251" s="4"/>
      <c r="AS1251" s="8"/>
      <c r="AT1251" s="7"/>
      <c r="AU1251" s="7"/>
      <c r="AV1251" s="4" t="s">
        <v>100</v>
      </c>
      <c r="AW1251" s="8" t="s">
        <v>100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/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 t="s">
        <v>100</v>
      </c>
      <c r="BJ1251" s="4">
        <v>15</v>
      </c>
      <c r="BK1251" s="8">
        <v>877.58</v>
      </c>
      <c r="BL1251" s="2" t="s">
        <v>4056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3940</v>
      </c>
      <c r="BX1251" s="2" t="s">
        <v>4057</v>
      </c>
      <c r="BY1251" s="2" t="s">
        <v>112</v>
      </c>
      <c r="BZ1251" s="2" t="s">
        <v>100</v>
      </c>
    </row>
    <row r="1252">
      <c r="A1252" s="2" t="s">
        <v>4058</v>
      </c>
      <c r="B1252" s="2" t="s">
        <v>87</v>
      </c>
      <c r="C1252" s="2" t="s">
        <v>3934</v>
      </c>
      <c r="D1252" s="2" t="s">
        <v>89</v>
      </c>
      <c r="E1252" s="2" t="s">
        <v>90</v>
      </c>
      <c r="F1252" s="2" t="s">
        <v>753</v>
      </c>
      <c r="G1252" s="2" t="s">
        <v>4059</v>
      </c>
      <c r="H1252" s="2" t="s">
        <v>4060</v>
      </c>
      <c r="I1252" s="2" t="s">
        <v>1301</v>
      </c>
      <c r="J1252" s="2" t="s">
        <v>114</v>
      </c>
      <c r="K1252" s="2" t="s">
        <v>163</v>
      </c>
      <c r="L1252" s="3">
        <v>48.71</v>
      </c>
      <c r="M1252" s="3">
        <v>51.15</v>
      </c>
      <c r="N1252" s="3">
        <v>109.99</v>
      </c>
      <c r="O1252" s="2" t="s">
        <v>97</v>
      </c>
      <c r="P1252" s="2" t="s">
        <v>242</v>
      </c>
      <c r="Q1252" s="2" t="s">
        <v>99</v>
      </c>
      <c r="R1252" s="2" t="s">
        <v>100</v>
      </c>
      <c r="S1252" s="2" t="s">
        <v>4061</v>
      </c>
      <c r="T1252" s="2" t="s">
        <v>787</v>
      </c>
      <c r="U1252" s="2" t="s">
        <v>283</v>
      </c>
      <c r="V1252" s="2" t="s">
        <v>103</v>
      </c>
      <c r="W1252" s="2" t="s">
        <v>105</v>
      </c>
      <c r="X1252" s="2" t="s">
        <v>104</v>
      </c>
      <c r="Y1252" s="2" t="s">
        <v>1029</v>
      </c>
      <c r="Z1252" s="4">
        <v>410</v>
      </c>
      <c r="AA1252" s="4">
        <f>=ROUNDDOWN(11.3888888888889,0)</f>
      </c>
      <c r="AB1252" s="5">
        <v>36</v>
      </c>
      <c r="AC1252" s="2" t="s">
        <v>287</v>
      </c>
      <c r="AD1252" s="4">
        <v>160</v>
      </c>
      <c r="AE1252" s="4">
        <v>870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>
        <v>1</v>
      </c>
      <c r="AQ1252" s="8">
        <v>53.7</v>
      </c>
      <c r="AR1252" s="4"/>
      <c r="AS1252" s="8"/>
      <c r="AT1252" s="7"/>
      <c r="AU1252" s="7"/>
      <c r="AV1252" s="4">
        <v>1</v>
      </c>
      <c r="AW1252" s="8">
        <v>53.7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1</v>
      </c>
      <c r="BC1252" s="4">
        <v>1</v>
      </c>
      <c r="BD1252" s="8">
        <v>53.7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>
        <v>1</v>
      </c>
      <c r="BJ1252" s="4">
        <v>24</v>
      </c>
      <c r="BK1252" s="8">
        <v>1308.08</v>
      </c>
      <c r="BL1252" s="2" t="s">
        <v>2662</v>
      </c>
      <c r="BM1252" s="7">
        <v>0.0417</v>
      </c>
      <c r="BN1252" s="7">
        <v>0.0411</v>
      </c>
      <c r="BO1252" s="4">
        <v>1</v>
      </c>
      <c r="BP1252" s="8">
        <v>53.7</v>
      </c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884</v>
      </c>
      <c r="BX1252" s="2" t="s">
        <v>4062</v>
      </c>
      <c r="BY1252" s="2" t="s">
        <v>112</v>
      </c>
      <c r="BZ1252" s="2" t="s">
        <v>100</v>
      </c>
    </row>
    <row r="1253">
      <c r="A1253" s="2" t="s">
        <v>4063</v>
      </c>
      <c r="B1253" s="2" t="s">
        <v>87</v>
      </c>
      <c r="C1253" s="2" t="s">
        <v>3934</v>
      </c>
      <c r="D1253" s="2" t="s">
        <v>89</v>
      </c>
      <c r="E1253" s="2" t="s">
        <v>90</v>
      </c>
      <c r="F1253" s="2" t="s">
        <v>753</v>
      </c>
      <c r="G1253" s="2" t="s">
        <v>4059</v>
      </c>
      <c r="H1253" s="2" t="s">
        <v>4060</v>
      </c>
      <c r="I1253" s="2" t="s">
        <v>1301</v>
      </c>
      <c r="J1253" s="2" t="s">
        <v>120</v>
      </c>
      <c r="K1253" s="2" t="s">
        <v>163</v>
      </c>
      <c r="L1253" s="3">
        <v>54.43</v>
      </c>
      <c r="M1253" s="3">
        <v>57.15</v>
      </c>
      <c r="N1253" s="3">
        <v>119.99</v>
      </c>
      <c r="O1253" s="2" t="s">
        <v>97</v>
      </c>
      <c r="P1253" s="2" t="s">
        <v>242</v>
      </c>
      <c r="Q1253" s="2" t="s">
        <v>99</v>
      </c>
      <c r="R1253" s="2" t="s">
        <v>100</v>
      </c>
      <c r="S1253" s="2" t="s">
        <v>4061</v>
      </c>
      <c r="T1253" s="2" t="s">
        <v>787</v>
      </c>
      <c r="U1253" s="2" t="s">
        <v>283</v>
      </c>
      <c r="V1253" s="2" t="s">
        <v>103</v>
      </c>
      <c r="W1253" s="2" t="s">
        <v>105</v>
      </c>
      <c r="X1253" s="2" t="s">
        <v>104</v>
      </c>
      <c r="Y1253" s="2" t="s">
        <v>1029</v>
      </c>
      <c r="Z1253" s="4">
        <v>508</v>
      </c>
      <c r="AA1253" s="4">
        <f>=ROUNDDOWN(18.1428571428571,0)</f>
      </c>
      <c r="AB1253" s="5">
        <v>28</v>
      </c>
      <c r="AC1253" s="2" t="s">
        <v>287</v>
      </c>
      <c r="AD1253" s="4">
        <v>400</v>
      </c>
      <c r="AE1253" s="4">
        <v>840</v>
      </c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/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20</v>
      </c>
      <c r="BK1253" s="8">
        <v>1203.64</v>
      </c>
      <c r="BL1253" s="2" t="s">
        <v>4064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884</v>
      </c>
      <c r="BX1253" s="2" t="s">
        <v>1517</v>
      </c>
      <c r="BY1253" s="2" t="s">
        <v>112</v>
      </c>
      <c r="BZ1253" s="2" t="s">
        <v>100</v>
      </c>
    </row>
    <row r="1254">
      <c r="A1254" s="2" t="s">
        <v>4065</v>
      </c>
      <c r="B1254" s="2" t="s">
        <v>87</v>
      </c>
      <c r="C1254" s="2" t="s">
        <v>3934</v>
      </c>
      <c r="D1254" s="2" t="s">
        <v>89</v>
      </c>
      <c r="E1254" s="2" t="s">
        <v>90</v>
      </c>
      <c r="F1254" s="2" t="s">
        <v>753</v>
      </c>
      <c r="G1254" s="2" t="s">
        <v>4059</v>
      </c>
      <c r="H1254" s="2" t="s">
        <v>4060</v>
      </c>
      <c r="I1254" s="2" t="s">
        <v>1301</v>
      </c>
      <c r="J1254" s="2" t="s">
        <v>124</v>
      </c>
      <c r="K1254" s="2" t="s">
        <v>163</v>
      </c>
      <c r="L1254" s="3">
        <v>54.43</v>
      </c>
      <c r="M1254" s="3">
        <v>57.15</v>
      </c>
      <c r="N1254" s="3">
        <v>119.99</v>
      </c>
      <c r="O1254" s="2" t="s">
        <v>97</v>
      </c>
      <c r="P1254" s="2" t="s">
        <v>242</v>
      </c>
      <c r="Q1254" s="2" t="s">
        <v>99</v>
      </c>
      <c r="R1254" s="2" t="s">
        <v>100</v>
      </c>
      <c r="S1254" s="2" t="s">
        <v>4061</v>
      </c>
      <c r="T1254" s="2" t="s">
        <v>787</v>
      </c>
      <c r="U1254" s="2" t="s">
        <v>283</v>
      </c>
      <c r="V1254" s="2" t="s">
        <v>103</v>
      </c>
      <c r="W1254" s="2" t="s">
        <v>105</v>
      </c>
      <c r="X1254" s="2" t="s">
        <v>104</v>
      </c>
      <c r="Y1254" s="2" t="s">
        <v>1029</v>
      </c>
      <c r="Z1254" s="4">
        <v>340</v>
      </c>
      <c r="AA1254" s="4">
        <f>=ROUNDDOWN(24.2857142857143,0)</f>
      </c>
      <c r="AB1254" s="5">
        <v>14</v>
      </c>
      <c r="AC1254" s="2" t="s">
        <v>287</v>
      </c>
      <c r="AD1254" s="4">
        <v>240</v>
      </c>
      <c r="AE1254" s="4">
        <v>390</v>
      </c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/>
      <c r="AQ1254" s="8"/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/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 t="s">
        <v>100</v>
      </c>
      <c r="BJ1254" s="4">
        <v>17</v>
      </c>
      <c r="BK1254" s="8">
        <v>1024.45</v>
      </c>
      <c r="BL1254" s="2" t="s">
        <v>4066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884</v>
      </c>
      <c r="BX1254" s="2" t="s">
        <v>1208</v>
      </c>
      <c r="BY1254" s="2" t="s">
        <v>112</v>
      </c>
      <c r="BZ1254" s="2" t="s">
        <v>100</v>
      </c>
    </row>
    <row r="1255">
      <c r="A1255" s="2" t="s">
        <v>4067</v>
      </c>
      <c r="B1255" s="2" t="s">
        <v>87</v>
      </c>
      <c r="C1255" s="2" t="s">
        <v>3934</v>
      </c>
      <c r="D1255" s="2" t="s">
        <v>89</v>
      </c>
      <c r="E1255" s="2" t="s">
        <v>90</v>
      </c>
      <c r="F1255" s="2" t="s">
        <v>753</v>
      </c>
      <c r="G1255" s="2" t="s">
        <v>4059</v>
      </c>
      <c r="H1255" s="2" t="s">
        <v>4060</v>
      </c>
      <c r="I1255" s="2" t="s">
        <v>1301</v>
      </c>
      <c r="J1255" s="2" t="s">
        <v>114</v>
      </c>
      <c r="K1255" s="2" t="s">
        <v>2281</v>
      </c>
      <c r="L1255" s="3">
        <v>48.71</v>
      </c>
      <c r="M1255" s="3">
        <v>51.15</v>
      </c>
      <c r="N1255" s="3">
        <v>109.99</v>
      </c>
      <c r="O1255" s="2" t="s">
        <v>97</v>
      </c>
      <c r="P1255" s="2" t="s">
        <v>1335</v>
      </c>
      <c r="Q1255" s="2" t="s">
        <v>99</v>
      </c>
      <c r="R1255" s="2" t="s">
        <v>100</v>
      </c>
      <c r="S1255" s="2" t="s">
        <v>4068</v>
      </c>
      <c r="T1255" s="2" t="s">
        <v>787</v>
      </c>
      <c r="U1255" s="2" t="s">
        <v>283</v>
      </c>
      <c r="V1255" s="2" t="s">
        <v>103</v>
      </c>
      <c r="W1255" s="2" t="s">
        <v>105</v>
      </c>
      <c r="X1255" s="2" t="s">
        <v>104</v>
      </c>
      <c r="Y1255" s="2" t="s">
        <v>100</v>
      </c>
      <c r="Z1255" s="4"/>
      <c r="AA1255" s="4">
        <f>=ROUNDDOWN({0},0)</f>
      </c>
      <c r="AB1255" s="5"/>
      <c r="AC1255" s="2" t="s">
        <v>168</v>
      </c>
      <c r="AD1255" s="4">
        <v>250</v>
      </c>
      <c r="AE1255" s="4">
        <v>450</v>
      </c>
      <c r="AF1255" s="6">
        <v>65</v>
      </c>
      <c r="AG1255" s="6"/>
      <c r="AH1255" s="7">
        <v>0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/>
      <c r="AQ1255" s="8"/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/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 t="s">
        <v>100</v>
      </c>
      <c r="BJ1255" s="4"/>
      <c r="BK1255" s="8"/>
      <c r="BL1255" s="2" t="s">
        <v>100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1338</v>
      </c>
      <c r="BV1255" s="2" t="s">
        <v>97</v>
      </c>
      <c r="BW1255" s="2" t="s">
        <v>100</v>
      </c>
      <c r="BX1255" s="2" t="s">
        <v>100</v>
      </c>
      <c r="BY1255" s="2" t="s">
        <v>112</v>
      </c>
      <c r="BZ1255" s="2" t="s">
        <v>100</v>
      </c>
    </row>
    <row r="1256">
      <c r="A1256" s="2" t="s">
        <v>4069</v>
      </c>
      <c r="B1256" s="2" t="s">
        <v>87</v>
      </c>
      <c r="C1256" s="2" t="s">
        <v>3934</v>
      </c>
      <c r="D1256" s="2" t="s">
        <v>89</v>
      </c>
      <c r="E1256" s="2" t="s">
        <v>90</v>
      </c>
      <c r="F1256" s="2" t="s">
        <v>753</v>
      </c>
      <c r="G1256" s="2" t="s">
        <v>4059</v>
      </c>
      <c r="H1256" s="2" t="s">
        <v>4060</v>
      </c>
      <c r="I1256" s="2" t="s">
        <v>1301</v>
      </c>
      <c r="J1256" s="2" t="s">
        <v>120</v>
      </c>
      <c r="K1256" s="2" t="s">
        <v>2281</v>
      </c>
      <c r="L1256" s="3">
        <v>54.43</v>
      </c>
      <c r="M1256" s="3">
        <v>57.15</v>
      </c>
      <c r="N1256" s="3">
        <v>119.99</v>
      </c>
      <c r="O1256" s="2" t="s">
        <v>97</v>
      </c>
      <c r="P1256" s="2" t="s">
        <v>1335</v>
      </c>
      <c r="Q1256" s="2" t="s">
        <v>99</v>
      </c>
      <c r="R1256" s="2" t="s">
        <v>100</v>
      </c>
      <c r="S1256" s="2" t="s">
        <v>4068</v>
      </c>
      <c r="T1256" s="2" t="s">
        <v>787</v>
      </c>
      <c r="U1256" s="2" t="s">
        <v>283</v>
      </c>
      <c r="V1256" s="2" t="s">
        <v>103</v>
      </c>
      <c r="W1256" s="2" t="s">
        <v>105</v>
      </c>
      <c r="X1256" s="2" t="s">
        <v>104</v>
      </c>
      <c r="Y1256" s="2" t="s">
        <v>100</v>
      </c>
      <c r="Z1256" s="4"/>
      <c r="AA1256" s="4">
        <f>=ROUNDDOWN({0},0)</f>
      </c>
      <c r="AB1256" s="5"/>
      <c r="AC1256" s="2" t="s">
        <v>168</v>
      </c>
      <c r="AD1256" s="4">
        <v>200</v>
      </c>
      <c r="AE1256" s="4">
        <v>350</v>
      </c>
      <c r="AF1256" s="6">
        <v>65</v>
      </c>
      <c r="AG1256" s="6"/>
      <c r="AH1256" s="7">
        <v>0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/>
      <c r="AQ1256" s="8"/>
      <c r="AR1256" s="4"/>
      <c r="AS1256" s="8"/>
      <c r="AT1256" s="7"/>
      <c r="AU1256" s="7"/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/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 t="s">
        <v>100</v>
      </c>
      <c r="BJ1256" s="4"/>
      <c r="BK1256" s="8"/>
      <c r="BL1256" s="2" t="s">
        <v>100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1338</v>
      </c>
      <c r="BV1256" s="2" t="s">
        <v>97</v>
      </c>
      <c r="BW1256" s="2" t="s">
        <v>100</v>
      </c>
      <c r="BX1256" s="2" t="s">
        <v>100</v>
      </c>
      <c r="BY1256" s="2" t="s">
        <v>112</v>
      </c>
      <c r="BZ1256" s="2" t="s">
        <v>100</v>
      </c>
    </row>
    <row r="1257">
      <c r="A1257" s="2" t="s">
        <v>4070</v>
      </c>
      <c r="B1257" s="2" t="s">
        <v>87</v>
      </c>
      <c r="C1257" s="2" t="s">
        <v>3934</v>
      </c>
      <c r="D1257" s="2" t="s">
        <v>89</v>
      </c>
      <c r="E1257" s="2" t="s">
        <v>90</v>
      </c>
      <c r="F1257" s="2" t="s">
        <v>753</v>
      </c>
      <c r="G1257" s="2" t="s">
        <v>4059</v>
      </c>
      <c r="H1257" s="2" t="s">
        <v>4060</v>
      </c>
      <c r="I1257" s="2" t="s">
        <v>1301</v>
      </c>
      <c r="J1257" s="2" t="s">
        <v>124</v>
      </c>
      <c r="K1257" s="2" t="s">
        <v>2281</v>
      </c>
      <c r="L1257" s="3">
        <v>54.43</v>
      </c>
      <c r="M1257" s="3">
        <v>57.15</v>
      </c>
      <c r="N1257" s="3">
        <v>119.99</v>
      </c>
      <c r="O1257" s="2" t="s">
        <v>97</v>
      </c>
      <c r="P1257" s="2" t="s">
        <v>1335</v>
      </c>
      <c r="Q1257" s="2" t="s">
        <v>99</v>
      </c>
      <c r="R1257" s="2" t="s">
        <v>100</v>
      </c>
      <c r="S1257" s="2" t="s">
        <v>4068</v>
      </c>
      <c r="T1257" s="2" t="s">
        <v>787</v>
      </c>
      <c r="U1257" s="2" t="s">
        <v>283</v>
      </c>
      <c r="V1257" s="2" t="s">
        <v>103</v>
      </c>
      <c r="W1257" s="2" t="s">
        <v>105</v>
      </c>
      <c r="X1257" s="2" t="s">
        <v>104</v>
      </c>
      <c r="Y1257" s="2" t="s">
        <v>100</v>
      </c>
      <c r="Z1257" s="4"/>
      <c r="AA1257" s="4">
        <f>=ROUNDDOWN({0},0)</f>
      </c>
      <c r="AB1257" s="5"/>
      <c r="AC1257" s="2" t="s">
        <v>168</v>
      </c>
      <c r="AD1257" s="4">
        <v>100</v>
      </c>
      <c r="AE1257" s="4">
        <v>200</v>
      </c>
      <c r="AF1257" s="6">
        <v>65</v>
      </c>
      <c r="AG1257" s="6"/>
      <c r="AH1257" s="7">
        <v>0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/>
      <c r="AQ1257" s="8"/>
      <c r="AR1257" s="4"/>
      <c r="AS1257" s="8"/>
      <c r="AT1257" s="7"/>
      <c r="AU1257" s="7"/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/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 t="s">
        <v>100</v>
      </c>
      <c r="BJ1257" s="4"/>
      <c r="BK1257" s="8"/>
      <c r="BL1257" s="2" t="s">
        <v>100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1338</v>
      </c>
      <c r="BV1257" s="2" t="s">
        <v>97</v>
      </c>
      <c r="BW1257" s="2" t="s">
        <v>100</v>
      </c>
      <c r="BX1257" s="2" t="s">
        <v>100</v>
      </c>
      <c r="BY1257" s="2" t="s">
        <v>112</v>
      </c>
      <c r="BZ1257" s="2" t="s">
        <v>100</v>
      </c>
    </row>
    <row r="1258">
      <c r="A1258" s="2" t="s">
        <v>4071</v>
      </c>
      <c r="B1258" s="2" t="s">
        <v>87</v>
      </c>
      <c r="C1258" s="2" t="s">
        <v>3934</v>
      </c>
      <c r="D1258" s="2" t="s">
        <v>89</v>
      </c>
      <c r="E1258" s="2" t="s">
        <v>90</v>
      </c>
      <c r="F1258" s="2" t="s">
        <v>753</v>
      </c>
      <c r="G1258" s="2" t="s">
        <v>4059</v>
      </c>
      <c r="H1258" s="2" t="s">
        <v>4060</v>
      </c>
      <c r="I1258" s="2" t="s">
        <v>1301</v>
      </c>
      <c r="J1258" s="2" t="s">
        <v>114</v>
      </c>
      <c r="K1258" s="2" t="s">
        <v>213</v>
      </c>
      <c r="L1258" s="3">
        <v>48.71</v>
      </c>
      <c r="M1258" s="3">
        <v>51.15</v>
      </c>
      <c r="N1258" s="3">
        <v>109.99</v>
      </c>
      <c r="O1258" s="2" t="s">
        <v>97</v>
      </c>
      <c r="P1258" s="2" t="s">
        <v>98</v>
      </c>
      <c r="Q1258" s="2" t="s">
        <v>99</v>
      </c>
      <c r="R1258" s="2" t="s">
        <v>100</v>
      </c>
      <c r="S1258" s="2" t="s">
        <v>4072</v>
      </c>
      <c r="T1258" s="2" t="s">
        <v>787</v>
      </c>
      <c r="U1258" s="2" t="s">
        <v>283</v>
      </c>
      <c r="V1258" s="2" t="s">
        <v>103</v>
      </c>
      <c r="W1258" s="2" t="s">
        <v>105</v>
      </c>
      <c r="X1258" s="2" t="s">
        <v>104</v>
      </c>
      <c r="Y1258" s="2" t="s">
        <v>1029</v>
      </c>
      <c r="Z1258" s="4">
        <v>46</v>
      </c>
      <c r="AA1258" s="4">
        <f>=ROUNDDOWN(1.84,0)</f>
      </c>
      <c r="AB1258" s="5">
        <v>25</v>
      </c>
      <c r="AC1258" s="2" t="s">
        <v>107</v>
      </c>
      <c r="AD1258" s="4">
        <v>140</v>
      </c>
      <c r="AE1258" s="4">
        <v>580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/>
      <c r="AQ1258" s="8"/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/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 t="s">
        <v>100</v>
      </c>
      <c r="BJ1258" s="4">
        <v>17</v>
      </c>
      <c r="BK1258" s="8">
        <v>912.47</v>
      </c>
      <c r="BL1258" s="2" t="s">
        <v>4073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3637</v>
      </c>
      <c r="BX1258" s="2" t="s">
        <v>1726</v>
      </c>
      <c r="BY1258" s="2" t="s">
        <v>112</v>
      </c>
      <c r="BZ1258" s="2" t="s">
        <v>100</v>
      </c>
    </row>
    <row r="1259">
      <c r="A1259" s="2" t="s">
        <v>4074</v>
      </c>
      <c r="B1259" s="2" t="s">
        <v>87</v>
      </c>
      <c r="C1259" s="2" t="s">
        <v>3934</v>
      </c>
      <c r="D1259" s="2" t="s">
        <v>89</v>
      </c>
      <c r="E1259" s="2" t="s">
        <v>90</v>
      </c>
      <c r="F1259" s="2" t="s">
        <v>753</v>
      </c>
      <c r="G1259" s="2" t="s">
        <v>4059</v>
      </c>
      <c r="H1259" s="2" t="s">
        <v>4060</v>
      </c>
      <c r="I1259" s="2" t="s">
        <v>1301</v>
      </c>
      <c r="J1259" s="2" t="s">
        <v>120</v>
      </c>
      <c r="K1259" s="2" t="s">
        <v>213</v>
      </c>
      <c r="L1259" s="3">
        <v>54.43</v>
      </c>
      <c r="M1259" s="3">
        <v>57.15</v>
      </c>
      <c r="N1259" s="3">
        <v>119.99</v>
      </c>
      <c r="O1259" s="2" t="s">
        <v>97</v>
      </c>
      <c r="P1259" s="2" t="s">
        <v>98</v>
      </c>
      <c r="Q1259" s="2" t="s">
        <v>99</v>
      </c>
      <c r="R1259" s="2" t="s">
        <v>100</v>
      </c>
      <c r="S1259" s="2" t="s">
        <v>4072</v>
      </c>
      <c r="T1259" s="2" t="s">
        <v>787</v>
      </c>
      <c r="U1259" s="2" t="s">
        <v>283</v>
      </c>
      <c r="V1259" s="2" t="s">
        <v>103</v>
      </c>
      <c r="W1259" s="2" t="s">
        <v>105</v>
      </c>
      <c r="X1259" s="2" t="s">
        <v>104</v>
      </c>
      <c r="Y1259" s="2" t="s">
        <v>1029</v>
      </c>
      <c r="Z1259" s="4">
        <v>54</v>
      </c>
      <c r="AA1259" s="4">
        <f>=ROUNDDOWN(2.84210526315789,0)</f>
      </c>
      <c r="AB1259" s="5">
        <v>19</v>
      </c>
      <c r="AC1259" s="2" t="s">
        <v>107</v>
      </c>
      <c r="AD1259" s="4">
        <v>70</v>
      </c>
      <c r="AE1259" s="4">
        <v>380</v>
      </c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/>
      <c r="AQ1259" s="8"/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/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19</v>
      </c>
      <c r="BK1259" s="8">
        <v>1017.9</v>
      </c>
      <c r="BL1259" s="2" t="s">
        <v>4014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3637</v>
      </c>
      <c r="BX1259" s="2" t="s">
        <v>567</v>
      </c>
      <c r="BY1259" s="2" t="s">
        <v>112</v>
      </c>
      <c r="BZ1259" s="2" t="s">
        <v>100</v>
      </c>
    </row>
    <row r="1260">
      <c r="A1260" s="2" t="s">
        <v>4075</v>
      </c>
      <c r="B1260" s="2" t="s">
        <v>87</v>
      </c>
      <c r="C1260" s="2" t="s">
        <v>3934</v>
      </c>
      <c r="D1260" s="2" t="s">
        <v>89</v>
      </c>
      <c r="E1260" s="2" t="s">
        <v>90</v>
      </c>
      <c r="F1260" s="2" t="s">
        <v>753</v>
      </c>
      <c r="G1260" s="2" t="s">
        <v>4059</v>
      </c>
      <c r="H1260" s="2" t="s">
        <v>4060</v>
      </c>
      <c r="I1260" s="2" t="s">
        <v>1301</v>
      </c>
      <c r="J1260" s="2" t="s">
        <v>124</v>
      </c>
      <c r="K1260" s="2" t="s">
        <v>213</v>
      </c>
      <c r="L1260" s="3">
        <v>54.43</v>
      </c>
      <c r="M1260" s="3">
        <v>57.15</v>
      </c>
      <c r="N1260" s="3">
        <v>119.99</v>
      </c>
      <c r="O1260" s="2" t="s">
        <v>97</v>
      </c>
      <c r="P1260" s="2" t="s">
        <v>98</v>
      </c>
      <c r="Q1260" s="2" t="s">
        <v>99</v>
      </c>
      <c r="R1260" s="2" t="s">
        <v>100</v>
      </c>
      <c r="S1260" s="2" t="s">
        <v>4072</v>
      </c>
      <c r="T1260" s="2" t="s">
        <v>787</v>
      </c>
      <c r="U1260" s="2" t="s">
        <v>283</v>
      </c>
      <c r="V1260" s="2" t="s">
        <v>103</v>
      </c>
      <c r="W1260" s="2" t="s">
        <v>105</v>
      </c>
      <c r="X1260" s="2" t="s">
        <v>104</v>
      </c>
      <c r="Y1260" s="2" t="s">
        <v>1029</v>
      </c>
      <c r="Z1260" s="4">
        <v>161</v>
      </c>
      <c r="AA1260" s="4">
        <f>=ROUNDDOWN(13.4166666666667,0)</f>
      </c>
      <c r="AB1260" s="5">
        <v>12</v>
      </c>
      <c r="AC1260" s="2" t="s">
        <v>107</v>
      </c>
      <c r="AD1260" s="4">
        <v>40</v>
      </c>
      <c r="AE1260" s="4">
        <v>240</v>
      </c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/>
      <c r="AQ1260" s="8"/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/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11</v>
      </c>
      <c r="BK1260" s="8">
        <v>565.83</v>
      </c>
      <c r="BL1260" s="2" t="s">
        <v>4076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3637</v>
      </c>
      <c r="BX1260" s="2" t="s">
        <v>575</v>
      </c>
      <c r="BY1260" s="2" t="s">
        <v>112</v>
      </c>
      <c r="BZ1260" s="2" t="s">
        <v>100</v>
      </c>
    </row>
    <row r="1261">
      <c r="A1261" s="2" t="s">
        <v>4077</v>
      </c>
      <c r="B1261" s="2" t="s">
        <v>87</v>
      </c>
      <c r="C1261" s="2" t="s">
        <v>3934</v>
      </c>
      <c r="D1261" s="2" t="s">
        <v>89</v>
      </c>
      <c r="E1261" s="2" t="s">
        <v>90</v>
      </c>
      <c r="F1261" s="2" t="s">
        <v>4078</v>
      </c>
      <c r="G1261" s="2" t="s">
        <v>4079</v>
      </c>
      <c r="H1261" s="2" t="s">
        <v>4080</v>
      </c>
      <c r="I1261" s="2" t="s">
        <v>4022</v>
      </c>
      <c r="J1261" s="2" t="s">
        <v>114</v>
      </c>
      <c r="K1261" s="2" t="s">
        <v>213</v>
      </c>
      <c r="L1261" s="3">
        <v>42.9</v>
      </c>
      <c r="M1261" s="3">
        <v>45.04</v>
      </c>
      <c r="N1261" s="3">
        <v>109.99</v>
      </c>
      <c r="O1261" s="2" t="s">
        <v>97</v>
      </c>
      <c r="P1261" s="2" t="s">
        <v>447</v>
      </c>
      <c r="Q1261" s="2" t="s">
        <v>99</v>
      </c>
      <c r="R1261" s="2" t="s">
        <v>100</v>
      </c>
      <c r="S1261" s="2" t="s">
        <v>4081</v>
      </c>
      <c r="T1261" s="2" t="s">
        <v>100</v>
      </c>
      <c r="U1261" s="2" t="s">
        <v>283</v>
      </c>
      <c r="V1261" s="2" t="s">
        <v>645</v>
      </c>
      <c r="W1261" s="2" t="s">
        <v>976</v>
      </c>
      <c r="X1261" s="2" t="s">
        <v>1205</v>
      </c>
      <c r="Y1261" s="2" t="s">
        <v>4082</v>
      </c>
      <c r="Z1261" s="4">
        <v>234</v>
      </c>
      <c r="AA1261" s="4">
        <f>=ROUNDDOWN(26,0)</f>
      </c>
      <c r="AB1261" s="5">
        <v>9</v>
      </c>
      <c r="AC1261" s="2" t="s">
        <v>100</v>
      </c>
      <c r="AD1261" s="4"/>
      <c r="AE1261" s="4"/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/>
      <c r="AQ1261" s="8"/>
      <c r="AR1261" s="4"/>
      <c r="AS1261" s="8"/>
      <c r="AT1261" s="7"/>
      <c r="AU1261" s="7"/>
      <c r="AV1261" s="4" t="s">
        <v>100</v>
      </c>
      <c r="AW1261" s="8" t="s">
        <v>100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/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/>
      <c r="BJ1261" s="4">
        <v>4</v>
      </c>
      <c r="BK1261" s="8">
        <v>175.26</v>
      </c>
      <c r="BL1261" s="2" t="s">
        <v>224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266</v>
      </c>
      <c r="BX1261" s="2" t="s">
        <v>909</v>
      </c>
      <c r="BY1261" s="2" t="s">
        <v>112</v>
      </c>
      <c r="BZ1261" s="2" t="s">
        <v>100</v>
      </c>
    </row>
    <row r="1262">
      <c r="A1262" s="2" t="s">
        <v>4083</v>
      </c>
      <c r="B1262" s="2" t="s">
        <v>87</v>
      </c>
      <c r="C1262" s="2" t="s">
        <v>3934</v>
      </c>
      <c r="D1262" s="2" t="s">
        <v>89</v>
      </c>
      <c r="E1262" s="2" t="s">
        <v>90</v>
      </c>
      <c r="F1262" s="2" t="s">
        <v>4078</v>
      </c>
      <c r="G1262" s="2" t="s">
        <v>4079</v>
      </c>
      <c r="H1262" s="2" t="s">
        <v>4080</v>
      </c>
      <c r="I1262" s="2" t="s">
        <v>4022</v>
      </c>
      <c r="J1262" s="2" t="s">
        <v>120</v>
      </c>
      <c r="K1262" s="2" t="s">
        <v>213</v>
      </c>
      <c r="L1262" s="3">
        <v>48</v>
      </c>
      <c r="M1262" s="3">
        <v>50.4</v>
      </c>
      <c r="N1262" s="3">
        <v>119.99</v>
      </c>
      <c r="O1262" s="2" t="s">
        <v>97</v>
      </c>
      <c r="P1262" s="2" t="s">
        <v>447</v>
      </c>
      <c r="Q1262" s="2" t="s">
        <v>99</v>
      </c>
      <c r="R1262" s="2" t="s">
        <v>100</v>
      </c>
      <c r="S1262" s="2" t="s">
        <v>4081</v>
      </c>
      <c r="T1262" s="2" t="s">
        <v>100</v>
      </c>
      <c r="U1262" s="2" t="s">
        <v>283</v>
      </c>
      <c r="V1262" s="2" t="s">
        <v>645</v>
      </c>
      <c r="W1262" s="2" t="s">
        <v>976</v>
      </c>
      <c r="X1262" s="2" t="s">
        <v>1205</v>
      </c>
      <c r="Y1262" s="2" t="s">
        <v>4082</v>
      </c>
      <c r="Z1262" s="4">
        <v>177</v>
      </c>
      <c r="AA1262" s="4">
        <f>=ROUNDDOWN(19.6666666666667,0)</f>
      </c>
      <c r="AB1262" s="5">
        <v>9</v>
      </c>
      <c r="AC1262" s="2" t="s">
        <v>100</v>
      </c>
      <c r="AD1262" s="4"/>
      <c r="AE1262" s="4"/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/>
      <c r="AQ1262" s="8"/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/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/>
      <c r="BJ1262" s="4">
        <v>2</v>
      </c>
      <c r="BK1262" s="8">
        <v>105.84</v>
      </c>
      <c r="BL1262" s="2" t="s">
        <v>4084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266</v>
      </c>
      <c r="BX1262" s="2" t="s">
        <v>389</v>
      </c>
      <c r="BY1262" s="2" t="s">
        <v>112</v>
      </c>
      <c r="BZ1262" s="2" t="s">
        <v>100</v>
      </c>
    </row>
    <row r="1263">
      <c r="A1263" s="2" t="s">
        <v>4085</v>
      </c>
      <c r="B1263" s="2" t="s">
        <v>87</v>
      </c>
      <c r="C1263" s="2" t="s">
        <v>3934</v>
      </c>
      <c r="D1263" s="2" t="s">
        <v>89</v>
      </c>
      <c r="E1263" s="2" t="s">
        <v>90</v>
      </c>
      <c r="F1263" s="2" t="s">
        <v>4086</v>
      </c>
      <c r="G1263" s="2" t="s">
        <v>4087</v>
      </c>
      <c r="H1263" s="2" t="s">
        <v>4088</v>
      </c>
      <c r="I1263" s="2" t="s">
        <v>4022</v>
      </c>
      <c r="J1263" s="2" t="s">
        <v>114</v>
      </c>
      <c r="K1263" s="2" t="s">
        <v>1746</v>
      </c>
      <c r="L1263" s="3">
        <v>48.04</v>
      </c>
      <c r="M1263" s="3">
        <v>50.44</v>
      </c>
      <c r="N1263" s="3">
        <v>109.99</v>
      </c>
      <c r="O1263" s="2" t="s">
        <v>97</v>
      </c>
      <c r="P1263" s="2" t="s">
        <v>447</v>
      </c>
      <c r="Q1263" s="2" t="s">
        <v>99</v>
      </c>
      <c r="R1263" s="2" t="s">
        <v>100</v>
      </c>
      <c r="S1263" s="2" t="s">
        <v>4089</v>
      </c>
      <c r="T1263" s="2" t="s">
        <v>787</v>
      </c>
      <c r="U1263" s="2" t="s">
        <v>283</v>
      </c>
      <c r="V1263" s="2" t="s">
        <v>344</v>
      </c>
      <c r="W1263" s="2" t="s">
        <v>104</v>
      </c>
      <c r="X1263" s="2" t="s">
        <v>450</v>
      </c>
      <c r="Y1263" s="2" t="s">
        <v>4034</v>
      </c>
      <c r="Z1263" s="4">
        <v>148</v>
      </c>
      <c r="AA1263" s="4">
        <f>=ROUNDDOWN(11.3846153846154,0)</f>
      </c>
      <c r="AB1263" s="5">
        <v>13</v>
      </c>
      <c r="AC1263" s="2" t="s">
        <v>100</v>
      </c>
      <c r="AD1263" s="4"/>
      <c r="AE1263" s="4"/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/>
      <c r="AQ1263" s="8"/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/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/>
      <c r="BJ1263" s="4">
        <v>33</v>
      </c>
      <c r="BK1263" s="8">
        <v>1216.52</v>
      </c>
      <c r="BL1263" s="2" t="s">
        <v>532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109</v>
      </c>
      <c r="BV1263" s="2" t="s">
        <v>97</v>
      </c>
      <c r="BW1263" s="2" t="s">
        <v>3637</v>
      </c>
      <c r="BX1263" s="2" t="s">
        <v>1500</v>
      </c>
      <c r="BY1263" s="2" t="s">
        <v>112</v>
      </c>
      <c r="BZ1263" s="2" t="s">
        <v>100</v>
      </c>
    </row>
    <row r="1264">
      <c r="A1264" s="2" t="s">
        <v>4090</v>
      </c>
      <c r="B1264" s="2" t="s">
        <v>87</v>
      </c>
      <c r="C1264" s="2" t="s">
        <v>3934</v>
      </c>
      <c r="D1264" s="2" t="s">
        <v>89</v>
      </c>
      <c r="E1264" s="2" t="s">
        <v>90</v>
      </c>
      <c r="F1264" s="2" t="s">
        <v>4086</v>
      </c>
      <c r="G1264" s="2" t="s">
        <v>4087</v>
      </c>
      <c r="H1264" s="2" t="s">
        <v>4088</v>
      </c>
      <c r="I1264" s="2" t="s">
        <v>4022</v>
      </c>
      <c r="J1264" s="2" t="s">
        <v>120</v>
      </c>
      <c r="K1264" s="2" t="s">
        <v>1746</v>
      </c>
      <c r="L1264" s="3">
        <v>53.76</v>
      </c>
      <c r="M1264" s="3">
        <v>56.45</v>
      </c>
      <c r="N1264" s="3">
        <v>119.99</v>
      </c>
      <c r="O1264" s="2" t="s">
        <v>97</v>
      </c>
      <c r="P1264" s="2" t="s">
        <v>447</v>
      </c>
      <c r="Q1264" s="2" t="s">
        <v>99</v>
      </c>
      <c r="R1264" s="2" t="s">
        <v>100</v>
      </c>
      <c r="S1264" s="2" t="s">
        <v>4089</v>
      </c>
      <c r="T1264" s="2" t="s">
        <v>787</v>
      </c>
      <c r="U1264" s="2" t="s">
        <v>283</v>
      </c>
      <c r="V1264" s="2" t="s">
        <v>344</v>
      </c>
      <c r="W1264" s="2" t="s">
        <v>104</v>
      </c>
      <c r="X1264" s="2" t="s">
        <v>450</v>
      </c>
      <c r="Y1264" s="2" t="s">
        <v>4034</v>
      </c>
      <c r="Z1264" s="4">
        <v>114</v>
      </c>
      <c r="AA1264" s="4">
        <f>=ROUNDDOWN(12.6666666666667,0)</f>
      </c>
      <c r="AB1264" s="5">
        <v>9</v>
      </c>
      <c r="AC1264" s="2" t="s">
        <v>100</v>
      </c>
      <c r="AD1264" s="4"/>
      <c r="AE1264" s="4"/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/>
      <c r="AQ1264" s="8"/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/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/>
      <c r="BJ1264" s="4">
        <v>25</v>
      </c>
      <c r="BK1264" s="8">
        <v>960.69</v>
      </c>
      <c r="BL1264" s="2" t="s">
        <v>1896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109</v>
      </c>
      <c r="BV1264" s="2" t="s">
        <v>97</v>
      </c>
      <c r="BW1264" s="2" t="s">
        <v>3637</v>
      </c>
      <c r="BX1264" s="2" t="s">
        <v>2879</v>
      </c>
      <c r="BY1264" s="2" t="s">
        <v>112</v>
      </c>
      <c r="BZ1264" s="2" t="s">
        <v>100</v>
      </c>
    </row>
    <row r="1265">
      <c r="A1265" s="2" t="s">
        <v>4091</v>
      </c>
      <c r="B1265" s="2" t="s">
        <v>87</v>
      </c>
      <c r="C1265" s="2" t="s">
        <v>3934</v>
      </c>
      <c r="D1265" s="2" t="s">
        <v>89</v>
      </c>
      <c r="E1265" s="2" t="s">
        <v>90</v>
      </c>
      <c r="F1265" s="2" t="s">
        <v>4086</v>
      </c>
      <c r="G1265" s="2" t="s">
        <v>4087</v>
      </c>
      <c r="H1265" s="2" t="s">
        <v>4088</v>
      </c>
      <c r="I1265" s="2" t="s">
        <v>4022</v>
      </c>
      <c r="J1265" s="2" t="s">
        <v>124</v>
      </c>
      <c r="K1265" s="2" t="s">
        <v>1746</v>
      </c>
      <c r="L1265" s="3">
        <v>53.76</v>
      </c>
      <c r="M1265" s="3">
        <v>56.45</v>
      </c>
      <c r="N1265" s="3">
        <v>119.99</v>
      </c>
      <c r="O1265" s="2" t="s">
        <v>97</v>
      </c>
      <c r="P1265" s="2" t="s">
        <v>447</v>
      </c>
      <c r="Q1265" s="2" t="s">
        <v>99</v>
      </c>
      <c r="R1265" s="2" t="s">
        <v>100</v>
      </c>
      <c r="S1265" s="2" t="s">
        <v>4089</v>
      </c>
      <c r="T1265" s="2" t="s">
        <v>787</v>
      </c>
      <c r="U1265" s="2" t="s">
        <v>283</v>
      </c>
      <c r="V1265" s="2" t="s">
        <v>344</v>
      </c>
      <c r="W1265" s="2" t="s">
        <v>104</v>
      </c>
      <c r="X1265" s="2" t="s">
        <v>450</v>
      </c>
      <c r="Y1265" s="2" t="s">
        <v>4034</v>
      </c>
      <c r="Z1265" s="4">
        <v>63</v>
      </c>
      <c r="AA1265" s="4">
        <f>=ROUNDDOWN(12.6,0)</f>
      </c>
      <c r="AB1265" s="5">
        <v>5</v>
      </c>
      <c r="AC1265" s="2" t="s">
        <v>100</v>
      </c>
      <c r="AD1265" s="4"/>
      <c r="AE1265" s="4"/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/>
      <c r="AQ1265" s="8"/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/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/>
      <c r="BJ1265" s="4">
        <v>11</v>
      </c>
      <c r="BK1265" s="8">
        <v>525.69</v>
      </c>
      <c r="BL1265" s="2" t="s">
        <v>1734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109</v>
      </c>
      <c r="BV1265" s="2" t="s">
        <v>97</v>
      </c>
      <c r="BW1265" s="2" t="s">
        <v>4038</v>
      </c>
      <c r="BX1265" s="2" t="s">
        <v>4092</v>
      </c>
      <c r="BY1265" s="2" t="s">
        <v>112</v>
      </c>
      <c r="BZ1265" s="2" t="s">
        <v>100</v>
      </c>
    </row>
    <row r="1266">
      <c r="A1266" s="2" t="s">
        <v>4093</v>
      </c>
      <c r="B1266" s="2" t="s">
        <v>87</v>
      </c>
      <c r="C1266" s="2" t="s">
        <v>3934</v>
      </c>
      <c r="D1266" s="2" t="s">
        <v>89</v>
      </c>
      <c r="E1266" s="2" t="s">
        <v>90</v>
      </c>
      <c r="F1266" s="2" t="s">
        <v>4086</v>
      </c>
      <c r="G1266" s="2" t="s">
        <v>4087</v>
      </c>
      <c r="H1266" s="2" t="s">
        <v>4088</v>
      </c>
      <c r="I1266" s="2" t="s">
        <v>4022</v>
      </c>
      <c r="J1266" s="2" t="s">
        <v>114</v>
      </c>
      <c r="K1266" s="2" t="s">
        <v>4094</v>
      </c>
      <c r="L1266" s="3">
        <v>48.04</v>
      </c>
      <c r="M1266" s="3">
        <v>50.44</v>
      </c>
      <c r="N1266" s="3">
        <v>109.99</v>
      </c>
      <c r="O1266" s="2" t="s">
        <v>97</v>
      </c>
      <c r="P1266" s="2" t="s">
        <v>98</v>
      </c>
      <c r="Q1266" s="2" t="s">
        <v>99</v>
      </c>
      <c r="R1266" s="2" t="s">
        <v>100</v>
      </c>
      <c r="S1266" s="2" t="s">
        <v>4095</v>
      </c>
      <c r="T1266" s="2" t="s">
        <v>787</v>
      </c>
      <c r="U1266" s="2" t="s">
        <v>283</v>
      </c>
      <c r="V1266" s="2" t="s">
        <v>344</v>
      </c>
      <c r="W1266" s="2" t="s">
        <v>104</v>
      </c>
      <c r="X1266" s="2" t="s">
        <v>450</v>
      </c>
      <c r="Y1266" s="2" t="s">
        <v>4096</v>
      </c>
      <c r="Z1266" s="4">
        <v>637</v>
      </c>
      <c r="AA1266" s="4">
        <f>=ROUNDDOWN(31.85,0)</f>
      </c>
      <c r="AB1266" s="5">
        <v>20</v>
      </c>
      <c r="AC1266" s="2" t="s">
        <v>4097</v>
      </c>
      <c r="AD1266" s="4">
        <v>160</v>
      </c>
      <c r="AE1266" s="4">
        <v>160</v>
      </c>
      <c r="AF1266" s="6">
        <v>65</v>
      </c>
      <c r="AG1266" s="6">
        <v>48</v>
      </c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/>
      <c r="AQ1266" s="8"/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/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/>
      <c r="BJ1266" s="4">
        <v>16</v>
      </c>
      <c r="BK1266" s="8">
        <v>799.84</v>
      </c>
      <c r="BL1266" s="2" t="s">
        <v>523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3940</v>
      </c>
      <c r="BX1266" s="2" t="s">
        <v>4051</v>
      </c>
      <c r="BY1266" s="2" t="s">
        <v>112</v>
      </c>
      <c r="BZ1266" s="2" t="s">
        <v>100</v>
      </c>
    </row>
    <row r="1267">
      <c r="A1267" s="2" t="s">
        <v>4098</v>
      </c>
      <c r="B1267" s="2" t="s">
        <v>87</v>
      </c>
      <c r="C1267" s="2" t="s">
        <v>3934</v>
      </c>
      <c r="D1267" s="2" t="s">
        <v>89</v>
      </c>
      <c r="E1267" s="2" t="s">
        <v>90</v>
      </c>
      <c r="F1267" s="2" t="s">
        <v>4086</v>
      </c>
      <c r="G1267" s="2" t="s">
        <v>4087</v>
      </c>
      <c r="H1267" s="2" t="s">
        <v>4088</v>
      </c>
      <c r="I1267" s="2" t="s">
        <v>4022</v>
      </c>
      <c r="J1267" s="2" t="s">
        <v>120</v>
      </c>
      <c r="K1267" s="2" t="s">
        <v>4094</v>
      </c>
      <c r="L1267" s="3">
        <v>53.76</v>
      </c>
      <c r="M1267" s="3">
        <v>56.45</v>
      </c>
      <c r="N1267" s="3">
        <v>119.99</v>
      </c>
      <c r="O1267" s="2" t="s">
        <v>97</v>
      </c>
      <c r="P1267" s="2" t="s">
        <v>98</v>
      </c>
      <c r="Q1267" s="2" t="s">
        <v>99</v>
      </c>
      <c r="R1267" s="2" t="s">
        <v>100</v>
      </c>
      <c r="S1267" s="2" t="s">
        <v>4095</v>
      </c>
      <c r="T1267" s="2" t="s">
        <v>787</v>
      </c>
      <c r="U1267" s="2" t="s">
        <v>283</v>
      </c>
      <c r="V1267" s="2" t="s">
        <v>344</v>
      </c>
      <c r="W1267" s="2" t="s">
        <v>104</v>
      </c>
      <c r="X1267" s="2" t="s">
        <v>450</v>
      </c>
      <c r="Y1267" s="2" t="s">
        <v>4096</v>
      </c>
      <c r="Z1267" s="4">
        <v>464</v>
      </c>
      <c r="AA1267" s="4">
        <f>=ROUNDDOWN(38.6666666666667,0)</f>
      </c>
      <c r="AB1267" s="5">
        <v>12</v>
      </c>
      <c r="AC1267" s="2" t="s">
        <v>4097</v>
      </c>
      <c r="AD1267" s="4">
        <v>220</v>
      </c>
      <c r="AE1267" s="4">
        <v>220</v>
      </c>
      <c r="AF1267" s="6">
        <v>65</v>
      </c>
      <c r="AG1267" s="6">
        <v>48</v>
      </c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/>
      <c r="AQ1267" s="8"/>
      <c r="AR1267" s="4"/>
      <c r="AS1267" s="8"/>
      <c r="AT1267" s="7"/>
      <c r="AU1267" s="7"/>
      <c r="AV1267" s="4" t="s">
        <v>100</v>
      </c>
      <c r="AW1267" s="8" t="s">
        <v>100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/>
      <c r="BC1267" s="4" t="s">
        <v>100</v>
      </c>
      <c r="BD1267" s="8" t="s">
        <v>100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/>
      <c r="BJ1267" s="4">
        <v>11</v>
      </c>
      <c r="BK1267" s="8">
        <v>630.52</v>
      </c>
      <c r="BL1267" s="2" t="s">
        <v>4099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109</v>
      </c>
      <c r="BV1267" s="2" t="s">
        <v>97</v>
      </c>
      <c r="BW1267" s="2" t="s">
        <v>3940</v>
      </c>
      <c r="BX1267" s="2" t="s">
        <v>4100</v>
      </c>
      <c r="BY1267" s="2" t="s">
        <v>112</v>
      </c>
      <c r="BZ1267" s="2" t="s">
        <v>100</v>
      </c>
    </row>
    <row r="1268">
      <c r="A1268" s="2" t="s">
        <v>4101</v>
      </c>
      <c r="B1268" s="2" t="s">
        <v>87</v>
      </c>
      <c r="C1268" s="2" t="s">
        <v>3934</v>
      </c>
      <c r="D1268" s="2" t="s">
        <v>89</v>
      </c>
      <c r="E1268" s="2" t="s">
        <v>90</v>
      </c>
      <c r="F1268" s="2" t="s">
        <v>4086</v>
      </c>
      <c r="G1268" s="2" t="s">
        <v>4087</v>
      </c>
      <c r="H1268" s="2" t="s">
        <v>4088</v>
      </c>
      <c r="I1268" s="2" t="s">
        <v>4022</v>
      </c>
      <c r="J1268" s="2" t="s">
        <v>124</v>
      </c>
      <c r="K1268" s="2" t="s">
        <v>4094</v>
      </c>
      <c r="L1268" s="3">
        <v>53.76</v>
      </c>
      <c r="M1268" s="3">
        <v>56.45</v>
      </c>
      <c r="N1268" s="3">
        <v>119.99</v>
      </c>
      <c r="O1268" s="2" t="s">
        <v>97</v>
      </c>
      <c r="P1268" s="2" t="s">
        <v>98</v>
      </c>
      <c r="Q1268" s="2" t="s">
        <v>99</v>
      </c>
      <c r="R1268" s="2" t="s">
        <v>100</v>
      </c>
      <c r="S1268" s="2" t="s">
        <v>4095</v>
      </c>
      <c r="T1268" s="2" t="s">
        <v>787</v>
      </c>
      <c r="U1268" s="2" t="s">
        <v>283</v>
      </c>
      <c r="V1268" s="2" t="s">
        <v>344</v>
      </c>
      <c r="W1268" s="2" t="s">
        <v>104</v>
      </c>
      <c r="X1268" s="2" t="s">
        <v>450</v>
      </c>
      <c r="Y1268" s="2" t="s">
        <v>4096</v>
      </c>
      <c r="Z1268" s="4">
        <v>125</v>
      </c>
      <c r="AA1268" s="4">
        <f>=ROUNDDOWN(17.8571428571429,0)</f>
      </c>
      <c r="AB1268" s="5">
        <v>7</v>
      </c>
      <c r="AC1268" s="2" t="s">
        <v>4097</v>
      </c>
      <c r="AD1268" s="4">
        <v>58</v>
      </c>
      <c r="AE1268" s="4">
        <v>58</v>
      </c>
      <c r="AF1268" s="6">
        <v>65</v>
      </c>
      <c r="AG1268" s="6">
        <v>48</v>
      </c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/>
      <c r="AQ1268" s="8"/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/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/>
      <c r="BJ1268" s="4">
        <v>6</v>
      </c>
      <c r="BK1268" s="8">
        <v>339.77</v>
      </c>
      <c r="BL1268" s="2" t="s">
        <v>3624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109</v>
      </c>
      <c r="BV1268" s="2" t="s">
        <v>97</v>
      </c>
      <c r="BW1268" s="2" t="s">
        <v>3940</v>
      </c>
      <c r="BX1268" s="2" t="s">
        <v>4102</v>
      </c>
      <c r="BY1268" s="2" t="s">
        <v>112</v>
      </c>
      <c r="BZ1268" s="2" t="s">
        <v>100</v>
      </c>
    </row>
    <row r="1269">
      <c r="A1269" s="2" t="s">
        <v>4103</v>
      </c>
      <c r="B1269" s="2" t="s">
        <v>87</v>
      </c>
      <c r="C1269" s="2" t="s">
        <v>4104</v>
      </c>
      <c r="D1269" s="2" t="s">
        <v>89</v>
      </c>
      <c r="E1269" s="2" t="s">
        <v>2030</v>
      </c>
      <c r="F1269" s="2" t="s">
        <v>4105</v>
      </c>
      <c r="G1269" s="2" t="s">
        <v>4105</v>
      </c>
      <c r="H1269" s="2" t="s">
        <v>4105</v>
      </c>
      <c r="I1269" s="2" t="s">
        <v>4106</v>
      </c>
      <c r="J1269" s="2" t="s">
        <v>785</v>
      </c>
      <c r="K1269" s="2" t="s">
        <v>163</v>
      </c>
      <c r="L1269" s="3">
        <v>62.49</v>
      </c>
      <c r="M1269" s="3">
        <v>65.62</v>
      </c>
      <c r="N1269" s="3">
        <v>124.99</v>
      </c>
      <c r="O1269" s="2" t="s">
        <v>97</v>
      </c>
      <c r="P1269" s="2" t="s">
        <v>98</v>
      </c>
      <c r="Q1269" s="2" t="s">
        <v>99</v>
      </c>
      <c r="R1269" s="2" t="s">
        <v>100</v>
      </c>
      <c r="S1269" s="2" t="s">
        <v>4107</v>
      </c>
      <c r="T1269" s="2" t="s">
        <v>359</v>
      </c>
      <c r="U1269" s="2" t="s">
        <v>1508</v>
      </c>
      <c r="V1269" s="2" t="s">
        <v>734</v>
      </c>
      <c r="W1269" s="2" t="s">
        <v>105</v>
      </c>
      <c r="X1269" s="2" t="s">
        <v>976</v>
      </c>
      <c r="Y1269" s="2" t="s">
        <v>2504</v>
      </c>
      <c r="Z1269" s="4">
        <v>150</v>
      </c>
      <c r="AA1269" s="4">
        <f>=ROUNDDOWN(19.4805194805195,0)</f>
      </c>
      <c r="AB1269" s="5">
        <v>7.7</v>
      </c>
      <c r="AC1269" s="2" t="s">
        <v>559</v>
      </c>
      <c r="AD1269" s="4">
        <v>340</v>
      </c>
      <c r="AE1269" s="4">
        <v>340</v>
      </c>
      <c r="AF1269" s="6">
        <v>67</v>
      </c>
      <c r="AG1269" s="6"/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>
        <v>2</v>
      </c>
      <c r="AQ1269" s="8">
        <v>131.22</v>
      </c>
      <c r="AR1269" s="4"/>
      <c r="AS1269" s="8"/>
      <c r="AT1269" s="7"/>
      <c r="AU1269" s="7"/>
      <c r="AV1269" s="4">
        <v>2</v>
      </c>
      <c r="AW1269" s="8">
        <v>131.22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>
        <v>1</v>
      </c>
      <c r="BC1269" s="4">
        <v>2</v>
      </c>
      <c r="BD1269" s="8">
        <v>131.22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>
        <v>1</v>
      </c>
      <c r="BJ1269" s="4">
        <v>3</v>
      </c>
      <c r="BK1269" s="8">
        <v>191.37</v>
      </c>
      <c r="BL1269" s="2" t="s">
        <v>4108</v>
      </c>
      <c r="BM1269" s="7">
        <v>0.6667</v>
      </c>
      <c r="BN1269" s="7">
        <v>0.6857</v>
      </c>
      <c r="BO1269" s="4">
        <v>2</v>
      </c>
      <c r="BP1269" s="8">
        <v>131.22</v>
      </c>
      <c r="BQ1269" s="4"/>
      <c r="BR1269" s="8"/>
      <c r="BS1269" s="7"/>
      <c r="BT1269" s="7"/>
      <c r="BU1269" s="2" t="s">
        <v>109</v>
      </c>
      <c r="BV1269" s="2" t="s">
        <v>97</v>
      </c>
      <c r="BW1269" s="2" t="s">
        <v>3091</v>
      </c>
      <c r="BX1269" s="2" t="s">
        <v>3758</v>
      </c>
      <c r="BY1269" s="2" t="s">
        <v>112</v>
      </c>
      <c r="BZ1269" s="2" t="s">
        <v>100</v>
      </c>
    </row>
    <row r="1270">
      <c r="A1270" s="2" t="s">
        <v>4109</v>
      </c>
      <c r="B1270" s="2" t="s">
        <v>87</v>
      </c>
      <c r="C1270" s="2" t="s">
        <v>4104</v>
      </c>
      <c r="D1270" s="2" t="s">
        <v>89</v>
      </c>
      <c r="E1270" s="2" t="s">
        <v>2030</v>
      </c>
      <c r="F1270" s="2" t="s">
        <v>4105</v>
      </c>
      <c r="G1270" s="2" t="s">
        <v>4105</v>
      </c>
      <c r="H1270" s="2" t="s">
        <v>4105</v>
      </c>
      <c r="I1270" s="2" t="s">
        <v>4106</v>
      </c>
      <c r="J1270" s="2" t="s">
        <v>795</v>
      </c>
      <c r="K1270" s="2" t="s">
        <v>163</v>
      </c>
      <c r="L1270" s="3">
        <v>77.5</v>
      </c>
      <c r="M1270" s="3">
        <v>81.37</v>
      </c>
      <c r="N1270" s="3">
        <v>154.99</v>
      </c>
      <c r="O1270" s="2" t="s">
        <v>97</v>
      </c>
      <c r="P1270" s="2" t="s">
        <v>98</v>
      </c>
      <c r="Q1270" s="2" t="s">
        <v>99</v>
      </c>
      <c r="R1270" s="2" t="s">
        <v>100</v>
      </c>
      <c r="S1270" s="2" t="s">
        <v>4107</v>
      </c>
      <c r="T1270" s="2" t="s">
        <v>359</v>
      </c>
      <c r="U1270" s="2" t="s">
        <v>1508</v>
      </c>
      <c r="V1270" s="2" t="s">
        <v>734</v>
      </c>
      <c r="W1270" s="2" t="s">
        <v>105</v>
      </c>
      <c r="X1270" s="2" t="s">
        <v>976</v>
      </c>
      <c r="Y1270" s="2" t="s">
        <v>3156</v>
      </c>
      <c r="Z1270" s="4">
        <v>137</v>
      </c>
      <c r="AA1270" s="4">
        <f>=ROUNDDOWN(27.4,0)</f>
      </c>
      <c r="AB1270" s="5">
        <v>5</v>
      </c>
      <c r="AC1270" s="2" t="s">
        <v>287</v>
      </c>
      <c r="AD1270" s="4">
        <v>70</v>
      </c>
      <c r="AE1270" s="4">
        <v>310</v>
      </c>
      <c r="AF1270" s="6">
        <v>67</v>
      </c>
      <c r="AG1270" s="6"/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/>
      <c r="AQ1270" s="8"/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/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 t="s">
        <v>100</v>
      </c>
      <c r="BJ1270" s="4">
        <v>2</v>
      </c>
      <c r="BK1270" s="8">
        <v>152.96</v>
      </c>
      <c r="BL1270" s="2" t="s">
        <v>741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109</v>
      </c>
      <c r="BV1270" s="2" t="s">
        <v>97</v>
      </c>
      <c r="BW1270" s="2" t="s">
        <v>3091</v>
      </c>
      <c r="BX1270" s="2" t="s">
        <v>4102</v>
      </c>
      <c r="BY1270" s="2" t="s">
        <v>112</v>
      </c>
      <c r="BZ1270" s="2" t="s">
        <v>100</v>
      </c>
    </row>
    <row r="1271">
      <c r="A1271" s="2" t="s">
        <v>4110</v>
      </c>
      <c r="B1271" s="2" t="s">
        <v>87</v>
      </c>
      <c r="C1271" s="2" t="s">
        <v>4104</v>
      </c>
      <c r="D1271" s="2" t="s">
        <v>89</v>
      </c>
      <c r="E1271" s="2" t="s">
        <v>2030</v>
      </c>
      <c r="F1271" s="2" t="s">
        <v>4105</v>
      </c>
      <c r="G1271" s="2" t="s">
        <v>4105</v>
      </c>
      <c r="H1271" s="2" t="s">
        <v>4105</v>
      </c>
      <c r="I1271" s="2" t="s">
        <v>4106</v>
      </c>
      <c r="J1271" s="2" t="s">
        <v>785</v>
      </c>
      <c r="K1271" s="2" t="s">
        <v>96</v>
      </c>
      <c r="L1271" s="3">
        <v>62.49</v>
      </c>
      <c r="M1271" s="3">
        <v>65.62</v>
      </c>
      <c r="N1271" s="3">
        <v>124.99</v>
      </c>
      <c r="O1271" s="2" t="s">
        <v>97</v>
      </c>
      <c r="P1271" s="2" t="s">
        <v>383</v>
      </c>
      <c r="Q1271" s="2" t="s">
        <v>99</v>
      </c>
      <c r="R1271" s="2" t="s">
        <v>100</v>
      </c>
      <c r="S1271" s="2" t="s">
        <v>4111</v>
      </c>
      <c r="T1271" s="2" t="s">
        <v>359</v>
      </c>
      <c r="U1271" s="2" t="s">
        <v>1508</v>
      </c>
      <c r="V1271" s="2" t="s">
        <v>734</v>
      </c>
      <c r="W1271" s="2" t="s">
        <v>105</v>
      </c>
      <c r="X1271" s="2" t="s">
        <v>976</v>
      </c>
      <c r="Y1271" s="2" t="s">
        <v>4112</v>
      </c>
      <c r="Z1271" s="4">
        <v>535</v>
      </c>
      <c r="AA1271" s="4">
        <f>=ROUNDDOWN(44.5833333333333,0)</f>
      </c>
      <c r="AB1271" s="5">
        <v>12</v>
      </c>
      <c r="AC1271" s="2" t="s">
        <v>287</v>
      </c>
      <c r="AD1271" s="4">
        <v>160</v>
      </c>
      <c r="AE1271" s="4">
        <v>470</v>
      </c>
      <c r="AF1271" s="6">
        <v>67</v>
      </c>
      <c r="AG1271" s="6"/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13</v>
      </c>
      <c r="BK1271" s="8">
        <v>814</v>
      </c>
      <c r="BL1271" s="2" t="s">
        <v>4113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109</v>
      </c>
      <c r="BV1271" s="2" t="s">
        <v>97</v>
      </c>
      <c r="BW1271" s="2" t="s">
        <v>4114</v>
      </c>
      <c r="BX1271" s="2" t="s">
        <v>3158</v>
      </c>
      <c r="BY1271" s="2" t="s">
        <v>112</v>
      </c>
      <c r="BZ1271" s="2" t="s">
        <v>100</v>
      </c>
    </row>
    <row r="1272">
      <c r="A1272" s="2" t="s">
        <v>4115</v>
      </c>
      <c r="B1272" s="2" t="s">
        <v>87</v>
      </c>
      <c r="C1272" s="2" t="s">
        <v>4104</v>
      </c>
      <c r="D1272" s="2" t="s">
        <v>89</v>
      </c>
      <c r="E1272" s="2" t="s">
        <v>2030</v>
      </c>
      <c r="F1272" s="2" t="s">
        <v>4105</v>
      </c>
      <c r="G1272" s="2" t="s">
        <v>4105</v>
      </c>
      <c r="H1272" s="2" t="s">
        <v>4105</v>
      </c>
      <c r="I1272" s="2" t="s">
        <v>4106</v>
      </c>
      <c r="J1272" s="2" t="s">
        <v>795</v>
      </c>
      <c r="K1272" s="2" t="s">
        <v>96</v>
      </c>
      <c r="L1272" s="3">
        <v>77.5</v>
      </c>
      <c r="M1272" s="3">
        <v>81.37</v>
      </c>
      <c r="N1272" s="3">
        <v>154.99</v>
      </c>
      <c r="O1272" s="2" t="s">
        <v>97</v>
      </c>
      <c r="P1272" s="2" t="s">
        <v>383</v>
      </c>
      <c r="Q1272" s="2" t="s">
        <v>99</v>
      </c>
      <c r="R1272" s="2" t="s">
        <v>100</v>
      </c>
      <c r="S1272" s="2" t="s">
        <v>4111</v>
      </c>
      <c r="T1272" s="2" t="s">
        <v>359</v>
      </c>
      <c r="U1272" s="2" t="s">
        <v>1508</v>
      </c>
      <c r="V1272" s="2" t="s">
        <v>734</v>
      </c>
      <c r="W1272" s="2" t="s">
        <v>105</v>
      </c>
      <c r="X1272" s="2" t="s">
        <v>976</v>
      </c>
      <c r="Y1272" s="2" t="s">
        <v>4112</v>
      </c>
      <c r="Z1272" s="4">
        <v>219</v>
      </c>
      <c r="AA1272" s="4">
        <f>=ROUNDDOWN(31.2857142857143,0)</f>
      </c>
      <c r="AB1272" s="5">
        <v>7</v>
      </c>
      <c r="AC1272" s="2" t="s">
        <v>287</v>
      </c>
      <c r="AD1272" s="4">
        <v>50</v>
      </c>
      <c r="AE1272" s="4">
        <v>410</v>
      </c>
      <c r="AF1272" s="6">
        <v>67</v>
      </c>
      <c r="AG1272" s="6"/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/>
      <c r="AQ1272" s="8"/>
      <c r="AR1272" s="4"/>
      <c r="AS1272" s="8"/>
      <c r="AT1272" s="7"/>
      <c r="AU1272" s="7"/>
      <c r="AV1272" s="4" t="s">
        <v>100</v>
      </c>
      <c r="AW1272" s="8" t="s">
        <v>100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/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 t="s">
        <v>100</v>
      </c>
      <c r="BJ1272" s="4">
        <v>8</v>
      </c>
      <c r="BK1272" s="8">
        <v>635.56</v>
      </c>
      <c r="BL1272" s="2" t="s">
        <v>4116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109</v>
      </c>
      <c r="BV1272" s="2" t="s">
        <v>97</v>
      </c>
      <c r="BW1272" s="2" t="s">
        <v>4114</v>
      </c>
      <c r="BX1272" s="2" t="s">
        <v>4011</v>
      </c>
      <c r="BY1272" s="2" t="s">
        <v>112</v>
      </c>
      <c r="BZ1272" s="2" t="s">
        <v>100</v>
      </c>
    </row>
    <row r="1273">
      <c r="A1273" s="2" t="s">
        <v>4117</v>
      </c>
      <c r="B1273" s="2" t="s">
        <v>87</v>
      </c>
      <c r="C1273" s="2" t="s">
        <v>4104</v>
      </c>
      <c r="D1273" s="2" t="s">
        <v>89</v>
      </c>
      <c r="E1273" s="2" t="s">
        <v>2030</v>
      </c>
      <c r="F1273" s="2" t="s">
        <v>4118</v>
      </c>
      <c r="G1273" s="2" t="s">
        <v>4118</v>
      </c>
      <c r="H1273" s="2" t="s">
        <v>4118</v>
      </c>
      <c r="I1273" s="2" t="s">
        <v>4119</v>
      </c>
      <c r="J1273" s="2" t="s">
        <v>785</v>
      </c>
      <c r="K1273" s="2" t="s">
        <v>4120</v>
      </c>
      <c r="L1273" s="3">
        <v>52.99</v>
      </c>
      <c r="M1273" s="3">
        <v>55.64</v>
      </c>
      <c r="N1273" s="3">
        <v>104.99</v>
      </c>
      <c r="O1273" s="2" t="s">
        <v>97</v>
      </c>
      <c r="P1273" s="2" t="s">
        <v>98</v>
      </c>
      <c r="Q1273" s="2" t="s">
        <v>99</v>
      </c>
      <c r="R1273" s="2" t="s">
        <v>100</v>
      </c>
      <c r="S1273" s="2" t="s">
        <v>4121</v>
      </c>
      <c r="T1273" s="2" t="s">
        <v>359</v>
      </c>
      <c r="U1273" s="2" t="s">
        <v>1508</v>
      </c>
      <c r="V1273" s="2" t="s">
        <v>734</v>
      </c>
      <c r="W1273" s="2" t="s">
        <v>2101</v>
      </c>
      <c r="X1273" s="2" t="s">
        <v>898</v>
      </c>
      <c r="Y1273" s="2" t="s">
        <v>4122</v>
      </c>
      <c r="Z1273" s="4">
        <v>279</v>
      </c>
      <c r="AA1273" s="4">
        <f>=ROUNDDOWN(25.3636363636364,0)</f>
      </c>
      <c r="AB1273" s="5">
        <v>11</v>
      </c>
      <c r="AC1273" s="2" t="s">
        <v>4123</v>
      </c>
      <c r="AD1273" s="4">
        <v>130</v>
      </c>
      <c r="AE1273" s="4">
        <v>280</v>
      </c>
      <c r="AF1273" s="6">
        <v>67</v>
      </c>
      <c r="AG1273" s="6"/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/>
      <c r="AQ1273" s="8"/>
      <c r="AR1273" s="4"/>
      <c r="AS1273" s="8"/>
      <c r="AT1273" s="7"/>
      <c r="AU1273" s="7"/>
      <c r="AV1273" s="4">
        <v>1</v>
      </c>
      <c r="AW1273" s="8">
        <v>78.91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/>
      <c r="BC1273" s="4">
        <v>1</v>
      </c>
      <c r="BD1273" s="8">
        <v>78.91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>
        <v>1</v>
      </c>
      <c r="BJ1273" s="4">
        <v>14</v>
      </c>
      <c r="BK1273" s="8">
        <v>832.4</v>
      </c>
      <c r="BL1273" s="2" t="s">
        <v>4124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109</v>
      </c>
      <c r="BV1273" s="2" t="s">
        <v>97</v>
      </c>
      <c r="BW1273" s="2" t="s">
        <v>110</v>
      </c>
      <c r="BX1273" s="2" t="s">
        <v>4125</v>
      </c>
      <c r="BY1273" s="2" t="s">
        <v>112</v>
      </c>
      <c r="BZ1273" s="2" t="s">
        <v>100</v>
      </c>
    </row>
    <row r="1274">
      <c r="A1274" s="2" t="s">
        <v>4126</v>
      </c>
      <c r="B1274" s="2" t="s">
        <v>87</v>
      </c>
      <c r="C1274" s="2" t="s">
        <v>4104</v>
      </c>
      <c r="D1274" s="2" t="s">
        <v>89</v>
      </c>
      <c r="E1274" s="2" t="s">
        <v>2030</v>
      </c>
      <c r="F1274" s="2" t="s">
        <v>4118</v>
      </c>
      <c r="G1274" s="2" t="s">
        <v>4118</v>
      </c>
      <c r="H1274" s="2" t="s">
        <v>4118</v>
      </c>
      <c r="I1274" s="2" t="s">
        <v>4119</v>
      </c>
      <c r="J1274" s="2" t="s">
        <v>795</v>
      </c>
      <c r="K1274" s="2" t="s">
        <v>4120</v>
      </c>
      <c r="L1274" s="3">
        <v>69</v>
      </c>
      <c r="M1274" s="3">
        <v>72.45</v>
      </c>
      <c r="N1274" s="3">
        <v>134.99</v>
      </c>
      <c r="O1274" s="2" t="s">
        <v>97</v>
      </c>
      <c r="P1274" s="2" t="s">
        <v>98</v>
      </c>
      <c r="Q1274" s="2" t="s">
        <v>99</v>
      </c>
      <c r="R1274" s="2" t="s">
        <v>100</v>
      </c>
      <c r="S1274" s="2" t="s">
        <v>4121</v>
      </c>
      <c r="T1274" s="2" t="s">
        <v>359</v>
      </c>
      <c r="U1274" s="2" t="s">
        <v>1508</v>
      </c>
      <c r="V1274" s="2" t="s">
        <v>734</v>
      </c>
      <c r="W1274" s="2" t="s">
        <v>2101</v>
      </c>
      <c r="X1274" s="2" t="s">
        <v>898</v>
      </c>
      <c r="Y1274" s="2" t="s">
        <v>4122</v>
      </c>
      <c r="Z1274" s="4">
        <v>165</v>
      </c>
      <c r="AA1274" s="4">
        <f>=ROUNDDOWN(10.3125,0)</f>
      </c>
      <c r="AB1274" s="5">
        <v>16</v>
      </c>
      <c r="AC1274" s="2" t="s">
        <v>4123</v>
      </c>
      <c r="AD1274" s="4">
        <v>190</v>
      </c>
      <c r="AE1274" s="4">
        <v>590</v>
      </c>
      <c r="AF1274" s="6">
        <v>67</v>
      </c>
      <c r="AG1274" s="6"/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>
        <v>1</v>
      </c>
      <c r="AQ1274" s="8">
        <v>78.91</v>
      </c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>
        <v>1</v>
      </c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 t="s">
        <v>100</v>
      </c>
      <c r="BJ1274" s="4">
        <v>5</v>
      </c>
      <c r="BK1274" s="8">
        <v>387.63</v>
      </c>
      <c r="BL1274" s="2" t="s">
        <v>1065</v>
      </c>
      <c r="BM1274" s="7">
        <v>0.2</v>
      </c>
      <c r="BN1274" s="7">
        <v>0.2036</v>
      </c>
      <c r="BO1274" s="4">
        <v>1</v>
      </c>
      <c r="BP1274" s="8">
        <v>78.91</v>
      </c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110</v>
      </c>
      <c r="BX1274" s="2" t="s">
        <v>2333</v>
      </c>
      <c r="BY1274" s="2" t="s">
        <v>112</v>
      </c>
      <c r="BZ1274" s="2" t="s">
        <v>100</v>
      </c>
    </row>
    <row r="1275">
      <c r="A1275" s="2" t="s">
        <v>4127</v>
      </c>
      <c r="B1275" s="2" t="s">
        <v>87</v>
      </c>
      <c r="C1275" s="2" t="s">
        <v>4104</v>
      </c>
      <c r="D1275" s="2" t="s">
        <v>89</v>
      </c>
      <c r="E1275" s="2" t="s">
        <v>2030</v>
      </c>
      <c r="F1275" s="2" t="s">
        <v>4118</v>
      </c>
      <c r="G1275" s="2" t="s">
        <v>4118</v>
      </c>
      <c r="H1275" s="2" t="s">
        <v>4118</v>
      </c>
      <c r="I1275" s="2" t="s">
        <v>4119</v>
      </c>
      <c r="J1275" s="2" t="s">
        <v>785</v>
      </c>
      <c r="K1275" s="2" t="s">
        <v>4128</v>
      </c>
      <c r="L1275" s="3">
        <v>52.99</v>
      </c>
      <c r="M1275" s="3">
        <v>55.64</v>
      </c>
      <c r="N1275" s="3">
        <v>104.99</v>
      </c>
      <c r="O1275" s="2" t="s">
        <v>97</v>
      </c>
      <c r="P1275" s="2" t="s">
        <v>242</v>
      </c>
      <c r="Q1275" s="2" t="s">
        <v>99</v>
      </c>
      <c r="R1275" s="2" t="s">
        <v>100</v>
      </c>
      <c r="S1275" s="2" t="s">
        <v>4129</v>
      </c>
      <c r="T1275" s="2" t="s">
        <v>359</v>
      </c>
      <c r="U1275" s="2" t="s">
        <v>1508</v>
      </c>
      <c r="V1275" s="2" t="s">
        <v>734</v>
      </c>
      <c r="W1275" s="2" t="s">
        <v>2101</v>
      </c>
      <c r="X1275" s="2" t="s">
        <v>898</v>
      </c>
      <c r="Y1275" s="2" t="s">
        <v>585</v>
      </c>
      <c r="Z1275" s="4">
        <v>688</v>
      </c>
      <c r="AA1275" s="4">
        <f>=ROUNDDOWN(39.5402298850575,0)</f>
      </c>
      <c r="AB1275" s="5">
        <v>17.4</v>
      </c>
      <c r="AC1275" s="2" t="s">
        <v>100</v>
      </c>
      <c r="AD1275" s="4"/>
      <c r="AE1275" s="4"/>
      <c r="AF1275" s="6">
        <v>67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/>
      <c r="AQ1275" s="8"/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/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 t="s">
        <v>100</v>
      </c>
      <c r="BJ1275" s="4">
        <v>15</v>
      </c>
      <c r="BK1275" s="8">
        <v>917.61</v>
      </c>
      <c r="BL1275" s="2" t="s">
        <v>4130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109</v>
      </c>
      <c r="BV1275" s="2" t="s">
        <v>97</v>
      </c>
      <c r="BW1275" s="2" t="s">
        <v>4114</v>
      </c>
      <c r="BX1275" s="2" t="s">
        <v>3172</v>
      </c>
      <c r="BY1275" s="2" t="s">
        <v>112</v>
      </c>
      <c r="BZ1275" s="2" t="s">
        <v>100</v>
      </c>
    </row>
    <row r="1276">
      <c r="A1276" s="2" t="s">
        <v>4131</v>
      </c>
      <c r="B1276" s="2" t="s">
        <v>87</v>
      </c>
      <c r="C1276" s="2" t="s">
        <v>4104</v>
      </c>
      <c r="D1276" s="2" t="s">
        <v>89</v>
      </c>
      <c r="E1276" s="2" t="s">
        <v>2030</v>
      </c>
      <c r="F1276" s="2" t="s">
        <v>4118</v>
      </c>
      <c r="G1276" s="2" t="s">
        <v>4118</v>
      </c>
      <c r="H1276" s="2" t="s">
        <v>4118</v>
      </c>
      <c r="I1276" s="2" t="s">
        <v>4119</v>
      </c>
      <c r="J1276" s="2" t="s">
        <v>795</v>
      </c>
      <c r="K1276" s="2" t="s">
        <v>4128</v>
      </c>
      <c r="L1276" s="3">
        <v>69</v>
      </c>
      <c r="M1276" s="3">
        <v>72.45</v>
      </c>
      <c r="N1276" s="3">
        <v>134.99</v>
      </c>
      <c r="O1276" s="2" t="s">
        <v>97</v>
      </c>
      <c r="P1276" s="2" t="s">
        <v>242</v>
      </c>
      <c r="Q1276" s="2" t="s">
        <v>99</v>
      </c>
      <c r="R1276" s="2" t="s">
        <v>100</v>
      </c>
      <c r="S1276" s="2" t="s">
        <v>4129</v>
      </c>
      <c r="T1276" s="2" t="s">
        <v>359</v>
      </c>
      <c r="U1276" s="2" t="s">
        <v>1508</v>
      </c>
      <c r="V1276" s="2" t="s">
        <v>734</v>
      </c>
      <c r="W1276" s="2" t="s">
        <v>2101</v>
      </c>
      <c r="X1276" s="2" t="s">
        <v>898</v>
      </c>
      <c r="Y1276" s="2" t="s">
        <v>585</v>
      </c>
      <c r="Z1276" s="4">
        <v>6234</v>
      </c>
      <c r="AA1276" s="4">
        <f>=ROUNDDOWN(185.535714285714,0)</f>
      </c>
      <c r="AB1276" s="5">
        <v>33.6</v>
      </c>
      <c r="AC1276" s="2" t="s">
        <v>100</v>
      </c>
      <c r="AD1276" s="4"/>
      <c r="AE1276" s="4"/>
      <c r="AF1276" s="6">
        <v>67</v>
      </c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/>
      <c r="AQ1276" s="8"/>
      <c r="AR1276" s="4"/>
      <c r="AS1276" s="8"/>
      <c r="AT1276" s="7"/>
      <c r="AU1276" s="7"/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 t="s">
        <v>100</v>
      </c>
      <c r="BJ1276" s="4">
        <v>57</v>
      </c>
      <c r="BK1276" s="8">
        <v>4419.64</v>
      </c>
      <c r="BL1276" s="2" t="s">
        <v>4132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109</v>
      </c>
      <c r="BV1276" s="2" t="s">
        <v>97</v>
      </c>
      <c r="BW1276" s="2" t="s">
        <v>3490</v>
      </c>
      <c r="BX1276" s="2" t="s">
        <v>2569</v>
      </c>
      <c r="BY1276" s="2" t="s">
        <v>112</v>
      </c>
      <c r="BZ1276" s="2" t="s">
        <v>100</v>
      </c>
    </row>
    <row r="1277">
      <c r="A1277" s="2" t="s">
        <v>4133</v>
      </c>
      <c r="B1277" s="2" t="s">
        <v>87</v>
      </c>
      <c r="C1277" s="2" t="s">
        <v>4104</v>
      </c>
      <c r="D1277" s="2" t="s">
        <v>89</v>
      </c>
      <c r="E1277" s="2" t="s">
        <v>2030</v>
      </c>
      <c r="F1277" s="2" t="s">
        <v>4118</v>
      </c>
      <c r="G1277" s="2" t="s">
        <v>4118</v>
      </c>
      <c r="H1277" s="2" t="s">
        <v>4118</v>
      </c>
      <c r="I1277" s="2" t="s">
        <v>4119</v>
      </c>
      <c r="J1277" s="2" t="s">
        <v>785</v>
      </c>
      <c r="K1277" s="2" t="s">
        <v>4134</v>
      </c>
      <c r="L1277" s="3">
        <v>52.99</v>
      </c>
      <c r="M1277" s="3">
        <v>55.64</v>
      </c>
      <c r="N1277" s="3">
        <v>104.99</v>
      </c>
      <c r="O1277" s="2" t="s">
        <v>473</v>
      </c>
      <c r="P1277" s="2" t="s">
        <v>447</v>
      </c>
      <c r="Q1277" s="2" t="s">
        <v>99</v>
      </c>
      <c r="R1277" s="2" t="s">
        <v>100</v>
      </c>
      <c r="S1277" s="2" t="s">
        <v>4135</v>
      </c>
      <c r="T1277" s="2" t="s">
        <v>359</v>
      </c>
      <c r="U1277" s="2" t="s">
        <v>1508</v>
      </c>
      <c r="V1277" s="2" t="s">
        <v>734</v>
      </c>
      <c r="W1277" s="2" t="s">
        <v>2101</v>
      </c>
      <c r="X1277" s="2" t="s">
        <v>898</v>
      </c>
      <c r="Y1277" s="2" t="s">
        <v>4136</v>
      </c>
      <c r="Z1277" s="4">
        <v>419</v>
      </c>
      <c r="AA1277" s="4">
        <f>=ROUNDDOWN(83.8,0)</f>
      </c>
      <c r="AB1277" s="5">
        <v>5</v>
      </c>
      <c r="AC1277" s="2" t="s">
        <v>100</v>
      </c>
      <c r="AD1277" s="4"/>
      <c r="AE1277" s="4"/>
      <c r="AF1277" s="6">
        <v>67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/>
      <c r="AQ1277" s="8"/>
      <c r="AR1277" s="4"/>
      <c r="AS1277" s="8"/>
      <c r="AT1277" s="7"/>
      <c r="AU1277" s="7"/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 t="s">
        <v>100</v>
      </c>
      <c r="BJ1277" s="4">
        <v>5</v>
      </c>
      <c r="BK1277" s="8">
        <v>257.26</v>
      </c>
      <c r="BL1277" s="2" t="s">
        <v>156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3088</v>
      </c>
      <c r="BV1277" s="2" t="s">
        <v>97</v>
      </c>
      <c r="BW1277" s="2" t="s">
        <v>100</v>
      </c>
      <c r="BX1277" s="2" t="s">
        <v>100</v>
      </c>
      <c r="BY1277" s="2" t="s">
        <v>112</v>
      </c>
      <c r="BZ1277" s="2" t="s">
        <v>100</v>
      </c>
    </row>
    <row r="1278">
      <c r="A1278" s="2" t="s">
        <v>4137</v>
      </c>
      <c r="B1278" s="2" t="s">
        <v>87</v>
      </c>
      <c r="C1278" s="2" t="s">
        <v>4104</v>
      </c>
      <c r="D1278" s="2" t="s">
        <v>89</v>
      </c>
      <c r="E1278" s="2" t="s">
        <v>2030</v>
      </c>
      <c r="F1278" s="2" t="s">
        <v>4118</v>
      </c>
      <c r="G1278" s="2" t="s">
        <v>4118</v>
      </c>
      <c r="H1278" s="2" t="s">
        <v>4118</v>
      </c>
      <c r="I1278" s="2" t="s">
        <v>4119</v>
      </c>
      <c r="J1278" s="2" t="s">
        <v>795</v>
      </c>
      <c r="K1278" s="2" t="s">
        <v>4134</v>
      </c>
      <c r="L1278" s="3">
        <v>69</v>
      </c>
      <c r="M1278" s="3">
        <v>72.45</v>
      </c>
      <c r="N1278" s="3">
        <v>134.99</v>
      </c>
      <c r="O1278" s="2" t="s">
        <v>473</v>
      </c>
      <c r="P1278" s="2" t="s">
        <v>447</v>
      </c>
      <c r="Q1278" s="2" t="s">
        <v>99</v>
      </c>
      <c r="R1278" s="2" t="s">
        <v>100</v>
      </c>
      <c r="S1278" s="2" t="s">
        <v>4135</v>
      </c>
      <c r="T1278" s="2" t="s">
        <v>359</v>
      </c>
      <c r="U1278" s="2" t="s">
        <v>1508</v>
      </c>
      <c r="V1278" s="2" t="s">
        <v>734</v>
      </c>
      <c r="W1278" s="2" t="s">
        <v>2101</v>
      </c>
      <c r="X1278" s="2" t="s">
        <v>898</v>
      </c>
      <c r="Y1278" s="2" t="s">
        <v>4136</v>
      </c>
      <c r="Z1278" s="4">
        <v>297</v>
      </c>
      <c r="AA1278" s="4">
        <f>=ROUNDDOWN(49.5,0)</f>
      </c>
      <c r="AB1278" s="5">
        <v>6</v>
      </c>
      <c r="AC1278" s="2" t="s">
        <v>100</v>
      </c>
      <c r="AD1278" s="4"/>
      <c r="AE1278" s="4"/>
      <c r="AF1278" s="6">
        <v>67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1</v>
      </c>
      <c r="BK1278" s="8">
        <v>37.21</v>
      </c>
      <c r="BL1278" s="2" t="s">
        <v>210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3088</v>
      </c>
      <c r="BV1278" s="2" t="s">
        <v>97</v>
      </c>
      <c r="BW1278" s="2" t="s">
        <v>100</v>
      </c>
      <c r="BX1278" s="2" t="s">
        <v>100</v>
      </c>
      <c r="BY1278" s="2" t="s">
        <v>112</v>
      </c>
      <c r="BZ1278" s="2" t="s">
        <v>100</v>
      </c>
    </row>
    <row r="1279">
      <c r="A1279" s="2" t="s">
        <v>4138</v>
      </c>
      <c r="B1279" s="2" t="s">
        <v>87</v>
      </c>
      <c r="C1279" s="2" t="s">
        <v>4104</v>
      </c>
      <c r="D1279" s="2" t="s">
        <v>89</v>
      </c>
      <c r="E1279" s="2" t="s">
        <v>2030</v>
      </c>
      <c r="F1279" s="2" t="s">
        <v>4139</v>
      </c>
      <c r="G1279" s="2" t="s">
        <v>4139</v>
      </c>
      <c r="H1279" s="2" t="s">
        <v>4139</v>
      </c>
      <c r="I1279" s="2" t="s">
        <v>4140</v>
      </c>
      <c r="J1279" s="2" t="s">
        <v>785</v>
      </c>
      <c r="K1279" s="2" t="s">
        <v>163</v>
      </c>
      <c r="L1279" s="3">
        <v>59.85</v>
      </c>
      <c r="M1279" s="3">
        <v>62.84</v>
      </c>
      <c r="N1279" s="3">
        <v>129.99</v>
      </c>
      <c r="O1279" s="2" t="s">
        <v>97</v>
      </c>
      <c r="P1279" s="2" t="s">
        <v>242</v>
      </c>
      <c r="Q1279" s="2" t="s">
        <v>99</v>
      </c>
      <c r="R1279" s="2" t="s">
        <v>100</v>
      </c>
      <c r="S1279" s="2" t="s">
        <v>4141</v>
      </c>
      <c r="T1279" s="2" t="s">
        <v>359</v>
      </c>
      <c r="U1279" s="2" t="s">
        <v>1508</v>
      </c>
      <c r="V1279" s="2" t="s">
        <v>4142</v>
      </c>
      <c r="W1279" s="2" t="s">
        <v>1064</v>
      </c>
      <c r="X1279" s="2" t="s">
        <v>788</v>
      </c>
      <c r="Y1279" s="2" t="s">
        <v>3161</v>
      </c>
      <c r="Z1279" s="4">
        <v>628</v>
      </c>
      <c r="AA1279" s="4">
        <f>=ROUNDDOWN(39.25,0)</f>
      </c>
      <c r="AB1279" s="5">
        <v>16</v>
      </c>
      <c r="AC1279" s="2" t="s">
        <v>553</v>
      </c>
      <c r="AD1279" s="4">
        <v>240</v>
      </c>
      <c r="AE1279" s="4">
        <v>400</v>
      </c>
      <c r="AF1279" s="6">
        <v>66</v>
      </c>
      <c r="AG1279" s="6">
        <v>74</v>
      </c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>
        <v>1</v>
      </c>
      <c r="AQ1279" s="8">
        <v>68.69</v>
      </c>
      <c r="AR1279" s="4"/>
      <c r="AS1279" s="8"/>
      <c r="AT1279" s="7"/>
      <c r="AU1279" s="7"/>
      <c r="AV1279" s="4">
        <v>1</v>
      </c>
      <c r="AW1279" s="8">
        <v>68.69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>
        <v>1</v>
      </c>
      <c r="BC1279" s="4">
        <v>1</v>
      </c>
      <c r="BD1279" s="8">
        <v>68.69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>
        <v>1</v>
      </c>
      <c r="BJ1279" s="4">
        <v>10</v>
      </c>
      <c r="BK1279" s="8">
        <v>674.33</v>
      </c>
      <c r="BL1279" s="2" t="s">
        <v>4143</v>
      </c>
      <c r="BM1279" s="7">
        <v>0.1</v>
      </c>
      <c r="BN1279" s="7">
        <v>0.1019</v>
      </c>
      <c r="BO1279" s="4">
        <v>1</v>
      </c>
      <c r="BP1279" s="8">
        <v>68.69</v>
      </c>
      <c r="BQ1279" s="4"/>
      <c r="BR1279" s="8"/>
      <c r="BS1279" s="7"/>
      <c r="BT1279" s="7"/>
      <c r="BU1279" s="2" t="s">
        <v>109</v>
      </c>
      <c r="BV1279" s="2" t="s">
        <v>97</v>
      </c>
      <c r="BW1279" s="2" t="s">
        <v>3091</v>
      </c>
      <c r="BX1279" s="2" t="s">
        <v>1661</v>
      </c>
      <c r="BY1279" s="2" t="s">
        <v>112</v>
      </c>
      <c r="BZ1279" s="2" t="s">
        <v>100</v>
      </c>
    </row>
    <row r="1280">
      <c r="A1280" s="2" t="s">
        <v>4144</v>
      </c>
      <c r="B1280" s="2" t="s">
        <v>87</v>
      </c>
      <c r="C1280" s="2" t="s">
        <v>4104</v>
      </c>
      <c r="D1280" s="2" t="s">
        <v>89</v>
      </c>
      <c r="E1280" s="2" t="s">
        <v>2030</v>
      </c>
      <c r="F1280" s="2" t="s">
        <v>4139</v>
      </c>
      <c r="G1280" s="2" t="s">
        <v>4139</v>
      </c>
      <c r="H1280" s="2" t="s">
        <v>4139</v>
      </c>
      <c r="I1280" s="2" t="s">
        <v>4140</v>
      </c>
      <c r="J1280" s="2" t="s">
        <v>795</v>
      </c>
      <c r="K1280" s="2" t="s">
        <v>163</v>
      </c>
      <c r="L1280" s="3">
        <v>74.29</v>
      </c>
      <c r="M1280" s="3">
        <v>78</v>
      </c>
      <c r="N1280" s="3">
        <v>159.99</v>
      </c>
      <c r="O1280" s="2" t="s">
        <v>97</v>
      </c>
      <c r="P1280" s="2" t="s">
        <v>242</v>
      </c>
      <c r="Q1280" s="2" t="s">
        <v>99</v>
      </c>
      <c r="R1280" s="2" t="s">
        <v>100</v>
      </c>
      <c r="S1280" s="2" t="s">
        <v>4141</v>
      </c>
      <c r="T1280" s="2" t="s">
        <v>359</v>
      </c>
      <c r="U1280" s="2" t="s">
        <v>1508</v>
      </c>
      <c r="V1280" s="2" t="s">
        <v>4142</v>
      </c>
      <c r="W1280" s="2" t="s">
        <v>1064</v>
      </c>
      <c r="X1280" s="2" t="s">
        <v>788</v>
      </c>
      <c r="Y1280" s="2" t="s">
        <v>3161</v>
      </c>
      <c r="Z1280" s="4">
        <v>718</v>
      </c>
      <c r="AA1280" s="4">
        <f>=ROUNDDOWN(44.875,0)</f>
      </c>
      <c r="AB1280" s="5">
        <v>16</v>
      </c>
      <c r="AC1280" s="2" t="s">
        <v>559</v>
      </c>
      <c r="AD1280" s="4">
        <v>350</v>
      </c>
      <c r="AE1280" s="4">
        <v>450</v>
      </c>
      <c r="AF1280" s="6">
        <v>66</v>
      </c>
      <c r="AG1280" s="6">
        <v>74</v>
      </c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/>
      <c r="AQ1280" s="8"/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/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 t="s">
        <v>100</v>
      </c>
      <c r="BJ1280" s="4">
        <v>19</v>
      </c>
      <c r="BK1280" s="8">
        <v>1550.87</v>
      </c>
      <c r="BL1280" s="2" t="s">
        <v>4145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3091</v>
      </c>
      <c r="BX1280" s="2" t="s">
        <v>4146</v>
      </c>
      <c r="BY1280" s="2" t="s">
        <v>112</v>
      </c>
      <c r="BZ1280" s="2" t="s">
        <v>100</v>
      </c>
    </row>
    <row r="1281">
      <c r="A1281" s="2" t="s">
        <v>4147</v>
      </c>
      <c r="B1281" s="2" t="s">
        <v>87</v>
      </c>
      <c r="C1281" s="2" t="s">
        <v>4104</v>
      </c>
      <c r="D1281" s="2" t="s">
        <v>89</v>
      </c>
      <c r="E1281" s="2" t="s">
        <v>2030</v>
      </c>
      <c r="F1281" s="2" t="s">
        <v>4139</v>
      </c>
      <c r="G1281" s="2" t="s">
        <v>4139</v>
      </c>
      <c r="H1281" s="2" t="s">
        <v>4139</v>
      </c>
      <c r="I1281" s="2" t="s">
        <v>4140</v>
      </c>
      <c r="J1281" s="2" t="s">
        <v>785</v>
      </c>
      <c r="K1281" s="2" t="s">
        <v>4148</v>
      </c>
      <c r="L1281" s="3">
        <v>59.85</v>
      </c>
      <c r="M1281" s="3">
        <v>62.84</v>
      </c>
      <c r="N1281" s="3">
        <v>129.99</v>
      </c>
      <c r="O1281" s="2" t="s">
        <v>97</v>
      </c>
      <c r="P1281" s="2" t="s">
        <v>447</v>
      </c>
      <c r="Q1281" s="2" t="s">
        <v>99</v>
      </c>
      <c r="R1281" s="2" t="s">
        <v>100</v>
      </c>
      <c r="S1281" s="2" t="s">
        <v>4149</v>
      </c>
      <c r="T1281" s="2" t="s">
        <v>359</v>
      </c>
      <c r="U1281" s="2" t="s">
        <v>1508</v>
      </c>
      <c r="V1281" s="2" t="s">
        <v>4142</v>
      </c>
      <c r="W1281" s="2" t="s">
        <v>1064</v>
      </c>
      <c r="X1281" s="2" t="s">
        <v>788</v>
      </c>
      <c r="Y1281" s="2" t="s">
        <v>4150</v>
      </c>
      <c r="Z1281" s="4">
        <v>203</v>
      </c>
      <c r="AA1281" s="4">
        <f>=ROUNDDOWN(40.6,0)</f>
      </c>
      <c r="AB1281" s="5">
        <v>5</v>
      </c>
      <c r="AC1281" s="2" t="s">
        <v>100</v>
      </c>
      <c r="AD1281" s="4"/>
      <c r="AE1281" s="4"/>
      <c r="AF1281" s="6">
        <v>66</v>
      </c>
      <c r="AG1281" s="6"/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/>
      <c r="AQ1281" s="8"/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/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/>
      <c r="BK1281" s="8"/>
      <c r="BL1281" s="2" t="s">
        <v>100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3088</v>
      </c>
      <c r="BV1281" s="2" t="s">
        <v>97</v>
      </c>
      <c r="BW1281" s="2" t="s">
        <v>100</v>
      </c>
      <c r="BX1281" s="2" t="s">
        <v>100</v>
      </c>
      <c r="BY1281" s="2" t="s">
        <v>112</v>
      </c>
      <c r="BZ1281" s="2" t="s">
        <v>100</v>
      </c>
    </row>
    <row r="1282">
      <c r="A1282" s="2" t="s">
        <v>4151</v>
      </c>
      <c r="B1282" s="2" t="s">
        <v>87</v>
      </c>
      <c r="C1282" s="2" t="s">
        <v>4104</v>
      </c>
      <c r="D1282" s="2" t="s">
        <v>89</v>
      </c>
      <c r="E1282" s="2" t="s">
        <v>2030</v>
      </c>
      <c r="F1282" s="2" t="s">
        <v>4139</v>
      </c>
      <c r="G1282" s="2" t="s">
        <v>4139</v>
      </c>
      <c r="H1282" s="2" t="s">
        <v>4139</v>
      </c>
      <c r="I1282" s="2" t="s">
        <v>4140</v>
      </c>
      <c r="J1282" s="2" t="s">
        <v>795</v>
      </c>
      <c r="K1282" s="2" t="s">
        <v>4148</v>
      </c>
      <c r="L1282" s="3">
        <v>74.29</v>
      </c>
      <c r="M1282" s="3">
        <v>78</v>
      </c>
      <c r="N1282" s="3">
        <v>159.99</v>
      </c>
      <c r="O1282" s="2" t="s">
        <v>97</v>
      </c>
      <c r="P1282" s="2" t="s">
        <v>447</v>
      </c>
      <c r="Q1282" s="2" t="s">
        <v>99</v>
      </c>
      <c r="R1282" s="2" t="s">
        <v>100</v>
      </c>
      <c r="S1282" s="2" t="s">
        <v>4149</v>
      </c>
      <c r="T1282" s="2" t="s">
        <v>359</v>
      </c>
      <c r="U1282" s="2" t="s">
        <v>1508</v>
      </c>
      <c r="V1282" s="2" t="s">
        <v>4142</v>
      </c>
      <c r="W1282" s="2" t="s">
        <v>1064</v>
      </c>
      <c r="X1282" s="2" t="s">
        <v>788</v>
      </c>
      <c r="Y1282" s="2" t="s">
        <v>4150</v>
      </c>
      <c r="Z1282" s="4">
        <v>234</v>
      </c>
      <c r="AA1282" s="4">
        <f>=ROUNDDOWN(39,0)</f>
      </c>
      <c r="AB1282" s="5">
        <v>6</v>
      </c>
      <c r="AC1282" s="2" t="s">
        <v>100</v>
      </c>
      <c r="AD1282" s="4"/>
      <c r="AE1282" s="4"/>
      <c r="AF1282" s="6">
        <v>66</v>
      </c>
      <c r="AG1282" s="6"/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/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 t="s">
        <v>100</v>
      </c>
      <c r="BJ1282" s="4">
        <v>1</v>
      </c>
      <c r="BK1282" s="8">
        <v>85.43</v>
      </c>
      <c r="BL1282" s="2" t="s">
        <v>625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3088</v>
      </c>
      <c r="BV1282" s="2" t="s">
        <v>97</v>
      </c>
      <c r="BW1282" s="2" t="s">
        <v>100</v>
      </c>
      <c r="BX1282" s="2" t="s">
        <v>100</v>
      </c>
      <c r="BY1282" s="2" t="s">
        <v>112</v>
      </c>
      <c r="BZ1282" s="2" t="s">
        <v>100</v>
      </c>
    </row>
    <row r="1283">
      <c r="A1283" s="2" t="s">
        <v>4152</v>
      </c>
      <c r="B1283" s="2" t="s">
        <v>87</v>
      </c>
      <c r="C1283" s="2" t="s">
        <v>4104</v>
      </c>
      <c r="D1283" s="2" t="s">
        <v>89</v>
      </c>
      <c r="E1283" s="2" t="s">
        <v>2030</v>
      </c>
      <c r="F1283" s="2" t="s">
        <v>4139</v>
      </c>
      <c r="G1283" s="2" t="s">
        <v>4139</v>
      </c>
      <c r="H1283" s="2" t="s">
        <v>4139</v>
      </c>
      <c r="I1283" s="2" t="s">
        <v>4140</v>
      </c>
      <c r="J1283" s="2" t="s">
        <v>785</v>
      </c>
      <c r="K1283" s="2" t="s">
        <v>1263</v>
      </c>
      <c r="L1283" s="3">
        <v>59.85</v>
      </c>
      <c r="M1283" s="3">
        <v>62.84</v>
      </c>
      <c r="N1283" s="3">
        <v>129.99</v>
      </c>
      <c r="O1283" s="2" t="s">
        <v>97</v>
      </c>
      <c r="P1283" s="2" t="s">
        <v>98</v>
      </c>
      <c r="Q1283" s="2" t="s">
        <v>99</v>
      </c>
      <c r="R1283" s="2" t="s">
        <v>100</v>
      </c>
      <c r="S1283" s="2" t="s">
        <v>4153</v>
      </c>
      <c r="T1283" s="2" t="s">
        <v>359</v>
      </c>
      <c r="U1283" s="2" t="s">
        <v>1508</v>
      </c>
      <c r="V1283" s="2" t="s">
        <v>4142</v>
      </c>
      <c r="W1283" s="2" t="s">
        <v>1064</v>
      </c>
      <c r="X1283" s="2" t="s">
        <v>788</v>
      </c>
      <c r="Y1283" s="2" t="s">
        <v>4154</v>
      </c>
      <c r="Z1283" s="4">
        <v>280</v>
      </c>
      <c r="AA1283" s="4">
        <f>=ROUNDDOWN(93.3333333333333,0)</f>
      </c>
      <c r="AB1283" s="5">
        <v>3</v>
      </c>
      <c r="AC1283" s="2" t="s">
        <v>680</v>
      </c>
      <c r="AD1283" s="4">
        <v>155</v>
      </c>
      <c r="AE1283" s="4">
        <v>155</v>
      </c>
      <c r="AF1283" s="6">
        <v>66</v>
      </c>
      <c r="AG1283" s="6"/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/>
      <c r="AQ1283" s="8"/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/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 t="s">
        <v>100</v>
      </c>
      <c r="BJ1283" s="4">
        <v>1</v>
      </c>
      <c r="BK1283" s="8">
        <v>64.83</v>
      </c>
      <c r="BL1283" s="2" t="s">
        <v>715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3088</v>
      </c>
      <c r="BV1283" s="2" t="s">
        <v>97</v>
      </c>
      <c r="BW1283" s="2" t="s">
        <v>100</v>
      </c>
      <c r="BX1283" s="2" t="s">
        <v>100</v>
      </c>
      <c r="BY1283" s="2" t="s">
        <v>112</v>
      </c>
      <c r="BZ1283" s="2" t="s">
        <v>100</v>
      </c>
    </row>
    <row r="1284">
      <c r="A1284" s="2" t="s">
        <v>4155</v>
      </c>
      <c r="B1284" s="2" t="s">
        <v>87</v>
      </c>
      <c r="C1284" s="2" t="s">
        <v>4104</v>
      </c>
      <c r="D1284" s="2" t="s">
        <v>89</v>
      </c>
      <c r="E1284" s="2" t="s">
        <v>2030</v>
      </c>
      <c r="F1284" s="2" t="s">
        <v>4139</v>
      </c>
      <c r="G1284" s="2" t="s">
        <v>4139</v>
      </c>
      <c r="H1284" s="2" t="s">
        <v>4139</v>
      </c>
      <c r="I1284" s="2" t="s">
        <v>4140</v>
      </c>
      <c r="J1284" s="2" t="s">
        <v>795</v>
      </c>
      <c r="K1284" s="2" t="s">
        <v>1263</v>
      </c>
      <c r="L1284" s="3">
        <v>74.29</v>
      </c>
      <c r="M1284" s="3">
        <v>78</v>
      </c>
      <c r="N1284" s="3">
        <v>159.99</v>
      </c>
      <c r="O1284" s="2" t="s">
        <v>97</v>
      </c>
      <c r="P1284" s="2" t="s">
        <v>98</v>
      </c>
      <c r="Q1284" s="2" t="s">
        <v>99</v>
      </c>
      <c r="R1284" s="2" t="s">
        <v>100</v>
      </c>
      <c r="S1284" s="2" t="s">
        <v>4153</v>
      </c>
      <c r="T1284" s="2" t="s">
        <v>359</v>
      </c>
      <c r="U1284" s="2" t="s">
        <v>1508</v>
      </c>
      <c r="V1284" s="2" t="s">
        <v>4142</v>
      </c>
      <c r="W1284" s="2" t="s">
        <v>1064</v>
      </c>
      <c r="X1284" s="2" t="s">
        <v>788</v>
      </c>
      <c r="Y1284" s="2" t="s">
        <v>4154</v>
      </c>
      <c r="Z1284" s="4">
        <v>309</v>
      </c>
      <c r="AA1284" s="4">
        <f>=ROUNDDOWN(38.625,0)</f>
      </c>
      <c r="AB1284" s="5">
        <v>8</v>
      </c>
      <c r="AC1284" s="2" t="s">
        <v>680</v>
      </c>
      <c r="AD1284" s="4">
        <v>187</v>
      </c>
      <c r="AE1284" s="4">
        <v>187</v>
      </c>
      <c r="AF1284" s="6">
        <v>66</v>
      </c>
      <c r="AG1284" s="6"/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/>
      <c r="AQ1284" s="8"/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/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2</v>
      </c>
      <c r="BK1284" s="8">
        <v>179.86</v>
      </c>
      <c r="BL1284" s="2" t="s">
        <v>1356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3088</v>
      </c>
      <c r="BV1284" s="2" t="s">
        <v>97</v>
      </c>
      <c r="BW1284" s="2" t="s">
        <v>100</v>
      </c>
      <c r="BX1284" s="2" t="s">
        <v>100</v>
      </c>
      <c r="BY1284" s="2" t="s">
        <v>112</v>
      </c>
      <c r="BZ1284" s="2" t="s">
        <v>100</v>
      </c>
    </row>
    <row r="1285">
      <c r="A1285" s="2" t="s">
        <v>4156</v>
      </c>
      <c r="B1285" s="2" t="s">
        <v>87</v>
      </c>
      <c r="C1285" s="2" t="s">
        <v>4104</v>
      </c>
      <c r="D1285" s="2" t="s">
        <v>89</v>
      </c>
      <c r="E1285" s="2" t="s">
        <v>2030</v>
      </c>
      <c r="F1285" s="2" t="s">
        <v>4139</v>
      </c>
      <c r="G1285" s="2" t="s">
        <v>4139</v>
      </c>
      <c r="H1285" s="2" t="s">
        <v>4139</v>
      </c>
      <c r="I1285" s="2" t="s">
        <v>4140</v>
      </c>
      <c r="J1285" s="2" t="s">
        <v>785</v>
      </c>
      <c r="K1285" s="2" t="s">
        <v>175</v>
      </c>
      <c r="L1285" s="3">
        <v>59.85</v>
      </c>
      <c r="M1285" s="3">
        <v>62.84</v>
      </c>
      <c r="N1285" s="3">
        <v>129.99</v>
      </c>
      <c r="O1285" s="2" t="s">
        <v>97</v>
      </c>
      <c r="P1285" s="2" t="s">
        <v>242</v>
      </c>
      <c r="Q1285" s="2" t="s">
        <v>99</v>
      </c>
      <c r="R1285" s="2" t="s">
        <v>100</v>
      </c>
      <c r="S1285" s="2" t="s">
        <v>4157</v>
      </c>
      <c r="T1285" s="2" t="s">
        <v>359</v>
      </c>
      <c r="U1285" s="2" t="s">
        <v>1508</v>
      </c>
      <c r="V1285" s="2" t="s">
        <v>4142</v>
      </c>
      <c r="W1285" s="2" t="s">
        <v>1064</v>
      </c>
      <c r="X1285" s="2" t="s">
        <v>646</v>
      </c>
      <c r="Y1285" s="2" t="s">
        <v>4158</v>
      </c>
      <c r="Z1285" s="4">
        <v>788</v>
      </c>
      <c r="AA1285" s="4">
        <f>=ROUNDDOWN(71.6363636363636,0)</f>
      </c>
      <c r="AB1285" s="5">
        <v>11</v>
      </c>
      <c r="AC1285" s="2" t="s">
        <v>559</v>
      </c>
      <c r="AD1285" s="4">
        <v>180</v>
      </c>
      <c r="AE1285" s="4">
        <v>300</v>
      </c>
      <c r="AF1285" s="6">
        <v>66</v>
      </c>
      <c r="AG1285" s="6">
        <v>74</v>
      </c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 t="s">
        <v>100</v>
      </c>
      <c r="BJ1285" s="4">
        <v>6</v>
      </c>
      <c r="BK1285" s="8">
        <v>407.11</v>
      </c>
      <c r="BL1285" s="2" t="s">
        <v>4159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109</v>
      </c>
      <c r="BV1285" s="2" t="s">
        <v>97</v>
      </c>
      <c r="BW1285" s="2" t="s">
        <v>266</v>
      </c>
      <c r="BX1285" s="2" t="s">
        <v>2448</v>
      </c>
      <c r="BY1285" s="2" t="s">
        <v>112</v>
      </c>
      <c r="BZ1285" s="2" t="s">
        <v>100</v>
      </c>
    </row>
    <row r="1286">
      <c r="A1286" s="2" t="s">
        <v>4160</v>
      </c>
      <c r="B1286" s="2" t="s">
        <v>87</v>
      </c>
      <c r="C1286" s="2" t="s">
        <v>4104</v>
      </c>
      <c r="D1286" s="2" t="s">
        <v>89</v>
      </c>
      <c r="E1286" s="2" t="s">
        <v>2030</v>
      </c>
      <c r="F1286" s="2" t="s">
        <v>4139</v>
      </c>
      <c r="G1286" s="2" t="s">
        <v>4139</v>
      </c>
      <c r="H1286" s="2" t="s">
        <v>4139</v>
      </c>
      <c r="I1286" s="2" t="s">
        <v>4140</v>
      </c>
      <c r="J1286" s="2" t="s">
        <v>795</v>
      </c>
      <c r="K1286" s="2" t="s">
        <v>175</v>
      </c>
      <c r="L1286" s="3">
        <v>74.29</v>
      </c>
      <c r="M1286" s="3">
        <v>78</v>
      </c>
      <c r="N1286" s="3">
        <v>159.99</v>
      </c>
      <c r="O1286" s="2" t="s">
        <v>97</v>
      </c>
      <c r="P1286" s="2" t="s">
        <v>242</v>
      </c>
      <c r="Q1286" s="2" t="s">
        <v>99</v>
      </c>
      <c r="R1286" s="2" t="s">
        <v>100</v>
      </c>
      <c r="S1286" s="2" t="s">
        <v>4157</v>
      </c>
      <c r="T1286" s="2" t="s">
        <v>359</v>
      </c>
      <c r="U1286" s="2" t="s">
        <v>1508</v>
      </c>
      <c r="V1286" s="2" t="s">
        <v>4142</v>
      </c>
      <c r="W1286" s="2" t="s">
        <v>1064</v>
      </c>
      <c r="X1286" s="2" t="s">
        <v>646</v>
      </c>
      <c r="Y1286" s="2" t="s">
        <v>4158</v>
      </c>
      <c r="Z1286" s="4">
        <v>916</v>
      </c>
      <c r="AA1286" s="4">
        <f>=ROUNDDOWN(50.8888888888889,0)</f>
      </c>
      <c r="AB1286" s="5">
        <v>18</v>
      </c>
      <c r="AC1286" s="2" t="s">
        <v>559</v>
      </c>
      <c r="AD1286" s="4">
        <v>430</v>
      </c>
      <c r="AE1286" s="4">
        <v>570</v>
      </c>
      <c r="AF1286" s="6">
        <v>66</v>
      </c>
      <c r="AG1286" s="6">
        <v>74</v>
      </c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/>
      <c r="AQ1286" s="8"/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 t="s">
        <v>100</v>
      </c>
      <c r="BJ1286" s="4">
        <v>6</v>
      </c>
      <c r="BK1286" s="8">
        <v>519.95</v>
      </c>
      <c r="BL1286" s="2" t="s">
        <v>4161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266</v>
      </c>
      <c r="BX1286" s="2" t="s">
        <v>295</v>
      </c>
      <c r="BY1286" s="2" t="s">
        <v>112</v>
      </c>
      <c r="BZ1286" s="2" t="s">
        <v>100</v>
      </c>
    </row>
    <row r="1287">
      <c r="A1287" s="2" t="s">
        <v>4162</v>
      </c>
      <c r="B1287" s="2" t="s">
        <v>87</v>
      </c>
      <c r="C1287" s="2" t="s">
        <v>4104</v>
      </c>
      <c r="D1287" s="2" t="s">
        <v>89</v>
      </c>
      <c r="E1287" s="2" t="s">
        <v>2030</v>
      </c>
      <c r="F1287" s="2" t="s">
        <v>4163</v>
      </c>
      <c r="G1287" s="2" t="s">
        <v>4163</v>
      </c>
      <c r="H1287" s="2" t="s">
        <v>4163</v>
      </c>
      <c r="I1287" s="2" t="s">
        <v>4164</v>
      </c>
      <c r="J1287" s="2" t="s">
        <v>785</v>
      </c>
      <c r="K1287" s="2" t="s">
        <v>163</v>
      </c>
      <c r="L1287" s="3">
        <v>54</v>
      </c>
      <c r="M1287" s="3">
        <v>56.7</v>
      </c>
      <c r="N1287" s="3">
        <v>109.99</v>
      </c>
      <c r="O1287" s="2" t="s">
        <v>97</v>
      </c>
      <c r="P1287" s="2" t="s">
        <v>242</v>
      </c>
      <c r="Q1287" s="2" t="s">
        <v>99</v>
      </c>
      <c r="R1287" s="2" t="s">
        <v>100</v>
      </c>
      <c r="S1287" s="2" t="s">
        <v>4165</v>
      </c>
      <c r="T1287" s="2" t="s">
        <v>359</v>
      </c>
      <c r="U1287" s="2" t="s">
        <v>1508</v>
      </c>
      <c r="V1287" s="2" t="s">
        <v>4166</v>
      </c>
      <c r="W1287" s="2" t="s">
        <v>2101</v>
      </c>
      <c r="X1287" s="2" t="s">
        <v>499</v>
      </c>
      <c r="Y1287" s="2" t="s">
        <v>131</v>
      </c>
      <c r="Z1287" s="4">
        <v>404</v>
      </c>
      <c r="AA1287" s="4">
        <f>=ROUNDDOWN(22.4444444444444,0)</f>
      </c>
      <c r="AB1287" s="5">
        <v>18</v>
      </c>
      <c r="AC1287" s="2" t="s">
        <v>1962</v>
      </c>
      <c r="AD1287" s="4">
        <v>199</v>
      </c>
      <c r="AE1287" s="4">
        <v>569</v>
      </c>
      <c r="AF1287" s="6">
        <v>65</v>
      </c>
      <c r="AG1287" s="6">
        <v>73</v>
      </c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>
        <v>1</v>
      </c>
      <c r="AQ1287" s="8">
        <v>64.58</v>
      </c>
      <c r="AR1287" s="4"/>
      <c r="AS1287" s="8"/>
      <c r="AT1287" s="7"/>
      <c r="AU1287" s="7"/>
      <c r="AV1287" s="4">
        <v>1</v>
      </c>
      <c r="AW1287" s="8">
        <v>64.58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>
        <v>1</v>
      </c>
      <c r="BC1287" s="4">
        <v>1</v>
      </c>
      <c r="BD1287" s="8">
        <v>64.58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>
        <v>1</v>
      </c>
      <c r="BJ1287" s="4">
        <v>12</v>
      </c>
      <c r="BK1287" s="8">
        <v>761.56</v>
      </c>
      <c r="BL1287" s="2" t="s">
        <v>4167</v>
      </c>
      <c r="BM1287" s="7">
        <v>0.0833</v>
      </c>
      <c r="BN1287" s="7">
        <v>0.0848</v>
      </c>
      <c r="BO1287" s="4">
        <v>1</v>
      </c>
      <c r="BP1287" s="8">
        <v>64.58</v>
      </c>
      <c r="BQ1287" s="4"/>
      <c r="BR1287" s="8"/>
      <c r="BS1287" s="7"/>
      <c r="BT1287" s="7"/>
      <c r="BU1287" s="2" t="s">
        <v>109</v>
      </c>
      <c r="BV1287" s="2" t="s">
        <v>97</v>
      </c>
      <c r="BW1287" s="2" t="s">
        <v>4168</v>
      </c>
      <c r="BX1287" s="2" t="s">
        <v>4169</v>
      </c>
      <c r="BY1287" s="2" t="s">
        <v>112</v>
      </c>
      <c r="BZ1287" s="2" t="s">
        <v>100</v>
      </c>
    </row>
    <row r="1288">
      <c r="A1288" s="2" t="s">
        <v>4170</v>
      </c>
      <c r="B1288" s="2" t="s">
        <v>87</v>
      </c>
      <c r="C1288" s="2" t="s">
        <v>4104</v>
      </c>
      <c r="D1288" s="2" t="s">
        <v>89</v>
      </c>
      <c r="E1288" s="2" t="s">
        <v>2030</v>
      </c>
      <c r="F1288" s="2" t="s">
        <v>4163</v>
      </c>
      <c r="G1288" s="2" t="s">
        <v>4163</v>
      </c>
      <c r="H1288" s="2" t="s">
        <v>4163</v>
      </c>
      <c r="I1288" s="2" t="s">
        <v>4164</v>
      </c>
      <c r="J1288" s="2" t="s">
        <v>795</v>
      </c>
      <c r="K1288" s="2" t="s">
        <v>163</v>
      </c>
      <c r="L1288" s="3">
        <v>67.5</v>
      </c>
      <c r="M1288" s="3">
        <v>70.88</v>
      </c>
      <c r="N1288" s="3">
        <v>139.99</v>
      </c>
      <c r="O1288" s="2" t="s">
        <v>97</v>
      </c>
      <c r="P1288" s="2" t="s">
        <v>242</v>
      </c>
      <c r="Q1288" s="2" t="s">
        <v>99</v>
      </c>
      <c r="R1288" s="2" t="s">
        <v>100</v>
      </c>
      <c r="S1288" s="2" t="s">
        <v>4165</v>
      </c>
      <c r="T1288" s="2" t="s">
        <v>359</v>
      </c>
      <c r="U1288" s="2" t="s">
        <v>1508</v>
      </c>
      <c r="V1288" s="2" t="s">
        <v>4166</v>
      </c>
      <c r="W1288" s="2" t="s">
        <v>2101</v>
      </c>
      <c r="X1288" s="2" t="s">
        <v>499</v>
      </c>
      <c r="Y1288" s="2" t="s">
        <v>131</v>
      </c>
      <c r="Z1288" s="4">
        <v>452</v>
      </c>
      <c r="AA1288" s="4">
        <f>=ROUNDDOWN(25.1111111111111,0)</f>
      </c>
      <c r="AB1288" s="5">
        <v>18</v>
      </c>
      <c r="AC1288" s="2" t="s">
        <v>1962</v>
      </c>
      <c r="AD1288" s="4">
        <v>150</v>
      </c>
      <c r="AE1288" s="4">
        <v>470</v>
      </c>
      <c r="AF1288" s="6">
        <v>65</v>
      </c>
      <c r="AG1288" s="6">
        <v>73</v>
      </c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 t="s">
        <v>100</v>
      </c>
      <c r="BJ1288" s="4">
        <v>11</v>
      </c>
      <c r="BK1288" s="8">
        <v>870.61</v>
      </c>
      <c r="BL1288" s="2" t="s">
        <v>4171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109</v>
      </c>
      <c r="BV1288" s="2" t="s">
        <v>97</v>
      </c>
      <c r="BW1288" s="2" t="s">
        <v>4172</v>
      </c>
      <c r="BX1288" s="2" t="s">
        <v>4173</v>
      </c>
      <c r="BY1288" s="2" t="s">
        <v>112</v>
      </c>
      <c r="BZ1288" s="2" t="s">
        <v>100</v>
      </c>
    </row>
    <row r="1289">
      <c r="A1289" s="2" t="s">
        <v>4174</v>
      </c>
      <c r="B1289" s="2" t="s">
        <v>87</v>
      </c>
      <c r="C1289" s="2" t="s">
        <v>4104</v>
      </c>
      <c r="D1289" s="2" t="s">
        <v>89</v>
      </c>
      <c r="E1289" s="2" t="s">
        <v>2030</v>
      </c>
      <c r="F1289" s="2" t="s">
        <v>4163</v>
      </c>
      <c r="G1289" s="2" t="s">
        <v>4163</v>
      </c>
      <c r="H1289" s="2" t="s">
        <v>4163</v>
      </c>
      <c r="I1289" s="2" t="s">
        <v>4164</v>
      </c>
      <c r="J1289" s="2" t="s">
        <v>785</v>
      </c>
      <c r="K1289" s="2" t="s">
        <v>340</v>
      </c>
      <c r="L1289" s="3">
        <v>54</v>
      </c>
      <c r="M1289" s="3">
        <v>56.7</v>
      </c>
      <c r="N1289" s="3">
        <v>109.99</v>
      </c>
      <c r="O1289" s="2" t="s">
        <v>97</v>
      </c>
      <c r="P1289" s="2" t="s">
        <v>242</v>
      </c>
      <c r="Q1289" s="2" t="s">
        <v>99</v>
      </c>
      <c r="R1289" s="2" t="s">
        <v>100</v>
      </c>
      <c r="S1289" s="2" t="s">
        <v>4175</v>
      </c>
      <c r="T1289" s="2" t="s">
        <v>359</v>
      </c>
      <c r="U1289" s="2" t="s">
        <v>1508</v>
      </c>
      <c r="V1289" s="2" t="s">
        <v>4166</v>
      </c>
      <c r="W1289" s="2" t="s">
        <v>2101</v>
      </c>
      <c r="X1289" s="2" t="s">
        <v>499</v>
      </c>
      <c r="Y1289" s="2" t="s">
        <v>131</v>
      </c>
      <c r="Z1289" s="4">
        <v>233</v>
      </c>
      <c r="AA1289" s="4">
        <f>=ROUNDDOWN(21.1818181818182,0)</f>
      </c>
      <c r="AB1289" s="5">
        <v>11</v>
      </c>
      <c r="AC1289" s="2" t="s">
        <v>361</v>
      </c>
      <c r="AD1289" s="4">
        <v>80</v>
      </c>
      <c r="AE1289" s="4">
        <v>360</v>
      </c>
      <c r="AF1289" s="6">
        <v>65</v>
      </c>
      <c r="AG1289" s="6">
        <v>73</v>
      </c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 t="s">
        <v>100</v>
      </c>
      <c r="BJ1289" s="4">
        <v>9</v>
      </c>
      <c r="BK1289" s="8">
        <v>543.03</v>
      </c>
      <c r="BL1289" s="2" t="s">
        <v>4176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109</v>
      </c>
      <c r="BV1289" s="2" t="s">
        <v>97</v>
      </c>
      <c r="BW1289" s="2" t="s">
        <v>723</v>
      </c>
      <c r="BX1289" s="2" t="s">
        <v>928</v>
      </c>
      <c r="BY1289" s="2" t="s">
        <v>112</v>
      </c>
      <c r="BZ1289" s="2" t="s">
        <v>100</v>
      </c>
    </row>
    <row r="1290">
      <c r="A1290" s="2" t="s">
        <v>4177</v>
      </c>
      <c r="B1290" s="2" t="s">
        <v>87</v>
      </c>
      <c r="C1290" s="2" t="s">
        <v>4104</v>
      </c>
      <c r="D1290" s="2" t="s">
        <v>89</v>
      </c>
      <c r="E1290" s="2" t="s">
        <v>2030</v>
      </c>
      <c r="F1290" s="2" t="s">
        <v>4163</v>
      </c>
      <c r="G1290" s="2" t="s">
        <v>4163</v>
      </c>
      <c r="H1290" s="2" t="s">
        <v>4163</v>
      </c>
      <c r="I1290" s="2" t="s">
        <v>4164</v>
      </c>
      <c r="J1290" s="2" t="s">
        <v>795</v>
      </c>
      <c r="K1290" s="2" t="s">
        <v>340</v>
      </c>
      <c r="L1290" s="3">
        <v>67.5</v>
      </c>
      <c r="M1290" s="3">
        <v>70.88</v>
      </c>
      <c r="N1290" s="3">
        <v>139.99</v>
      </c>
      <c r="O1290" s="2" t="s">
        <v>97</v>
      </c>
      <c r="P1290" s="2" t="s">
        <v>242</v>
      </c>
      <c r="Q1290" s="2" t="s">
        <v>99</v>
      </c>
      <c r="R1290" s="2" t="s">
        <v>100</v>
      </c>
      <c r="S1290" s="2" t="s">
        <v>4175</v>
      </c>
      <c r="T1290" s="2" t="s">
        <v>359</v>
      </c>
      <c r="U1290" s="2" t="s">
        <v>1508</v>
      </c>
      <c r="V1290" s="2" t="s">
        <v>4166</v>
      </c>
      <c r="W1290" s="2" t="s">
        <v>2101</v>
      </c>
      <c r="X1290" s="2" t="s">
        <v>499</v>
      </c>
      <c r="Y1290" s="2" t="s">
        <v>4178</v>
      </c>
      <c r="Z1290" s="4">
        <v>380</v>
      </c>
      <c r="AA1290" s="4">
        <f>=ROUNDDOWN(22.3529411764706,0)</f>
      </c>
      <c r="AB1290" s="5">
        <v>17</v>
      </c>
      <c r="AC1290" s="2" t="s">
        <v>361</v>
      </c>
      <c r="AD1290" s="4">
        <v>267</v>
      </c>
      <c r="AE1290" s="4">
        <v>521</v>
      </c>
      <c r="AF1290" s="6">
        <v>65</v>
      </c>
      <c r="AG1290" s="6">
        <v>73</v>
      </c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/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 t="s">
        <v>100</v>
      </c>
      <c r="BJ1290" s="4">
        <v>11</v>
      </c>
      <c r="BK1290" s="8">
        <v>882.35</v>
      </c>
      <c r="BL1290" s="2" t="s">
        <v>2468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109</v>
      </c>
      <c r="BV1290" s="2" t="s">
        <v>97</v>
      </c>
      <c r="BW1290" s="2" t="s">
        <v>723</v>
      </c>
      <c r="BX1290" s="2" t="s">
        <v>216</v>
      </c>
      <c r="BY1290" s="2" t="s">
        <v>112</v>
      </c>
      <c r="BZ1290" s="2" t="s">
        <v>100</v>
      </c>
    </row>
    <row r="1291">
      <c r="A1291" s="2" t="s">
        <v>4179</v>
      </c>
      <c r="B1291" s="2" t="s">
        <v>87</v>
      </c>
      <c r="C1291" s="2" t="s">
        <v>4104</v>
      </c>
      <c r="D1291" s="2" t="s">
        <v>89</v>
      </c>
      <c r="E1291" s="2" t="s">
        <v>2030</v>
      </c>
      <c r="F1291" s="2" t="s">
        <v>4163</v>
      </c>
      <c r="G1291" s="2" t="s">
        <v>4163</v>
      </c>
      <c r="H1291" s="2" t="s">
        <v>4163</v>
      </c>
      <c r="I1291" s="2" t="s">
        <v>4164</v>
      </c>
      <c r="J1291" s="2" t="s">
        <v>785</v>
      </c>
      <c r="K1291" s="2" t="s">
        <v>357</v>
      </c>
      <c r="L1291" s="3">
        <v>54</v>
      </c>
      <c r="M1291" s="3">
        <v>56.7</v>
      </c>
      <c r="N1291" s="3">
        <v>109.99</v>
      </c>
      <c r="O1291" s="2" t="s">
        <v>97</v>
      </c>
      <c r="P1291" s="2" t="s">
        <v>383</v>
      </c>
      <c r="Q1291" s="2" t="s">
        <v>99</v>
      </c>
      <c r="R1291" s="2" t="s">
        <v>100</v>
      </c>
      <c r="S1291" s="2" t="s">
        <v>4180</v>
      </c>
      <c r="T1291" s="2" t="s">
        <v>359</v>
      </c>
      <c r="U1291" s="2" t="s">
        <v>1508</v>
      </c>
      <c r="V1291" s="2" t="s">
        <v>4166</v>
      </c>
      <c r="W1291" s="2" t="s">
        <v>2101</v>
      </c>
      <c r="X1291" s="2" t="s">
        <v>499</v>
      </c>
      <c r="Y1291" s="2" t="s">
        <v>131</v>
      </c>
      <c r="Z1291" s="4">
        <v>255</v>
      </c>
      <c r="AA1291" s="4">
        <f>=ROUNDDOWN(28.3333333333333,0)</f>
      </c>
      <c r="AB1291" s="5">
        <v>9</v>
      </c>
      <c r="AC1291" s="2" t="s">
        <v>1487</v>
      </c>
      <c r="AD1291" s="4">
        <v>200</v>
      </c>
      <c r="AE1291" s="4">
        <v>300</v>
      </c>
      <c r="AF1291" s="6">
        <v>65</v>
      </c>
      <c r="AG1291" s="6">
        <v>73</v>
      </c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 t="s">
        <v>100</v>
      </c>
      <c r="BJ1291" s="4">
        <v>3</v>
      </c>
      <c r="BK1291" s="8">
        <v>193.39</v>
      </c>
      <c r="BL1291" s="2" t="s">
        <v>4181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723</v>
      </c>
      <c r="BX1291" s="2" t="s">
        <v>170</v>
      </c>
      <c r="BY1291" s="2" t="s">
        <v>112</v>
      </c>
      <c r="BZ1291" s="2" t="s">
        <v>100</v>
      </c>
    </row>
    <row r="1292">
      <c r="A1292" s="2" t="s">
        <v>4182</v>
      </c>
      <c r="B1292" s="2" t="s">
        <v>87</v>
      </c>
      <c r="C1292" s="2" t="s">
        <v>4104</v>
      </c>
      <c r="D1292" s="2" t="s">
        <v>89</v>
      </c>
      <c r="E1292" s="2" t="s">
        <v>2030</v>
      </c>
      <c r="F1292" s="2" t="s">
        <v>4163</v>
      </c>
      <c r="G1292" s="2" t="s">
        <v>4163</v>
      </c>
      <c r="H1292" s="2" t="s">
        <v>4163</v>
      </c>
      <c r="I1292" s="2" t="s">
        <v>4164</v>
      </c>
      <c r="J1292" s="2" t="s">
        <v>795</v>
      </c>
      <c r="K1292" s="2" t="s">
        <v>357</v>
      </c>
      <c r="L1292" s="3">
        <v>67.5</v>
      </c>
      <c r="M1292" s="3">
        <v>70.88</v>
      </c>
      <c r="N1292" s="3">
        <v>139.99</v>
      </c>
      <c r="O1292" s="2" t="s">
        <v>97</v>
      </c>
      <c r="P1292" s="2" t="s">
        <v>383</v>
      </c>
      <c r="Q1292" s="2" t="s">
        <v>99</v>
      </c>
      <c r="R1292" s="2" t="s">
        <v>100</v>
      </c>
      <c r="S1292" s="2" t="s">
        <v>4180</v>
      </c>
      <c r="T1292" s="2" t="s">
        <v>359</v>
      </c>
      <c r="U1292" s="2" t="s">
        <v>1508</v>
      </c>
      <c r="V1292" s="2" t="s">
        <v>4166</v>
      </c>
      <c r="W1292" s="2" t="s">
        <v>2101</v>
      </c>
      <c r="X1292" s="2" t="s">
        <v>499</v>
      </c>
      <c r="Y1292" s="2" t="s">
        <v>131</v>
      </c>
      <c r="Z1292" s="4">
        <v>242</v>
      </c>
      <c r="AA1292" s="4">
        <f>=ROUNDDOWN(20.1666666666667,0)</f>
      </c>
      <c r="AB1292" s="5">
        <v>12</v>
      </c>
      <c r="AC1292" s="2" t="s">
        <v>1487</v>
      </c>
      <c r="AD1292" s="4">
        <v>300</v>
      </c>
      <c r="AE1292" s="4">
        <v>450</v>
      </c>
      <c r="AF1292" s="6">
        <v>65</v>
      </c>
      <c r="AG1292" s="6">
        <v>73</v>
      </c>
      <c r="AH1292" s="7">
        <v>1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/>
      <c r="AQ1292" s="8"/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 t="s">
        <v>100</v>
      </c>
      <c r="BJ1292" s="4">
        <v>7</v>
      </c>
      <c r="BK1292" s="8">
        <v>542.21</v>
      </c>
      <c r="BL1292" s="2" t="s">
        <v>4183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109</v>
      </c>
      <c r="BV1292" s="2" t="s">
        <v>97</v>
      </c>
      <c r="BW1292" s="2" t="s">
        <v>723</v>
      </c>
      <c r="BX1292" s="2" t="s">
        <v>842</v>
      </c>
      <c r="BY1292" s="2" t="s">
        <v>112</v>
      </c>
      <c r="BZ1292" s="2" t="s">
        <v>100</v>
      </c>
    </row>
    <row r="1293">
      <c r="A1293" s="2" t="s">
        <v>4184</v>
      </c>
      <c r="B1293" s="2" t="s">
        <v>87</v>
      </c>
      <c r="C1293" s="2" t="s">
        <v>4104</v>
      </c>
      <c r="D1293" s="2" t="s">
        <v>89</v>
      </c>
      <c r="E1293" s="2" t="s">
        <v>2030</v>
      </c>
      <c r="F1293" s="2" t="s">
        <v>4185</v>
      </c>
      <c r="G1293" s="2" t="s">
        <v>4185</v>
      </c>
      <c r="H1293" s="2" t="s">
        <v>4185</v>
      </c>
      <c r="I1293" s="2" t="s">
        <v>2054</v>
      </c>
      <c r="J1293" s="2" t="s">
        <v>785</v>
      </c>
      <c r="K1293" s="2" t="s">
        <v>357</v>
      </c>
      <c r="L1293" s="3">
        <v>75.6</v>
      </c>
      <c r="M1293" s="3">
        <v>79.38</v>
      </c>
      <c r="N1293" s="3">
        <v>151.99</v>
      </c>
      <c r="O1293" s="2" t="s">
        <v>97</v>
      </c>
      <c r="P1293" s="2" t="s">
        <v>242</v>
      </c>
      <c r="Q1293" s="2" t="s">
        <v>99</v>
      </c>
      <c r="R1293" s="2" t="s">
        <v>100</v>
      </c>
      <c r="S1293" s="2" t="s">
        <v>4186</v>
      </c>
      <c r="T1293" s="2" t="s">
        <v>359</v>
      </c>
      <c r="U1293" s="2" t="s">
        <v>1508</v>
      </c>
      <c r="V1293" s="2" t="s">
        <v>734</v>
      </c>
      <c r="W1293" s="2" t="s">
        <v>4187</v>
      </c>
      <c r="X1293" s="2" t="s">
        <v>1064</v>
      </c>
      <c r="Y1293" s="2" t="s">
        <v>4188</v>
      </c>
      <c r="Z1293" s="4">
        <v>467</v>
      </c>
      <c r="AA1293" s="4">
        <f>=ROUNDDOWN(35.9230769230769,0)</f>
      </c>
      <c r="AB1293" s="5">
        <v>13</v>
      </c>
      <c r="AC1293" s="2" t="s">
        <v>900</v>
      </c>
      <c r="AD1293" s="4">
        <v>79</v>
      </c>
      <c r="AE1293" s="4">
        <v>79</v>
      </c>
      <c r="AF1293" s="6">
        <v>67</v>
      </c>
      <c r="AG1293" s="6">
        <v>75</v>
      </c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/>
      <c r="AQ1293" s="8"/>
      <c r="AR1293" s="4"/>
      <c r="AS1293" s="8"/>
      <c r="AT1293" s="7"/>
      <c r="AU1293" s="7"/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/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/>
      <c r="BJ1293" s="4">
        <v>13</v>
      </c>
      <c r="BK1293" s="8">
        <v>1095.9</v>
      </c>
      <c r="BL1293" s="2" t="s">
        <v>2908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109</v>
      </c>
      <c r="BV1293" s="2" t="s">
        <v>97</v>
      </c>
      <c r="BW1293" s="2" t="s">
        <v>266</v>
      </c>
      <c r="BX1293" s="2" t="s">
        <v>389</v>
      </c>
      <c r="BY1293" s="2" t="s">
        <v>112</v>
      </c>
      <c r="BZ1293" s="2" t="s">
        <v>100</v>
      </c>
    </row>
    <row r="1294">
      <c r="A1294" s="2" t="s">
        <v>4189</v>
      </c>
      <c r="B1294" s="2" t="s">
        <v>87</v>
      </c>
      <c r="C1294" s="2" t="s">
        <v>4104</v>
      </c>
      <c r="D1294" s="2" t="s">
        <v>89</v>
      </c>
      <c r="E1294" s="2" t="s">
        <v>2030</v>
      </c>
      <c r="F1294" s="2" t="s">
        <v>4185</v>
      </c>
      <c r="G1294" s="2" t="s">
        <v>4185</v>
      </c>
      <c r="H1294" s="2" t="s">
        <v>4185</v>
      </c>
      <c r="I1294" s="2" t="s">
        <v>2054</v>
      </c>
      <c r="J1294" s="2" t="s">
        <v>795</v>
      </c>
      <c r="K1294" s="2" t="s">
        <v>357</v>
      </c>
      <c r="L1294" s="3">
        <v>91.8</v>
      </c>
      <c r="M1294" s="3">
        <v>96.39</v>
      </c>
      <c r="N1294" s="3">
        <v>183.99</v>
      </c>
      <c r="O1294" s="2" t="s">
        <v>97</v>
      </c>
      <c r="P1294" s="2" t="s">
        <v>242</v>
      </c>
      <c r="Q1294" s="2" t="s">
        <v>99</v>
      </c>
      <c r="R1294" s="2" t="s">
        <v>100</v>
      </c>
      <c r="S1294" s="2" t="s">
        <v>4186</v>
      </c>
      <c r="T1294" s="2" t="s">
        <v>359</v>
      </c>
      <c r="U1294" s="2" t="s">
        <v>1508</v>
      </c>
      <c r="V1294" s="2" t="s">
        <v>734</v>
      </c>
      <c r="W1294" s="2" t="s">
        <v>4187</v>
      </c>
      <c r="X1294" s="2" t="s">
        <v>1064</v>
      </c>
      <c r="Y1294" s="2" t="s">
        <v>4188</v>
      </c>
      <c r="Z1294" s="4">
        <v>313</v>
      </c>
      <c r="AA1294" s="4">
        <f>=ROUNDDOWN(26.0833333333333,0)</f>
      </c>
      <c r="AB1294" s="5">
        <v>12</v>
      </c>
      <c r="AC1294" s="2" t="s">
        <v>900</v>
      </c>
      <c r="AD1294" s="4">
        <v>109</v>
      </c>
      <c r="AE1294" s="4">
        <v>109</v>
      </c>
      <c r="AF1294" s="6">
        <v>67</v>
      </c>
      <c r="AG1294" s="6">
        <v>75</v>
      </c>
      <c r="AH1294" s="7">
        <v>1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/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/>
      <c r="BJ1294" s="4">
        <v>3</v>
      </c>
      <c r="BK1294" s="8">
        <v>314.23</v>
      </c>
      <c r="BL1294" s="2" t="s">
        <v>2195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109</v>
      </c>
      <c r="BV1294" s="2" t="s">
        <v>97</v>
      </c>
      <c r="BW1294" s="2" t="s">
        <v>266</v>
      </c>
      <c r="BX1294" s="2" t="s">
        <v>389</v>
      </c>
      <c r="BY1294" s="2" t="s">
        <v>112</v>
      </c>
      <c r="BZ1294" s="2" t="s">
        <v>100</v>
      </c>
    </row>
    <row r="1295">
      <c r="A1295" s="2" t="s">
        <v>4190</v>
      </c>
      <c r="B1295" s="2" t="s">
        <v>87</v>
      </c>
      <c r="C1295" s="2" t="s">
        <v>4104</v>
      </c>
      <c r="D1295" s="2" t="s">
        <v>89</v>
      </c>
      <c r="E1295" s="2" t="s">
        <v>2030</v>
      </c>
      <c r="F1295" s="2" t="s">
        <v>4191</v>
      </c>
      <c r="G1295" s="2" t="s">
        <v>4191</v>
      </c>
      <c r="H1295" s="2" t="s">
        <v>4191</v>
      </c>
      <c r="I1295" s="2" t="s">
        <v>4192</v>
      </c>
      <c r="J1295" s="2" t="s">
        <v>785</v>
      </c>
      <c r="K1295" s="2" t="s">
        <v>198</v>
      </c>
      <c r="L1295" s="3">
        <v>59.42</v>
      </c>
      <c r="M1295" s="3">
        <v>62.39</v>
      </c>
      <c r="N1295" s="3">
        <v>129.99</v>
      </c>
      <c r="O1295" s="2" t="s">
        <v>97</v>
      </c>
      <c r="P1295" s="2" t="s">
        <v>1216</v>
      </c>
      <c r="Q1295" s="2" t="s">
        <v>99</v>
      </c>
      <c r="R1295" s="2" t="s">
        <v>100</v>
      </c>
      <c r="S1295" s="2" t="s">
        <v>4193</v>
      </c>
      <c r="T1295" s="2" t="s">
        <v>359</v>
      </c>
      <c r="U1295" s="2" t="s">
        <v>1508</v>
      </c>
      <c r="V1295" s="2" t="s">
        <v>734</v>
      </c>
      <c r="W1295" s="2" t="s">
        <v>1405</v>
      </c>
      <c r="X1295" s="2" t="s">
        <v>976</v>
      </c>
      <c r="Y1295" s="2" t="s">
        <v>100</v>
      </c>
      <c r="Z1295" s="4"/>
      <c r="AA1295" s="4">
        <f>=ROUNDDOWN({0},0)</f>
      </c>
      <c r="AB1295" s="5"/>
      <c r="AC1295" s="2" t="s">
        <v>361</v>
      </c>
      <c r="AD1295" s="4">
        <v>195</v>
      </c>
      <c r="AE1295" s="4">
        <v>390</v>
      </c>
      <c r="AF1295" s="6">
        <v>65</v>
      </c>
      <c r="AG1295" s="6"/>
      <c r="AH1295" s="7">
        <v>0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/>
      <c r="AQ1295" s="8"/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/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/>
      <c r="BJ1295" s="4"/>
      <c r="BK1295" s="8"/>
      <c r="BL1295" s="2" t="s">
        <v>100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1338</v>
      </c>
      <c r="BV1295" s="2" t="s">
        <v>97</v>
      </c>
      <c r="BW1295" s="2" t="s">
        <v>100</v>
      </c>
      <c r="BX1295" s="2" t="s">
        <v>100</v>
      </c>
      <c r="BY1295" s="2" t="s">
        <v>112</v>
      </c>
      <c r="BZ1295" s="2" t="s">
        <v>100</v>
      </c>
    </row>
    <row r="1296">
      <c r="A1296" s="2" t="s">
        <v>4194</v>
      </c>
      <c r="B1296" s="2" t="s">
        <v>87</v>
      </c>
      <c r="C1296" s="2" t="s">
        <v>4104</v>
      </c>
      <c r="D1296" s="2" t="s">
        <v>89</v>
      </c>
      <c r="E1296" s="2" t="s">
        <v>2030</v>
      </c>
      <c r="F1296" s="2" t="s">
        <v>4191</v>
      </c>
      <c r="G1296" s="2" t="s">
        <v>4191</v>
      </c>
      <c r="H1296" s="2" t="s">
        <v>4191</v>
      </c>
      <c r="I1296" s="2" t="s">
        <v>4192</v>
      </c>
      <c r="J1296" s="2" t="s">
        <v>795</v>
      </c>
      <c r="K1296" s="2" t="s">
        <v>198</v>
      </c>
      <c r="L1296" s="3">
        <v>68.57</v>
      </c>
      <c r="M1296" s="3">
        <v>72</v>
      </c>
      <c r="N1296" s="3">
        <v>149.99</v>
      </c>
      <c r="O1296" s="2" t="s">
        <v>97</v>
      </c>
      <c r="P1296" s="2" t="s">
        <v>1216</v>
      </c>
      <c r="Q1296" s="2" t="s">
        <v>99</v>
      </c>
      <c r="R1296" s="2" t="s">
        <v>100</v>
      </c>
      <c r="S1296" s="2" t="s">
        <v>4193</v>
      </c>
      <c r="T1296" s="2" t="s">
        <v>359</v>
      </c>
      <c r="U1296" s="2" t="s">
        <v>1508</v>
      </c>
      <c r="V1296" s="2" t="s">
        <v>734</v>
      </c>
      <c r="W1296" s="2" t="s">
        <v>1405</v>
      </c>
      <c r="X1296" s="2" t="s">
        <v>976</v>
      </c>
      <c r="Y1296" s="2" t="s">
        <v>100</v>
      </c>
      <c r="Z1296" s="4"/>
      <c r="AA1296" s="4">
        <f>=ROUNDDOWN({0},0)</f>
      </c>
      <c r="AB1296" s="5"/>
      <c r="AC1296" s="2" t="s">
        <v>361</v>
      </c>
      <c r="AD1296" s="4">
        <v>140</v>
      </c>
      <c r="AE1296" s="4">
        <v>280</v>
      </c>
      <c r="AF1296" s="6">
        <v>65</v>
      </c>
      <c r="AG1296" s="6"/>
      <c r="AH1296" s="7">
        <v>0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/>
      <c r="AQ1296" s="8"/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/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/>
      <c r="BJ1296" s="4"/>
      <c r="BK1296" s="8"/>
      <c r="BL1296" s="2" t="s">
        <v>100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1338</v>
      </c>
      <c r="BV1296" s="2" t="s">
        <v>97</v>
      </c>
      <c r="BW1296" s="2" t="s">
        <v>100</v>
      </c>
      <c r="BX1296" s="2" t="s">
        <v>100</v>
      </c>
      <c r="BY1296" s="2" t="s">
        <v>112</v>
      </c>
      <c r="BZ1296" s="2" t="s">
        <v>100</v>
      </c>
    </row>
    <row r="1297">
      <c r="A1297" s="2" t="s">
        <v>4195</v>
      </c>
      <c r="B1297" s="2" t="s">
        <v>87</v>
      </c>
      <c r="C1297" s="2" t="s">
        <v>4104</v>
      </c>
      <c r="D1297" s="2" t="s">
        <v>89</v>
      </c>
      <c r="E1297" s="2" t="s">
        <v>2030</v>
      </c>
      <c r="F1297" s="2" t="s">
        <v>4196</v>
      </c>
      <c r="G1297" s="2" t="s">
        <v>4196</v>
      </c>
      <c r="H1297" s="2" t="s">
        <v>4196</v>
      </c>
      <c r="I1297" s="2" t="s">
        <v>2054</v>
      </c>
      <c r="J1297" s="2" t="s">
        <v>785</v>
      </c>
      <c r="K1297" s="2" t="s">
        <v>4197</v>
      </c>
      <c r="L1297" s="3">
        <v>70</v>
      </c>
      <c r="M1297" s="3">
        <v>73.49</v>
      </c>
      <c r="N1297" s="3">
        <v>139.99</v>
      </c>
      <c r="O1297" s="2" t="s">
        <v>473</v>
      </c>
      <c r="P1297" s="2" t="s">
        <v>447</v>
      </c>
      <c r="Q1297" s="2" t="s">
        <v>99</v>
      </c>
      <c r="R1297" s="2" t="s">
        <v>100</v>
      </c>
      <c r="S1297" s="2" t="s">
        <v>4198</v>
      </c>
      <c r="T1297" s="2" t="s">
        <v>359</v>
      </c>
      <c r="U1297" s="2" t="s">
        <v>1508</v>
      </c>
      <c r="V1297" s="2" t="s">
        <v>805</v>
      </c>
      <c r="W1297" s="2" t="s">
        <v>4199</v>
      </c>
      <c r="X1297" s="2" t="s">
        <v>976</v>
      </c>
      <c r="Y1297" s="2" t="s">
        <v>2302</v>
      </c>
      <c r="Z1297" s="4">
        <v>244</v>
      </c>
      <c r="AA1297" s="4">
        <f>=ROUNDDOWN(53.0434782608696,0)</f>
      </c>
      <c r="AB1297" s="5">
        <v>4.6</v>
      </c>
      <c r="AC1297" s="2" t="s">
        <v>100</v>
      </c>
      <c r="AD1297" s="4"/>
      <c r="AE1297" s="4"/>
      <c r="AF1297" s="6">
        <v>67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/>
      <c r="AQ1297" s="8"/>
      <c r="AR1297" s="4"/>
      <c r="AS1297" s="8"/>
      <c r="AT1297" s="7"/>
      <c r="AU1297" s="7"/>
      <c r="AV1297" s="4" t="s">
        <v>100</v>
      </c>
      <c r="AW1297" s="8" t="s">
        <v>100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/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/>
      <c r="BJ1297" s="4">
        <v>2</v>
      </c>
      <c r="BK1297" s="8">
        <v>114.21</v>
      </c>
      <c r="BL1297" s="2" t="s">
        <v>1896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3088</v>
      </c>
      <c r="BV1297" s="2" t="s">
        <v>97</v>
      </c>
      <c r="BW1297" s="2" t="s">
        <v>100</v>
      </c>
      <c r="BX1297" s="2" t="s">
        <v>100</v>
      </c>
      <c r="BY1297" s="2" t="s">
        <v>112</v>
      </c>
      <c r="BZ1297" s="2" t="s">
        <v>100</v>
      </c>
    </row>
    <row r="1298">
      <c r="A1298" s="2" t="s">
        <v>4200</v>
      </c>
      <c r="B1298" s="2" t="s">
        <v>87</v>
      </c>
      <c r="C1298" s="2" t="s">
        <v>4104</v>
      </c>
      <c r="D1298" s="2" t="s">
        <v>89</v>
      </c>
      <c r="E1298" s="2" t="s">
        <v>2030</v>
      </c>
      <c r="F1298" s="2" t="s">
        <v>4196</v>
      </c>
      <c r="G1298" s="2" t="s">
        <v>4196</v>
      </c>
      <c r="H1298" s="2" t="s">
        <v>4196</v>
      </c>
      <c r="I1298" s="2" t="s">
        <v>2054</v>
      </c>
      <c r="J1298" s="2" t="s">
        <v>795</v>
      </c>
      <c r="K1298" s="2" t="s">
        <v>4197</v>
      </c>
      <c r="L1298" s="3">
        <v>85</v>
      </c>
      <c r="M1298" s="3">
        <v>89.24</v>
      </c>
      <c r="N1298" s="3">
        <v>169.99</v>
      </c>
      <c r="O1298" s="2" t="s">
        <v>473</v>
      </c>
      <c r="P1298" s="2" t="s">
        <v>447</v>
      </c>
      <c r="Q1298" s="2" t="s">
        <v>99</v>
      </c>
      <c r="R1298" s="2" t="s">
        <v>100</v>
      </c>
      <c r="S1298" s="2" t="s">
        <v>4198</v>
      </c>
      <c r="T1298" s="2" t="s">
        <v>359</v>
      </c>
      <c r="U1298" s="2" t="s">
        <v>1508</v>
      </c>
      <c r="V1298" s="2" t="s">
        <v>805</v>
      </c>
      <c r="W1298" s="2" t="s">
        <v>4199</v>
      </c>
      <c r="X1298" s="2" t="s">
        <v>976</v>
      </c>
      <c r="Y1298" s="2" t="s">
        <v>2302</v>
      </c>
      <c r="Z1298" s="4">
        <v>276</v>
      </c>
      <c r="AA1298" s="4">
        <f>=ROUNDDOWN(95.1724137931034,0)</f>
      </c>
      <c r="AB1298" s="5">
        <v>2.9</v>
      </c>
      <c r="AC1298" s="2" t="s">
        <v>100</v>
      </c>
      <c r="AD1298" s="4"/>
      <c r="AE1298" s="4"/>
      <c r="AF1298" s="6">
        <v>67</v>
      </c>
      <c r="AG1298" s="6"/>
      <c r="AH1298" s="7">
        <v>1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/>
      <c r="AQ1298" s="8"/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/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/>
      <c r="BJ1298" s="4">
        <v>4</v>
      </c>
      <c r="BK1298" s="8">
        <v>237.11</v>
      </c>
      <c r="BL1298" s="2" t="s">
        <v>887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3088</v>
      </c>
      <c r="BV1298" s="2" t="s">
        <v>97</v>
      </c>
      <c r="BW1298" s="2" t="s">
        <v>100</v>
      </c>
      <c r="BX1298" s="2" t="s">
        <v>100</v>
      </c>
      <c r="BY1298" s="2" t="s">
        <v>112</v>
      </c>
      <c r="BZ1298" s="2" t="s">
        <v>100</v>
      </c>
    </row>
    <row r="1299">
      <c r="A1299" s="2" t="s">
        <v>4201</v>
      </c>
      <c r="B1299" s="2" t="s">
        <v>87</v>
      </c>
      <c r="C1299" s="2" t="s">
        <v>4104</v>
      </c>
      <c r="D1299" s="2" t="s">
        <v>89</v>
      </c>
      <c r="E1299" s="2" t="s">
        <v>2030</v>
      </c>
      <c r="F1299" s="2" t="s">
        <v>4196</v>
      </c>
      <c r="G1299" s="2" t="s">
        <v>4196</v>
      </c>
      <c r="H1299" s="2" t="s">
        <v>4196</v>
      </c>
      <c r="I1299" s="2" t="s">
        <v>2054</v>
      </c>
      <c r="J1299" s="2" t="s">
        <v>785</v>
      </c>
      <c r="K1299" s="2" t="s">
        <v>4202</v>
      </c>
      <c r="L1299" s="3">
        <v>70</v>
      </c>
      <c r="M1299" s="3">
        <v>73.49</v>
      </c>
      <c r="N1299" s="3">
        <v>139.99</v>
      </c>
      <c r="O1299" s="2" t="s">
        <v>97</v>
      </c>
      <c r="P1299" s="2" t="s">
        <v>242</v>
      </c>
      <c r="Q1299" s="2" t="s">
        <v>99</v>
      </c>
      <c r="R1299" s="2" t="s">
        <v>100</v>
      </c>
      <c r="S1299" s="2" t="s">
        <v>4203</v>
      </c>
      <c r="T1299" s="2" t="s">
        <v>359</v>
      </c>
      <c r="U1299" s="2" t="s">
        <v>1508</v>
      </c>
      <c r="V1299" s="2" t="s">
        <v>805</v>
      </c>
      <c r="W1299" s="2" t="s">
        <v>4187</v>
      </c>
      <c r="X1299" s="2" t="s">
        <v>976</v>
      </c>
      <c r="Y1299" s="2" t="s">
        <v>4204</v>
      </c>
      <c r="Z1299" s="4">
        <v>462</v>
      </c>
      <c r="AA1299" s="4">
        <f>=ROUNDDOWN(38.5,0)</f>
      </c>
      <c r="AB1299" s="5">
        <v>12</v>
      </c>
      <c r="AC1299" s="2" t="s">
        <v>680</v>
      </c>
      <c r="AD1299" s="4">
        <v>100</v>
      </c>
      <c r="AE1299" s="4">
        <v>100</v>
      </c>
      <c r="AF1299" s="6">
        <v>67</v>
      </c>
      <c r="AG1299" s="6">
        <v>75</v>
      </c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/>
      <c r="AQ1299" s="8"/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/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/>
      <c r="BJ1299" s="4">
        <v>4</v>
      </c>
      <c r="BK1299" s="8">
        <v>300.82</v>
      </c>
      <c r="BL1299" s="2" t="s">
        <v>4205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109</v>
      </c>
      <c r="BV1299" s="2" t="s">
        <v>97</v>
      </c>
      <c r="BW1299" s="2" t="s">
        <v>266</v>
      </c>
      <c r="BX1299" s="2" t="s">
        <v>4206</v>
      </c>
      <c r="BY1299" s="2" t="s">
        <v>112</v>
      </c>
      <c r="BZ1299" s="2" t="s">
        <v>100</v>
      </c>
    </row>
    <row r="1300">
      <c r="A1300" s="2" t="s">
        <v>4207</v>
      </c>
      <c r="B1300" s="2" t="s">
        <v>87</v>
      </c>
      <c r="C1300" s="2" t="s">
        <v>4104</v>
      </c>
      <c r="D1300" s="2" t="s">
        <v>89</v>
      </c>
      <c r="E1300" s="2" t="s">
        <v>2030</v>
      </c>
      <c r="F1300" s="2" t="s">
        <v>4196</v>
      </c>
      <c r="G1300" s="2" t="s">
        <v>4196</v>
      </c>
      <c r="H1300" s="2" t="s">
        <v>4196</v>
      </c>
      <c r="I1300" s="2" t="s">
        <v>2054</v>
      </c>
      <c r="J1300" s="2" t="s">
        <v>795</v>
      </c>
      <c r="K1300" s="2" t="s">
        <v>4202</v>
      </c>
      <c r="L1300" s="3">
        <v>85</v>
      </c>
      <c r="M1300" s="3">
        <v>89.24</v>
      </c>
      <c r="N1300" s="3">
        <v>169.99</v>
      </c>
      <c r="O1300" s="2" t="s">
        <v>97</v>
      </c>
      <c r="P1300" s="2" t="s">
        <v>242</v>
      </c>
      <c r="Q1300" s="2" t="s">
        <v>99</v>
      </c>
      <c r="R1300" s="2" t="s">
        <v>100</v>
      </c>
      <c r="S1300" s="2" t="s">
        <v>4203</v>
      </c>
      <c r="T1300" s="2" t="s">
        <v>359</v>
      </c>
      <c r="U1300" s="2" t="s">
        <v>1508</v>
      </c>
      <c r="V1300" s="2" t="s">
        <v>805</v>
      </c>
      <c r="W1300" s="2" t="s">
        <v>4187</v>
      </c>
      <c r="X1300" s="2" t="s">
        <v>976</v>
      </c>
      <c r="Y1300" s="2" t="s">
        <v>4204</v>
      </c>
      <c r="Z1300" s="4">
        <v>329</v>
      </c>
      <c r="AA1300" s="4">
        <f>=ROUNDDOWN(23.5,0)</f>
      </c>
      <c r="AB1300" s="5">
        <v>14</v>
      </c>
      <c r="AC1300" s="2" t="s">
        <v>680</v>
      </c>
      <c r="AD1300" s="4">
        <v>120</v>
      </c>
      <c r="AE1300" s="4">
        <v>120</v>
      </c>
      <c r="AF1300" s="6">
        <v>67</v>
      </c>
      <c r="AG1300" s="6">
        <v>75</v>
      </c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/>
      <c r="AQ1300" s="8"/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/>
      <c r="BJ1300" s="4">
        <v>7</v>
      </c>
      <c r="BK1300" s="8">
        <v>603.63</v>
      </c>
      <c r="BL1300" s="2" t="s">
        <v>4208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109</v>
      </c>
      <c r="BV1300" s="2" t="s">
        <v>97</v>
      </c>
      <c r="BW1300" s="2" t="s">
        <v>266</v>
      </c>
      <c r="BX1300" s="2" t="s">
        <v>389</v>
      </c>
      <c r="BY1300" s="2" t="s">
        <v>112</v>
      </c>
      <c r="BZ1300" s="2" t="s">
        <v>100</v>
      </c>
    </row>
    <row r="1301">
      <c r="A1301" s="2" t="s">
        <v>4209</v>
      </c>
      <c r="B1301" s="2" t="s">
        <v>87</v>
      </c>
      <c r="C1301" s="2" t="s">
        <v>4104</v>
      </c>
      <c r="D1301" s="2" t="s">
        <v>89</v>
      </c>
      <c r="E1301" s="2" t="s">
        <v>2030</v>
      </c>
      <c r="F1301" s="2" t="s">
        <v>4210</v>
      </c>
      <c r="G1301" s="2" t="s">
        <v>4210</v>
      </c>
      <c r="H1301" s="2" t="s">
        <v>4210</v>
      </c>
      <c r="I1301" s="2" t="s">
        <v>4211</v>
      </c>
      <c r="J1301" s="2" t="s">
        <v>785</v>
      </c>
      <c r="K1301" s="2" t="s">
        <v>96</v>
      </c>
      <c r="L1301" s="3">
        <v>61.18</v>
      </c>
      <c r="M1301" s="3">
        <v>64.24</v>
      </c>
      <c r="N1301" s="3">
        <v>129.99</v>
      </c>
      <c r="O1301" s="2" t="s">
        <v>473</v>
      </c>
      <c r="P1301" s="2" t="s">
        <v>447</v>
      </c>
      <c r="Q1301" s="2" t="s">
        <v>99</v>
      </c>
      <c r="R1301" s="2" t="s">
        <v>100</v>
      </c>
      <c r="S1301" s="2" t="s">
        <v>4212</v>
      </c>
      <c r="T1301" s="2" t="s">
        <v>359</v>
      </c>
      <c r="U1301" s="2" t="s">
        <v>1508</v>
      </c>
      <c r="V1301" s="2" t="s">
        <v>4142</v>
      </c>
      <c r="W1301" s="2" t="s">
        <v>1064</v>
      </c>
      <c r="X1301" s="2" t="s">
        <v>898</v>
      </c>
      <c r="Y1301" s="2" t="s">
        <v>4213</v>
      </c>
      <c r="Z1301" s="4">
        <v>309</v>
      </c>
      <c r="AA1301" s="4">
        <f>=ROUNDDOWN(34.3333333333333,0)</f>
      </c>
      <c r="AB1301" s="5">
        <v>9</v>
      </c>
      <c r="AC1301" s="2" t="s">
        <v>100</v>
      </c>
      <c r="AD1301" s="4"/>
      <c r="AE1301" s="4"/>
      <c r="AF1301" s="6">
        <v>69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/>
      <c r="AQ1301" s="8"/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/>
      <c r="BJ1301" s="4">
        <v>10</v>
      </c>
      <c r="BK1301" s="8">
        <v>657.29</v>
      </c>
      <c r="BL1301" s="2" t="s">
        <v>2060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109</v>
      </c>
      <c r="BV1301" s="2" t="s">
        <v>97</v>
      </c>
      <c r="BW1301" s="2" t="s">
        <v>4204</v>
      </c>
      <c r="BX1301" s="2" t="s">
        <v>360</v>
      </c>
      <c r="BY1301" s="2" t="s">
        <v>112</v>
      </c>
      <c r="BZ1301" s="2" t="s">
        <v>100</v>
      </c>
    </row>
    <row r="1302">
      <c r="A1302" s="2" t="s">
        <v>4214</v>
      </c>
      <c r="B1302" s="2" t="s">
        <v>87</v>
      </c>
      <c r="C1302" s="2" t="s">
        <v>4104</v>
      </c>
      <c r="D1302" s="2" t="s">
        <v>89</v>
      </c>
      <c r="E1302" s="2" t="s">
        <v>2030</v>
      </c>
      <c r="F1302" s="2" t="s">
        <v>4210</v>
      </c>
      <c r="G1302" s="2" t="s">
        <v>4210</v>
      </c>
      <c r="H1302" s="2" t="s">
        <v>4210</v>
      </c>
      <c r="I1302" s="2" t="s">
        <v>4211</v>
      </c>
      <c r="J1302" s="2" t="s">
        <v>795</v>
      </c>
      <c r="K1302" s="2" t="s">
        <v>96</v>
      </c>
      <c r="L1302" s="3">
        <v>74.29</v>
      </c>
      <c r="M1302" s="3">
        <v>78</v>
      </c>
      <c r="N1302" s="3">
        <v>159.99</v>
      </c>
      <c r="O1302" s="2" t="s">
        <v>473</v>
      </c>
      <c r="P1302" s="2" t="s">
        <v>447</v>
      </c>
      <c r="Q1302" s="2" t="s">
        <v>99</v>
      </c>
      <c r="R1302" s="2" t="s">
        <v>100</v>
      </c>
      <c r="S1302" s="2" t="s">
        <v>4212</v>
      </c>
      <c r="T1302" s="2" t="s">
        <v>359</v>
      </c>
      <c r="U1302" s="2" t="s">
        <v>1508</v>
      </c>
      <c r="V1302" s="2" t="s">
        <v>4142</v>
      </c>
      <c r="W1302" s="2" t="s">
        <v>1064</v>
      </c>
      <c r="X1302" s="2" t="s">
        <v>898</v>
      </c>
      <c r="Y1302" s="2" t="s">
        <v>4213</v>
      </c>
      <c r="Z1302" s="4">
        <v>238</v>
      </c>
      <c r="AA1302" s="4">
        <f>=ROUNDDOWN(39.6666666666667,0)</f>
      </c>
      <c r="AB1302" s="5">
        <v>6</v>
      </c>
      <c r="AC1302" s="2" t="s">
        <v>100</v>
      </c>
      <c r="AD1302" s="4"/>
      <c r="AE1302" s="4"/>
      <c r="AF1302" s="6">
        <v>69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/>
      <c r="AQ1302" s="8"/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/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/>
      <c r="BJ1302" s="4">
        <v>9</v>
      </c>
      <c r="BK1302" s="8">
        <v>750.52</v>
      </c>
      <c r="BL1302" s="2" t="s">
        <v>330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109</v>
      </c>
      <c r="BV1302" s="2" t="s">
        <v>97</v>
      </c>
      <c r="BW1302" s="2" t="s">
        <v>4204</v>
      </c>
      <c r="BX1302" s="2" t="s">
        <v>4215</v>
      </c>
      <c r="BY1302" s="2" t="s">
        <v>112</v>
      </c>
      <c r="BZ1302" s="2" t="s">
        <v>100</v>
      </c>
    </row>
    <row r="1303">
      <c r="A1303" s="2" t="s">
        <v>4216</v>
      </c>
      <c r="B1303" s="2" t="s">
        <v>87</v>
      </c>
      <c r="C1303" s="2" t="s">
        <v>4104</v>
      </c>
      <c r="D1303" s="2" t="s">
        <v>89</v>
      </c>
      <c r="E1303" s="2" t="s">
        <v>2030</v>
      </c>
      <c r="F1303" s="2" t="s">
        <v>4210</v>
      </c>
      <c r="G1303" s="2" t="s">
        <v>4210</v>
      </c>
      <c r="H1303" s="2" t="s">
        <v>4210</v>
      </c>
      <c r="I1303" s="2" t="s">
        <v>4211</v>
      </c>
      <c r="J1303" s="2" t="s">
        <v>785</v>
      </c>
      <c r="K1303" s="2" t="s">
        <v>1263</v>
      </c>
      <c r="L1303" s="3">
        <v>61.18</v>
      </c>
      <c r="M1303" s="3">
        <v>64.24</v>
      </c>
      <c r="N1303" s="3">
        <v>129.99</v>
      </c>
      <c r="O1303" s="2" t="s">
        <v>97</v>
      </c>
      <c r="P1303" s="2" t="s">
        <v>281</v>
      </c>
      <c r="Q1303" s="2" t="s">
        <v>99</v>
      </c>
      <c r="R1303" s="2" t="s">
        <v>100</v>
      </c>
      <c r="S1303" s="2" t="s">
        <v>4217</v>
      </c>
      <c r="T1303" s="2" t="s">
        <v>359</v>
      </c>
      <c r="U1303" s="2" t="s">
        <v>1508</v>
      </c>
      <c r="V1303" s="2" t="s">
        <v>4142</v>
      </c>
      <c r="W1303" s="2" t="s">
        <v>1064</v>
      </c>
      <c r="X1303" s="2" t="s">
        <v>898</v>
      </c>
      <c r="Y1303" s="2" t="s">
        <v>4218</v>
      </c>
      <c r="Z1303" s="4">
        <v>658</v>
      </c>
      <c r="AA1303" s="4">
        <f>=ROUNDDOWN(24.3703703703704,0)</f>
      </c>
      <c r="AB1303" s="5">
        <v>27</v>
      </c>
      <c r="AC1303" s="2" t="s">
        <v>907</v>
      </c>
      <c r="AD1303" s="4">
        <v>50</v>
      </c>
      <c r="AE1303" s="4">
        <v>750</v>
      </c>
      <c r="AF1303" s="6">
        <v>69</v>
      </c>
      <c r="AG1303" s="6">
        <v>77</v>
      </c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/>
      <c r="AQ1303" s="8"/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/>
      <c r="BJ1303" s="4">
        <v>23</v>
      </c>
      <c r="BK1303" s="8">
        <v>1628.04</v>
      </c>
      <c r="BL1303" s="2" t="s">
        <v>4219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109</v>
      </c>
      <c r="BV1303" s="2" t="s">
        <v>97</v>
      </c>
      <c r="BW1303" s="2" t="s">
        <v>4204</v>
      </c>
      <c r="BX1303" s="2" t="s">
        <v>4220</v>
      </c>
      <c r="BY1303" s="2" t="s">
        <v>112</v>
      </c>
      <c r="BZ1303" s="2" t="s">
        <v>100</v>
      </c>
    </row>
    <row r="1304">
      <c r="A1304" s="2" t="s">
        <v>4221</v>
      </c>
      <c r="B1304" s="2" t="s">
        <v>87</v>
      </c>
      <c r="C1304" s="2" t="s">
        <v>4104</v>
      </c>
      <c r="D1304" s="2" t="s">
        <v>89</v>
      </c>
      <c r="E1304" s="2" t="s">
        <v>2030</v>
      </c>
      <c r="F1304" s="2" t="s">
        <v>4210</v>
      </c>
      <c r="G1304" s="2" t="s">
        <v>4210</v>
      </c>
      <c r="H1304" s="2" t="s">
        <v>4210</v>
      </c>
      <c r="I1304" s="2" t="s">
        <v>4211</v>
      </c>
      <c r="J1304" s="2" t="s">
        <v>795</v>
      </c>
      <c r="K1304" s="2" t="s">
        <v>1263</v>
      </c>
      <c r="L1304" s="3">
        <v>74.29</v>
      </c>
      <c r="M1304" s="3">
        <v>78</v>
      </c>
      <c r="N1304" s="3">
        <v>159.99</v>
      </c>
      <c r="O1304" s="2" t="s">
        <v>97</v>
      </c>
      <c r="P1304" s="2" t="s">
        <v>281</v>
      </c>
      <c r="Q1304" s="2" t="s">
        <v>99</v>
      </c>
      <c r="R1304" s="2" t="s">
        <v>100</v>
      </c>
      <c r="S1304" s="2" t="s">
        <v>4217</v>
      </c>
      <c r="T1304" s="2" t="s">
        <v>359</v>
      </c>
      <c r="U1304" s="2" t="s">
        <v>1508</v>
      </c>
      <c r="V1304" s="2" t="s">
        <v>4142</v>
      </c>
      <c r="W1304" s="2" t="s">
        <v>1064</v>
      </c>
      <c r="X1304" s="2" t="s">
        <v>898</v>
      </c>
      <c r="Y1304" s="2" t="s">
        <v>4213</v>
      </c>
      <c r="Z1304" s="4">
        <v>962</v>
      </c>
      <c r="AA1304" s="4">
        <f>=ROUNDDOWN(22.9047619047619,0)</f>
      </c>
      <c r="AB1304" s="5">
        <v>42</v>
      </c>
      <c r="AC1304" s="2" t="s">
        <v>287</v>
      </c>
      <c r="AD1304" s="4">
        <v>300</v>
      </c>
      <c r="AE1304" s="4">
        <v>1500</v>
      </c>
      <c r="AF1304" s="6">
        <v>69</v>
      </c>
      <c r="AG1304" s="6">
        <v>77</v>
      </c>
      <c r="AH1304" s="7">
        <v>1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/>
      <c r="AQ1304" s="8"/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/>
      <c r="BJ1304" s="4">
        <v>84</v>
      </c>
      <c r="BK1304" s="8">
        <v>7160.67</v>
      </c>
      <c r="BL1304" s="2" t="s">
        <v>4222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109</v>
      </c>
      <c r="BV1304" s="2" t="s">
        <v>97</v>
      </c>
      <c r="BW1304" s="2" t="s">
        <v>4204</v>
      </c>
      <c r="BX1304" s="2" t="s">
        <v>4223</v>
      </c>
      <c r="BY1304" s="2" t="s">
        <v>112</v>
      </c>
      <c r="BZ1304" s="2" t="s">
        <v>100</v>
      </c>
    </row>
    <row r="1305">
      <c r="A1305" s="2" t="s">
        <v>4224</v>
      </c>
      <c r="B1305" s="2" t="s">
        <v>87</v>
      </c>
      <c r="C1305" s="2" t="s">
        <v>4104</v>
      </c>
      <c r="D1305" s="2" t="s">
        <v>89</v>
      </c>
      <c r="E1305" s="2" t="s">
        <v>2030</v>
      </c>
      <c r="F1305" s="2" t="s">
        <v>4210</v>
      </c>
      <c r="G1305" s="2" t="s">
        <v>4210</v>
      </c>
      <c r="H1305" s="2" t="s">
        <v>4210</v>
      </c>
      <c r="I1305" s="2" t="s">
        <v>4211</v>
      </c>
      <c r="J1305" s="2" t="s">
        <v>785</v>
      </c>
      <c r="K1305" s="2" t="s">
        <v>198</v>
      </c>
      <c r="L1305" s="3">
        <v>61.18</v>
      </c>
      <c r="M1305" s="3">
        <v>64.24</v>
      </c>
      <c r="N1305" s="3">
        <v>129.99</v>
      </c>
      <c r="O1305" s="2" t="s">
        <v>97</v>
      </c>
      <c r="P1305" s="2" t="s">
        <v>281</v>
      </c>
      <c r="Q1305" s="2" t="s">
        <v>99</v>
      </c>
      <c r="R1305" s="2" t="s">
        <v>100</v>
      </c>
      <c r="S1305" s="2" t="s">
        <v>4225</v>
      </c>
      <c r="T1305" s="2" t="s">
        <v>359</v>
      </c>
      <c r="U1305" s="2" t="s">
        <v>1508</v>
      </c>
      <c r="V1305" s="2" t="s">
        <v>4142</v>
      </c>
      <c r="W1305" s="2" t="s">
        <v>1064</v>
      </c>
      <c r="X1305" s="2" t="s">
        <v>898</v>
      </c>
      <c r="Y1305" s="2" t="s">
        <v>4226</v>
      </c>
      <c r="Z1305" s="4">
        <v>1418</v>
      </c>
      <c r="AA1305" s="4">
        <f>=ROUNDDOWN(27.2692307692308,0)</f>
      </c>
      <c r="AB1305" s="5">
        <v>52</v>
      </c>
      <c r="AC1305" s="2" t="s">
        <v>406</v>
      </c>
      <c r="AD1305" s="4">
        <v>130</v>
      </c>
      <c r="AE1305" s="4">
        <v>1080</v>
      </c>
      <c r="AF1305" s="6">
        <v>69</v>
      </c>
      <c r="AG1305" s="6">
        <v>77</v>
      </c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/>
      <c r="AQ1305" s="8"/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/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/>
      <c r="BJ1305" s="4">
        <v>44</v>
      </c>
      <c r="BK1305" s="8">
        <v>2954.46</v>
      </c>
      <c r="BL1305" s="2" t="s">
        <v>2603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109</v>
      </c>
      <c r="BV1305" s="2" t="s">
        <v>97</v>
      </c>
      <c r="BW1305" s="2" t="s">
        <v>723</v>
      </c>
      <c r="BX1305" s="2" t="s">
        <v>170</v>
      </c>
      <c r="BY1305" s="2" t="s">
        <v>112</v>
      </c>
      <c r="BZ1305" s="2" t="s">
        <v>100</v>
      </c>
    </row>
    <row r="1306">
      <c r="A1306" s="2" t="s">
        <v>4227</v>
      </c>
      <c r="B1306" s="2" t="s">
        <v>87</v>
      </c>
      <c r="C1306" s="2" t="s">
        <v>4104</v>
      </c>
      <c r="D1306" s="2" t="s">
        <v>89</v>
      </c>
      <c r="E1306" s="2" t="s">
        <v>2030</v>
      </c>
      <c r="F1306" s="2" t="s">
        <v>4210</v>
      </c>
      <c r="G1306" s="2" t="s">
        <v>4210</v>
      </c>
      <c r="H1306" s="2" t="s">
        <v>4210</v>
      </c>
      <c r="I1306" s="2" t="s">
        <v>4211</v>
      </c>
      <c r="J1306" s="2" t="s">
        <v>795</v>
      </c>
      <c r="K1306" s="2" t="s">
        <v>198</v>
      </c>
      <c r="L1306" s="3">
        <v>74.29</v>
      </c>
      <c r="M1306" s="3">
        <v>78</v>
      </c>
      <c r="N1306" s="3">
        <v>159.99</v>
      </c>
      <c r="O1306" s="2" t="s">
        <v>97</v>
      </c>
      <c r="P1306" s="2" t="s">
        <v>281</v>
      </c>
      <c r="Q1306" s="2" t="s">
        <v>99</v>
      </c>
      <c r="R1306" s="2" t="s">
        <v>100</v>
      </c>
      <c r="S1306" s="2" t="s">
        <v>4225</v>
      </c>
      <c r="T1306" s="2" t="s">
        <v>359</v>
      </c>
      <c r="U1306" s="2" t="s">
        <v>1508</v>
      </c>
      <c r="V1306" s="2" t="s">
        <v>4142</v>
      </c>
      <c r="W1306" s="2" t="s">
        <v>1064</v>
      </c>
      <c r="X1306" s="2" t="s">
        <v>898</v>
      </c>
      <c r="Y1306" s="2" t="s">
        <v>4226</v>
      </c>
      <c r="Z1306" s="4">
        <v>1731</v>
      </c>
      <c r="AA1306" s="4">
        <f>=ROUNDDOWN(19.2333333333333,0)</f>
      </c>
      <c r="AB1306" s="5">
        <v>90</v>
      </c>
      <c r="AC1306" s="2" t="s">
        <v>680</v>
      </c>
      <c r="AD1306" s="4">
        <v>212</v>
      </c>
      <c r="AE1306" s="4">
        <v>3590</v>
      </c>
      <c r="AF1306" s="6">
        <v>69</v>
      </c>
      <c r="AG1306" s="6">
        <v>77</v>
      </c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/>
      <c r="AQ1306" s="8"/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/>
      <c r="BJ1306" s="4">
        <v>177</v>
      </c>
      <c r="BK1306" s="8">
        <v>14251.5</v>
      </c>
      <c r="BL1306" s="2" t="s">
        <v>3219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109</v>
      </c>
      <c r="BV1306" s="2" t="s">
        <v>97</v>
      </c>
      <c r="BW1306" s="2" t="s">
        <v>723</v>
      </c>
      <c r="BX1306" s="2" t="s">
        <v>127</v>
      </c>
      <c r="BY1306" s="2" t="s">
        <v>112</v>
      </c>
      <c r="BZ1306" s="2" t="s">
        <v>100</v>
      </c>
    </row>
    <row r="1307">
      <c r="A1307" s="2" t="s">
        <v>4228</v>
      </c>
      <c r="B1307" s="2" t="s">
        <v>87</v>
      </c>
      <c r="C1307" s="2" t="s">
        <v>4104</v>
      </c>
      <c r="D1307" s="2" t="s">
        <v>89</v>
      </c>
      <c r="E1307" s="2" t="s">
        <v>2030</v>
      </c>
      <c r="F1307" s="2" t="s">
        <v>4210</v>
      </c>
      <c r="G1307" s="2" t="s">
        <v>4210</v>
      </c>
      <c r="H1307" s="2" t="s">
        <v>4210</v>
      </c>
      <c r="I1307" s="2" t="s">
        <v>4211</v>
      </c>
      <c r="J1307" s="2" t="s">
        <v>785</v>
      </c>
      <c r="K1307" s="2" t="s">
        <v>4229</v>
      </c>
      <c r="L1307" s="3">
        <v>61.18</v>
      </c>
      <c r="M1307" s="3">
        <v>64.24</v>
      </c>
      <c r="N1307" s="3">
        <v>129.99</v>
      </c>
      <c r="O1307" s="2" t="s">
        <v>97</v>
      </c>
      <c r="P1307" s="2" t="s">
        <v>281</v>
      </c>
      <c r="Q1307" s="2" t="s">
        <v>99</v>
      </c>
      <c r="R1307" s="2" t="s">
        <v>100</v>
      </c>
      <c r="S1307" s="2" t="s">
        <v>4230</v>
      </c>
      <c r="T1307" s="2" t="s">
        <v>359</v>
      </c>
      <c r="U1307" s="2" t="s">
        <v>1508</v>
      </c>
      <c r="V1307" s="2" t="s">
        <v>4142</v>
      </c>
      <c r="W1307" s="2" t="s">
        <v>1064</v>
      </c>
      <c r="X1307" s="2" t="s">
        <v>898</v>
      </c>
      <c r="Y1307" s="2" t="s">
        <v>4231</v>
      </c>
      <c r="Z1307" s="4">
        <v>1041</v>
      </c>
      <c r="AA1307" s="4">
        <f>=ROUNDDOWN(28.9166666666667,0)</f>
      </c>
      <c r="AB1307" s="5">
        <v>36</v>
      </c>
      <c r="AC1307" s="2" t="s">
        <v>1377</v>
      </c>
      <c r="AD1307" s="4">
        <v>300</v>
      </c>
      <c r="AE1307" s="4">
        <v>950</v>
      </c>
      <c r="AF1307" s="6">
        <v>69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/>
      <c r="AQ1307" s="8"/>
      <c r="AR1307" s="4"/>
      <c r="AS1307" s="8"/>
      <c r="AT1307" s="7"/>
      <c r="AU1307" s="7"/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/>
      <c r="BJ1307" s="4">
        <v>24</v>
      </c>
      <c r="BK1307" s="8">
        <v>1711.24</v>
      </c>
      <c r="BL1307" s="2" t="s">
        <v>4232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109</v>
      </c>
      <c r="BV1307" s="2" t="s">
        <v>97</v>
      </c>
      <c r="BW1307" s="2" t="s">
        <v>1221</v>
      </c>
      <c r="BX1307" s="2" t="s">
        <v>100</v>
      </c>
      <c r="BY1307" s="2" t="s">
        <v>112</v>
      </c>
      <c r="BZ1307" s="2" t="s">
        <v>100</v>
      </c>
    </row>
    <row r="1308">
      <c r="A1308" s="2" t="s">
        <v>4233</v>
      </c>
      <c r="B1308" s="2" t="s">
        <v>87</v>
      </c>
      <c r="C1308" s="2" t="s">
        <v>4104</v>
      </c>
      <c r="D1308" s="2" t="s">
        <v>89</v>
      </c>
      <c r="E1308" s="2" t="s">
        <v>2030</v>
      </c>
      <c r="F1308" s="2" t="s">
        <v>4210</v>
      </c>
      <c r="G1308" s="2" t="s">
        <v>4210</v>
      </c>
      <c r="H1308" s="2" t="s">
        <v>4210</v>
      </c>
      <c r="I1308" s="2" t="s">
        <v>4211</v>
      </c>
      <c r="J1308" s="2" t="s">
        <v>795</v>
      </c>
      <c r="K1308" s="2" t="s">
        <v>4229</v>
      </c>
      <c r="L1308" s="3">
        <v>74.29</v>
      </c>
      <c r="M1308" s="3">
        <v>78</v>
      </c>
      <c r="N1308" s="3">
        <v>159.99</v>
      </c>
      <c r="O1308" s="2" t="s">
        <v>97</v>
      </c>
      <c r="P1308" s="2" t="s">
        <v>281</v>
      </c>
      <c r="Q1308" s="2" t="s">
        <v>99</v>
      </c>
      <c r="R1308" s="2" t="s">
        <v>100</v>
      </c>
      <c r="S1308" s="2" t="s">
        <v>4230</v>
      </c>
      <c r="T1308" s="2" t="s">
        <v>359</v>
      </c>
      <c r="U1308" s="2" t="s">
        <v>1508</v>
      </c>
      <c r="V1308" s="2" t="s">
        <v>4142</v>
      </c>
      <c r="W1308" s="2" t="s">
        <v>1064</v>
      </c>
      <c r="X1308" s="2" t="s">
        <v>898</v>
      </c>
      <c r="Y1308" s="2" t="s">
        <v>4231</v>
      </c>
      <c r="Z1308" s="4">
        <v>1224</v>
      </c>
      <c r="AA1308" s="4">
        <f>=ROUNDDOWN(38.25,0)</f>
      </c>
      <c r="AB1308" s="5">
        <v>32</v>
      </c>
      <c r="AC1308" s="2" t="s">
        <v>429</v>
      </c>
      <c r="AD1308" s="4">
        <v>250</v>
      </c>
      <c r="AE1308" s="4">
        <v>450</v>
      </c>
      <c r="AF1308" s="6">
        <v>69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/>
      <c r="BJ1308" s="4">
        <v>18</v>
      </c>
      <c r="BK1308" s="8">
        <v>1536.8</v>
      </c>
      <c r="BL1308" s="2" t="s">
        <v>4234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109</v>
      </c>
      <c r="BV1308" s="2" t="s">
        <v>97</v>
      </c>
      <c r="BW1308" s="2" t="s">
        <v>1221</v>
      </c>
      <c r="BX1308" s="2" t="s">
        <v>100</v>
      </c>
      <c r="BY1308" s="2" t="s">
        <v>112</v>
      </c>
      <c r="BZ1308" s="2" t="s">
        <v>100</v>
      </c>
    </row>
    <row r="1309">
      <c r="A1309" s="2" t="s">
        <v>4235</v>
      </c>
      <c r="B1309" s="2" t="s">
        <v>87</v>
      </c>
      <c r="C1309" s="2" t="s">
        <v>4104</v>
      </c>
      <c r="D1309" s="2" t="s">
        <v>89</v>
      </c>
      <c r="E1309" s="2" t="s">
        <v>2030</v>
      </c>
      <c r="F1309" s="2" t="s">
        <v>4236</v>
      </c>
      <c r="G1309" s="2" t="s">
        <v>4236</v>
      </c>
      <c r="H1309" s="2" t="s">
        <v>4236</v>
      </c>
      <c r="I1309" s="2" t="s">
        <v>4192</v>
      </c>
      <c r="J1309" s="2" t="s">
        <v>785</v>
      </c>
      <c r="K1309" s="2" t="s">
        <v>340</v>
      </c>
      <c r="L1309" s="3">
        <v>65</v>
      </c>
      <c r="M1309" s="3">
        <v>68.25</v>
      </c>
      <c r="N1309" s="3">
        <v>129.99</v>
      </c>
      <c r="O1309" s="2" t="s">
        <v>97</v>
      </c>
      <c r="P1309" s="2" t="s">
        <v>383</v>
      </c>
      <c r="Q1309" s="2" t="s">
        <v>99</v>
      </c>
      <c r="R1309" s="2" t="s">
        <v>100</v>
      </c>
      <c r="S1309" s="2" t="s">
        <v>4237</v>
      </c>
      <c r="T1309" s="2" t="s">
        <v>359</v>
      </c>
      <c r="U1309" s="2" t="s">
        <v>1508</v>
      </c>
      <c r="V1309" s="2" t="s">
        <v>645</v>
      </c>
      <c r="W1309" s="2" t="s">
        <v>3803</v>
      </c>
      <c r="X1309" s="2" t="s">
        <v>976</v>
      </c>
      <c r="Y1309" s="2" t="s">
        <v>4146</v>
      </c>
      <c r="Z1309" s="4">
        <v>314</v>
      </c>
      <c r="AA1309" s="4">
        <f>=ROUNDDOWN(16.5263157894737,0)</f>
      </c>
      <c r="AB1309" s="5">
        <v>19</v>
      </c>
      <c r="AC1309" s="2" t="s">
        <v>680</v>
      </c>
      <c r="AD1309" s="4">
        <v>50</v>
      </c>
      <c r="AE1309" s="4">
        <v>600</v>
      </c>
      <c r="AF1309" s="6">
        <v>67</v>
      </c>
      <c r="AG1309" s="6">
        <v>75</v>
      </c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/>
      <c r="AQ1309" s="8"/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/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/>
      <c r="BJ1309" s="4">
        <v>9</v>
      </c>
      <c r="BK1309" s="8">
        <v>670.52</v>
      </c>
      <c r="BL1309" s="2" t="s">
        <v>4238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109</v>
      </c>
      <c r="BV1309" s="2" t="s">
        <v>97</v>
      </c>
      <c r="BW1309" s="2" t="s">
        <v>110</v>
      </c>
      <c r="BX1309" s="2" t="s">
        <v>267</v>
      </c>
      <c r="BY1309" s="2" t="s">
        <v>112</v>
      </c>
      <c r="BZ1309" s="2" t="s">
        <v>100</v>
      </c>
    </row>
    <row r="1310">
      <c r="A1310" s="2" t="s">
        <v>4239</v>
      </c>
      <c r="B1310" s="2" t="s">
        <v>87</v>
      </c>
      <c r="C1310" s="2" t="s">
        <v>4104</v>
      </c>
      <c r="D1310" s="2" t="s">
        <v>89</v>
      </c>
      <c r="E1310" s="2" t="s">
        <v>2030</v>
      </c>
      <c r="F1310" s="2" t="s">
        <v>4236</v>
      </c>
      <c r="G1310" s="2" t="s">
        <v>4236</v>
      </c>
      <c r="H1310" s="2" t="s">
        <v>4236</v>
      </c>
      <c r="I1310" s="2" t="s">
        <v>4192</v>
      </c>
      <c r="J1310" s="2" t="s">
        <v>795</v>
      </c>
      <c r="K1310" s="2" t="s">
        <v>340</v>
      </c>
      <c r="L1310" s="3">
        <v>80</v>
      </c>
      <c r="M1310" s="3">
        <v>84</v>
      </c>
      <c r="N1310" s="3">
        <v>159.99</v>
      </c>
      <c r="O1310" s="2" t="s">
        <v>97</v>
      </c>
      <c r="P1310" s="2" t="s">
        <v>383</v>
      </c>
      <c r="Q1310" s="2" t="s">
        <v>99</v>
      </c>
      <c r="R1310" s="2" t="s">
        <v>100</v>
      </c>
      <c r="S1310" s="2" t="s">
        <v>4237</v>
      </c>
      <c r="T1310" s="2" t="s">
        <v>359</v>
      </c>
      <c r="U1310" s="2" t="s">
        <v>1508</v>
      </c>
      <c r="V1310" s="2" t="s">
        <v>645</v>
      </c>
      <c r="W1310" s="2" t="s">
        <v>3803</v>
      </c>
      <c r="X1310" s="2" t="s">
        <v>976</v>
      </c>
      <c r="Y1310" s="2" t="s">
        <v>4146</v>
      </c>
      <c r="Z1310" s="4">
        <v>356</v>
      </c>
      <c r="AA1310" s="4">
        <f>=ROUNDDOWN(27.3846153846154,0)</f>
      </c>
      <c r="AB1310" s="5">
        <v>13</v>
      </c>
      <c r="AC1310" s="2" t="s">
        <v>680</v>
      </c>
      <c r="AD1310" s="4">
        <v>72</v>
      </c>
      <c r="AE1310" s="4">
        <v>352</v>
      </c>
      <c r="AF1310" s="6">
        <v>67</v>
      </c>
      <c r="AG1310" s="6">
        <v>75</v>
      </c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/>
      <c r="AQ1310" s="8"/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/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/>
      <c r="BJ1310" s="4">
        <v>1</v>
      </c>
      <c r="BK1310" s="8">
        <v>91.99</v>
      </c>
      <c r="BL1310" s="2" t="s">
        <v>625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110</v>
      </c>
      <c r="BX1310" s="2" t="s">
        <v>289</v>
      </c>
      <c r="BY1310" s="2" t="s">
        <v>112</v>
      </c>
      <c r="BZ1310" s="2" t="s">
        <v>100</v>
      </c>
    </row>
    <row r="1311">
      <c r="A1311" s="2" t="s">
        <v>4240</v>
      </c>
      <c r="B1311" s="2" t="s">
        <v>87</v>
      </c>
      <c r="C1311" s="2" t="s">
        <v>4104</v>
      </c>
      <c r="D1311" s="2" t="s">
        <v>89</v>
      </c>
      <c r="E1311" s="2" t="s">
        <v>2030</v>
      </c>
      <c r="F1311" s="2" t="s">
        <v>4236</v>
      </c>
      <c r="G1311" s="2" t="s">
        <v>4236</v>
      </c>
      <c r="H1311" s="2" t="s">
        <v>4236</v>
      </c>
      <c r="I1311" s="2" t="s">
        <v>4192</v>
      </c>
      <c r="J1311" s="2" t="s">
        <v>785</v>
      </c>
      <c r="K1311" s="2" t="s">
        <v>96</v>
      </c>
      <c r="L1311" s="3">
        <v>65</v>
      </c>
      <c r="M1311" s="3">
        <v>68.25</v>
      </c>
      <c r="N1311" s="3">
        <v>129.99</v>
      </c>
      <c r="O1311" s="2" t="s">
        <v>473</v>
      </c>
      <c r="P1311" s="2" t="s">
        <v>447</v>
      </c>
      <c r="Q1311" s="2" t="s">
        <v>99</v>
      </c>
      <c r="R1311" s="2" t="s">
        <v>100</v>
      </c>
      <c r="S1311" s="2" t="s">
        <v>4241</v>
      </c>
      <c r="T1311" s="2" t="s">
        <v>359</v>
      </c>
      <c r="U1311" s="2" t="s">
        <v>1508</v>
      </c>
      <c r="V1311" s="2" t="s">
        <v>645</v>
      </c>
      <c r="W1311" s="2" t="s">
        <v>3803</v>
      </c>
      <c r="X1311" s="2" t="s">
        <v>976</v>
      </c>
      <c r="Y1311" s="2" t="s">
        <v>4242</v>
      </c>
      <c r="Z1311" s="4">
        <v>418</v>
      </c>
      <c r="AA1311" s="4">
        <f>=ROUNDDOWN(59.7142857142857,0)</f>
      </c>
      <c r="AB1311" s="5">
        <v>7</v>
      </c>
      <c r="AC1311" s="2" t="s">
        <v>100</v>
      </c>
      <c r="AD1311" s="4"/>
      <c r="AE1311" s="4"/>
      <c r="AF1311" s="6">
        <v>67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/>
      <c r="AQ1311" s="8"/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/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/>
      <c r="BJ1311" s="4">
        <v>3</v>
      </c>
      <c r="BK1311" s="8">
        <v>199.94</v>
      </c>
      <c r="BL1311" s="2" t="s">
        <v>4243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3088</v>
      </c>
      <c r="BV1311" s="2" t="s">
        <v>97</v>
      </c>
      <c r="BW1311" s="2" t="s">
        <v>100</v>
      </c>
      <c r="BX1311" s="2" t="s">
        <v>100</v>
      </c>
      <c r="BY1311" s="2" t="s">
        <v>112</v>
      </c>
      <c r="BZ1311" s="2" t="s">
        <v>100</v>
      </c>
    </row>
    <row r="1312">
      <c r="A1312" s="2" t="s">
        <v>4244</v>
      </c>
      <c r="B1312" s="2" t="s">
        <v>87</v>
      </c>
      <c r="C1312" s="2" t="s">
        <v>4104</v>
      </c>
      <c r="D1312" s="2" t="s">
        <v>89</v>
      </c>
      <c r="E1312" s="2" t="s">
        <v>2030</v>
      </c>
      <c r="F1312" s="2" t="s">
        <v>4236</v>
      </c>
      <c r="G1312" s="2" t="s">
        <v>4236</v>
      </c>
      <c r="H1312" s="2" t="s">
        <v>4236</v>
      </c>
      <c r="I1312" s="2" t="s">
        <v>4192</v>
      </c>
      <c r="J1312" s="2" t="s">
        <v>795</v>
      </c>
      <c r="K1312" s="2" t="s">
        <v>96</v>
      </c>
      <c r="L1312" s="3">
        <v>80</v>
      </c>
      <c r="M1312" s="3">
        <v>84</v>
      </c>
      <c r="N1312" s="3">
        <v>159.99</v>
      </c>
      <c r="O1312" s="2" t="s">
        <v>473</v>
      </c>
      <c r="P1312" s="2" t="s">
        <v>447</v>
      </c>
      <c r="Q1312" s="2" t="s">
        <v>99</v>
      </c>
      <c r="R1312" s="2" t="s">
        <v>100</v>
      </c>
      <c r="S1312" s="2" t="s">
        <v>4241</v>
      </c>
      <c r="T1312" s="2" t="s">
        <v>359</v>
      </c>
      <c r="U1312" s="2" t="s">
        <v>1508</v>
      </c>
      <c r="V1312" s="2" t="s">
        <v>645</v>
      </c>
      <c r="W1312" s="2" t="s">
        <v>3803</v>
      </c>
      <c r="X1312" s="2" t="s">
        <v>976</v>
      </c>
      <c r="Y1312" s="2" t="s">
        <v>4242</v>
      </c>
      <c r="Z1312" s="4">
        <v>235</v>
      </c>
      <c r="AA1312" s="4">
        <f>=ROUNDDOWN(58.75,0)</f>
      </c>
      <c r="AB1312" s="5">
        <v>4</v>
      </c>
      <c r="AC1312" s="2" t="s">
        <v>100</v>
      </c>
      <c r="AD1312" s="4"/>
      <c r="AE1312" s="4"/>
      <c r="AF1312" s="6">
        <v>67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/>
      <c r="AQ1312" s="8"/>
      <c r="AR1312" s="4"/>
      <c r="AS1312" s="8"/>
      <c r="AT1312" s="7"/>
      <c r="AU1312" s="7"/>
      <c r="AV1312" s="4" t="s">
        <v>100</v>
      </c>
      <c r="AW1312" s="8" t="s">
        <v>100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/>
      <c r="BJ1312" s="4">
        <v>1</v>
      </c>
      <c r="BK1312" s="8">
        <v>83.99</v>
      </c>
      <c r="BL1312" s="2" t="s">
        <v>1882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3088</v>
      </c>
      <c r="BV1312" s="2" t="s">
        <v>97</v>
      </c>
      <c r="BW1312" s="2" t="s">
        <v>100</v>
      </c>
      <c r="BX1312" s="2" t="s">
        <v>100</v>
      </c>
      <c r="BY1312" s="2" t="s">
        <v>112</v>
      </c>
      <c r="BZ1312" s="2" t="s">
        <v>100</v>
      </c>
    </row>
    <row r="1313">
      <c r="A1313" s="2" t="s">
        <v>4245</v>
      </c>
      <c r="B1313" s="2" t="s">
        <v>87</v>
      </c>
      <c r="C1313" s="2" t="s">
        <v>4104</v>
      </c>
      <c r="D1313" s="2" t="s">
        <v>89</v>
      </c>
      <c r="E1313" s="2" t="s">
        <v>2030</v>
      </c>
      <c r="F1313" s="2" t="s">
        <v>4236</v>
      </c>
      <c r="G1313" s="2" t="s">
        <v>4236</v>
      </c>
      <c r="H1313" s="2" t="s">
        <v>4236</v>
      </c>
      <c r="I1313" s="2" t="s">
        <v>4192</v>
      </c>
      <c r="J1313" s="2" t="s">
        <v>785</v>
      </c>
      <c r="K1313" s="2" t="s">
        <v>1263</v>
      </c>
      <c r="L1313" s="3">
        <v>65</v>
      </c>
      <c r="M1313" s="3">
        <v>68.25</v>
      </c>
      <c r="N1313" s="3">
        <v>129.99</v>
      </c>
      <c r="O1313" s="2" t="s">
        <v>97</v>
      </c>
      <c r="P1313" s="2" t="s">
        <v>98</v>
      </c>
      <c r="Q1313" s="2" t="s">
        <v>99</v>
      </c>
      <c r="R1313" s="2" t="s">
        <v>100</v>
      </c>
      <c r="S1313" s="2" t="s">
        <v>4246</v>
      </c>
      <c r="T1313" s="2" t="s">
        <v>359</v>
      </c>
      <c r="U1313" s="2" t="s">
        <v>1508</v>
      </c>
      <c r="V1313" s="2" t="s">
        <v>645</v>
      </c>
      <c r="W1313" s="2" t="s">
        <v>3803</v>
      </c>
      <c r="X1313" s="2" t="s">
        <v>976</v>
      </c>
      <c r="Y1313" s="2" t="s">
        <v>4247</v>
      </c>
      <c r="Z1313" s="4">
        <v>323</v>
      </c>
      <c r="AA1313" s="4">
        <f>=ROUNDDOWN(46.1428571428571,0)</f>
      </c>
      <c r="AB1313" s="5">
        <v>7</v>
      </c>
      <c r="AC1313" s="2" t="s">
        <v>100</v>
      </c>
      <c r="AD1313" s="4"/>
      <c r="AE1313" s="4"/>
      <c r="AF1313" s="6">
        <v>67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/>
      <c r="AQ1313" s="8"/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/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/>
      <c r="BJ1313" s="4">
        <v>5</v>
      </c>
      <c r="BK1313" s="8">
        <v>350.09</v>
      </c>
      <c r="BL1313" s="2" t="s">
        <v>204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3088</v>
      </c>
      <c r="BV1313" s="2" t="s">
        <v>97</v>
      </c>
      <c r="BW1313" s="2" t="s">
        <v>100</v>
      </c>
      <c r="BX1313" s="2" t="s">
        <v>100</v>
      </c>
      <c r="BY1313" s="2" t="s">
        <v>112</v>
      </c>
      <c r="BZ1313" s="2" t="s">
        <v>100</v>
      </c>
    </row>
    <row r="1314">
      <c r="A1314" s="2" t="s">
        <v>4248</v>
      </c>
      <c r="B1314" s="2" t="s">
        <v>87</v>
      </c>
      <c r="C1314" s="2" t="s">
        <v>4104</v>
      </c>
      <c r="D1314" s="2" t="s">
        <v>89</v>
      </c>
      <c r="E1314" s="2" t="s">
        <v>2030</v>
      </c>
      <c r="F1314" s="2" t="s">
        <v>4236</v>
      </c>
      <c r="G1314" s="2" t="s">
        <v>4236</v>
      </c>
      <c r="H1314" s="2" t="s">
        <v>4236</v>
      </c>
      <c r="I1314" s="2" t="s">
        <v>4192</v>
      </c>
      <c r="J1314" s="2" t="s">
        <v>795</v>
      </c>
      <c r="K1314" s="2" t="s">
        <v>1263</v>
      </c>
      <c r="L1314" s="3">
        <v>80</v>
      </c>
      <c r="M1314" s="3">
        <v>83.99</v>
      </c>
      <c r="N1314" s="3">
        <v>159.99</v>
      </c>
      <c r="O1314" s="2" t="s">
        <v>97</v>
      </c>
      <c r="P1314" s="2" t="s">
        <v>98</v>
      </c>
      <c r="Q1314" s="2" t="s">
        <v>99</v>
      </c>
      <c r="R1314" s="2" t="s">
        <v>100</v>
      </c>
      <c r="S1314" s="2" t="s">
        <v>4246</v>
      </c>
      <c r="T1314" s="2" t="s">
        <v>359</v>
      </c>
      <c r="U1314" s="2" t="s">
        <v>1508</v>
      </c>
      <c r="V1314" s="2" t="s">
        <v>645</v>
      </c>
      <c r="W1314" s="2" t="s">
        <v>3803</v>
      </c>
      <c r="X1314" s="2" t="s">
        <v>976</v>
      </c>
      <c r="Y1314" s="2" t="s">
        <v>4247</v>
      </c>
      <c r="Z1314" s="4">
        <v>361</v>
      </c>
      <c r="AA1314" s="4">
        <f>=ROUNDDOWN(45.125,0)</f>
      </c>
      <c r="AB1314" s="5">
        <v>8</v>
      </c>
      <c r="AC1314" s="2" t="s">
        <v>100</v>
      </c>
      <c r="AD1314" s="4"/>
      <c r="AE1314" s="4"/>
      <c r="AF1314" s="6">
        <v>67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/>
      <c r="BJ1314" s="4">
        <v>2</v>
      </c>
      <c r="BK1314" s="8">
        <v>178.9</v>
      </c>
      <c r="BL1314" s="2" t="s">
        <v>1643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3088</v>
      </c>
      <c r="BV1314" s="2" t="s">
        <v>97</v>
      </c>
      <c r="BW1314" s="2" t="s">
        <v>100</v>
      </c>
      <c r="BX1314" s="2" t="s">
        <v>100</v>
      </c>
      <c r="BY1314" s="2" t="s">
        <v>112</v>
      </c>
      <c r="BZ1314" s="2" t="s">
        <v>100</v>
      </c>
    </row>
    <row r="1315">
      <c r="A1315" s="2" t="s">
        <v>4249</v>
      </c>
      <c r="B1315" s="2" t="s">
        <v>87</v>
      </c>
      <c r="C1315" s="2" t="s">
        <v>4104</v>
      </c>
      <c r="D1315" s="2" t="s">
        <v>89</v>
      </c>
      <c r="E1315" s="2" t="s">
        <v>2030</v>
      </c>
      <c r="F1315" s="2" t="s">
        <v>4236</v>
      </c>
      <c r="G1315" s="2" t="s">
        <v>4236</v>
      </c>
      <c r="H1315" s="2" t="s">
        <v>4236</v>
      </c>
      <c r="I1315" s="2" t="s">
        <v>4192</v>
      </c>
      <c r="J1315" s="2" t="s">
        <v>785</v>
      </c>
      <c r="K1315" s="2" t="s">
        <v>198</v>
      </c>
      <c r="L1315" s="3">
        <v>65</v>
      </c>
      <c r="M1315" s="3">
        <v>68.25</v>
      </c>
      <c r="N1315" s="3">
        <v>129.99</v>
      </c>
      <c r="O1315" s="2" t="s">
        <v>473</v>
      </c>
      <c r="P1315" s="2" t="s">
        <v>447</v>
      </c>
      <c r="Q1315" s="2" t="s">
        <v>99</v>
      </c>
      <c r="R1315" s="2" t="s">
        <v>100</v>
      </c>
      <c r="S1315" s="2" t="s">
        <v>4250</v>
      </c>
      <c r="T1315" s="2" t="s">
        <v>359</v>
      </c>
      <c r="U1315" s="2" t="s">
        <v>1508</v>
      </c>
      <c r="V1315" s="2" t="s">
        <v>645</v>
      </c>
      <c r="W1315" s="2" t="s">
        <v>3803</v>
      </c>
      <c r="X1315" s="2" t="s">
        <v>976</v>
      </c>
      <c r="Y1315" s="2" t="s">
        <v>4247</v>
      </c>
      <c r="Z1315" s="4">
        <v>185</v>
      </c>
      <c r="AA1315" s="4">
        <f>=ROUNDDOWN(37,0)</f>
      </c>
      <c r="AB1315" s="5">
        <v>5</v>
      </c>
      <c r="AC1315" s="2" t="s">
        <v>680</v>
      </c>
      <c r="AD1315" s="4">
        <v>150</v>
      </c>
      <c r="AE1315" s="4">
        <v>150</v>
      </c>
      <c r="AF1315" s="6">
        <v>67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/>
      <c r="AQ1315" s="8"/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/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/>
      <c r="BJ1315" s="4">
        <v>2</v>
      </c>
      <c r="BK1315" s="8">
        <v>143.32</v>
      </c>
      <c r="BL1315" s="2" t="s">
        <v>1049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3088</v>
      </c>
      <c r="BV1315" s="2" t="s">
        <v>97</v>
      </c>
      <c r="BW1315" s="2" t="s">
        <v>100</v>
      </c>
      <c r="BX1315" s="2" t="s">
        <v>100</v>
      </c>
      <c r="BY1315" s="2" t="s">
        <v>112</v>
      </c>
      <c r="BZ1315" s="2" t="s">
        <v>100</v>
      </c>
    </row>
    <row r="1316">
      <c r="A1316" s="2" t="s">
        <v>4251</v>
      </c>
      <c r="B1316" s="2" t="s">
        <v>87</v>
      </c>
      <c r="C1316" s="2" t="s">
        <v>4104</v>
      </c>
      <c r="D1316" s="2" t="s">
        <v>89</v>
      </c>
      <c r="E1316" s="2" t="s">
        <v>2030</v>
      </c>
      <c r="F1316" s="2" t="s">
        <v>4236</v>
      </c>
      <c r="G1316" s="2" t="s">
        <v>4236</v>
      </c>
      <c r="H1316" s="2" t="s">
        <v>4236</v>
      </c>
      <c r="I1316" s="2" t="s">
        <v>4192</v>
      </c>
      <c r="J1316" s="2" t="s">
        <v>795</v>
      </c>
      <c r="K1316" s="2" t="s">
        <v>198</v>
      </c>
      <c r="L1316" s="3">
        <v>80</v>
      </c>
      <c r="M1316" s="3">
        <v>83.99</v>
      </c>
      <c r="N1316" s="3">
        <v>159.99</v>
      </c>
      <c r="O1316" s="2" t="s">
        <v>473</v>
      </c>
      <c r="P1316" s="2" t="s">
        <v>447</v>
      </c>
      <c r="Q1316" s="2" t="s">
        <v>99</v>
      </c>
      <c r="R1316" s="2" t="s">
        <v>100</v>
      </c>
      <c r="S1316" s="2" t="s">
        <v>4250</v>
      </c>
      <c r="T1316" s="2" t="s">
        <v>359</v>
      </c>
      <c r="U1316" s="2" t="s">
        <v>1508</v>
      </c>
      <c r="V1316" s="2" t="s">
        <v>645</v>
      </c>
      <c r="W1316" s="2" t="s">
        <v>3803</v>
      </c>
      <c r="X1316" s="2" t="s">
        <v>976</v>
      </c>
      <c r="Y1316" s="2" t="s">
        <v>4247</v>
      </c>
      <c r="Z1316" s="4">
        <v>168</v>
      </c>
      <c r="AA1316" s="4">
        <f>=ROUNDDOWN(42,0)</f>
      </c>
      <c r="AB1316" s="5">
        <v>4</v>
      </c>
      <c r="AC1316" s="2" t="s">
        <v>680</v>
      </c>
      <c r="AD1316" s="4">
        <v>90</v>
      </c>
      <c r="AE1316" s="4">
        <v>90</v>
      </c>
      <c r="AF1316" s="6">
        <v>67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/>
      <c r="AQ1316" s="8"/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/>
      <c r="BJ1316" s="4">
        <v>2</v>
      </c>
      <c r="BK1316" s="8">
        <v>180.58</v>
      </c>
      <c r="BL1316" s="2" t="s">
        <v>200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3088</v>
      </c>
      <c r="BV1316" s="2" t="s">
        <v>97</v>
      </c>
      <c r="BW1316" s="2" t="s">
        <v>100</v>
      </c>
      <c r="BX1316" s="2" t="s">
        <v>100</v>
      </c>
      <c r="BY1316" s="2" t="s">
        <v>112</v>
      </c>
      <c r="BZ1316" s="2" t="s">
        <v>100</v>
      </c>
    </row>
    <row r="1317">
      <c r="A1317" s="2" t="s">
        <v>4252</v>
      </c>
      <c r="B1317" s="2" t="s">
        <v>87</v>
      </c>
      <c r="C1317" s="2" t="s">
        <v>4104</v>
      </c>
      <c r="D1317" s="2" t="s">
        <v>89</v>
      </c>
      <c r="E1317" s="2" t="s">
        <v>2030</v>
      </c>
      <c r="F1317" s="2" t="s">
        <v>4253</v>
      </c>
      <c r="G1317" s="2" t="s">
        <v>4253</v>
      </c>
      <c r="H1317" s="2" t="s">
        <v>4253</v>
      </c>
      <c r="I1317" s="2" t="s">
        <v>4254</v>
      </c>
      <c r="J1317" s="2" t="s">
        <v>785</v>
      </c>
      <c r="K1317" s="2" t="s">
        <v>2860</v>
      </c>
      <c r="L1317" s="3">
        <v>70</v>
      </c>
      <c r="M1317" s="3">
        <v>73.49</v>
      </c>
      <c r="N1317" s="3">
        <v>139.99</v>
      </c>
      <c r="O1317" s="2" t="s">
        <v>1715</v>
      </c>
      <c r="P1317" s="2" t="s">
        <v>447</v>
      </c>
      <c r="Q1317" s="2" t="s">
        <v>99</v>
      </c>
      <c r="R1317" s="2" t="s">
        <v>100</v>
      </c>
      <c r="S1317" s="2" t="s">
        <v>4255</v>
      </c>
      <c r="T1317" s="2" t="s">
        <v>359</v>
      </c>
      <c r="U1317" s="2" t="s">
        <v>1508</v>
      </c>
      <c r="V1317" s="2" t="s">
        <v>805</v>
      </c>
      <c r="W1317" s="2" t="s">
        <v>788</v>
      </c>
      <c r="X1317" s="2" t="s">
        <v>976</v>
      </c>
      <c r="Y1317" s="2" t="s">
        <v>4256</v>
      </c>
      <c r="Z1317" s="4">
        <v>17</v>
      </c>
      <c r="AA1317" s="4">
        <f>=ROUNDDOWN(3.4,0)</f>
      </c>
      <c r="AB1317" s="5">
        <v>5</v>
      </c>
      <c r="AC1317" s="2" t="s">
        <v>100</v>
      </c>
      <c r="AD1317" s="4"/>
      <c r="AE1317" s="4"/>
      <c r="AF1317" s="6">
        <v>67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/>
      <c r="AQ1317" s="8"/>
      <c r="AR1317" s="4"/>
      <c r="AS1317" s="8"/>
      <c r="AT1317" s="7"/>
      <c r="AU1317" s="7"/>
      <c r="AV1317" s="4"/>
      <c r="AW1317" s="8"/>
      <c r="AX1317" s="4"/>
      <c r="AY1317" s="8"/>
      <c r="AZ1317" s="7"/>
      <c r="BA1317" s="7"/>
      <c r="BB1317" s="7"/>
      <c r="BC1317" s="4"/>
      <c r="BD1317" s="8"/>
      <c r="BE1317" s="4"/>
      <c r="BF1317" s="8"/>
      <c r="BG1317" s="7"/>
      <c r="BH1317" s="7"/>
      <c r="BI1317" s="7"/>
      <c r="BJ1317" s="4"/>
      <c r="BK1317" s="8"/>
      <c r="BL1317" s="2" t="s">
        <v>100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3088</v>
      </c>
      <c r="BV1317" s="2" t="s">
        <v>97</v>
      </c>
      <c r="BW1317" s="2" t="s">
        <v>100</v>
      </c>
      <c r="BX1317" s="2" t="s">
        <v>100</v>
      </c>
      <c r="BY1317" s="2" t="s">
        <v>112</v>
      </c>
      <c r="BZ1317" s="2" t="s">
        <v>100</v>
      </c>
    </row>
    <row r="1318">
      <c r="A1318" s="2" t="s">
        <v>4257</v>
      </c>
      <c r="B1318" s="2" t="s">
        <v>87</v>
      </c>
      <c r="C1318" s="2" t="s">
        <v>4104</v>
      </c>
      <c r="D1318" s="2" t="s">
        <v>89</v>
      </c>
      <c r="E1318" s="2" t="s">
        <v>2030</v>
      </c>
      <c r="F1318" s="2" t="s">
        <v>4258</v>
      </c>
      <c r="G1318" s="2" t="s">
        <v>4258</v>
      </c>
      <c r="H1318" s="2" t="s">
        <v>4258</v>
      </c>
      <c r="I1318" s="2" t="s">
        <v>4259</v>
      </c>
      <c r="J1318" s="2" t="s">
        <v>785</v>
      </c>
      <c r="K1318" s="2" t="s">
        <v>521</v>
      </c>
      <c r="L1318" s="3">
        <v>75.6</v>
      </c>
      <c r="M1318" s="3">
        <v>79.38</v>
      </c>
      <c r="N1318" s="3">
        <v>151.99</v>
      </c>
      <c r="O1318" s="2" t="s">
        <v>97</v>
      </c>
      <c r="P1318" s="2" t="s">
        <v>242</v>
      </c>
      <c r="Q1318" s="2" t="s">
        <v>99</v>
      </c>
      <c r="R1318" s="2" t="s">
        <v>100</v>
      </c>
      <c r="S1318" s="2" t="s">
        <v>4260</v>
      </c>
      <c r="T1318" s="2" t="s">
        <v>359</v>
      </c>
      <c r="U1318" s="2" t="s">
        <v>1508</v>
      </c>
      <c r="V1318" s="2" t="s">
        <v>4142</v>
      </c>
      <c r="W1318" s="2" t="s">
        <v>1064</v>
      </c>
      <c r="X1318" s="2" t="s">
        <v>4187</v>
      </c>
      <c r="Y1318" s="2" t="s">
        <v>4261</v>
      </c>
      <c r="Z1318" s="4">
        <v>304</v>
      </c>
      <c r="AA1318" s="4">
        <f>=ROUNDDOWN(23.3846153846154,0)</f>
      </c>
      <c r="AB1318" s="5">
        <v>13</v>
      </c>
      <c r="AC1318" s="2" t="s">
        <v>680</v>
      </c>
      <c r="AD1318" s="4">
        <v>170</v>
      </c>
      <c r="AE1318" s="4">
        <v>320</v>
      </c>
      <c r="AF1318" s="6">
        <v>67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/>
      <c r="AQ1318" s="8"/>
      <c r="AR1318" s="4"/>
      <c r="AS1318" s="8"/>
      <c r="AT1318" s="7"/>
      <c r="AU1318" s="7"/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/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/>
      <c r="BJ1318" s="4">
        <v>9</v>
      </c>
      <c r="BK1318" s="8">
        <v>727.57</v>
      </c>
      <c r="BL1318" s="2" t="s">
        <v>4262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109</v>
      </c>
      <c r="BV1318" s="2" t="s">
        <v>97</v>
      </c>
      <c r="BW1318" s="2" t="s">
        <v>266</v>
      </c>
      <c r="BX1318" s="2" t="s">
        <v>267</v>
      </c>
      <c r="BY1318" s="2" t="s">
        <v>112</v>
      </c>
      <c r="BZ1318" s="2" t="s">
        <v>100</v>
      </c>
    </row>
    <row r="1319">
      <c r="A1319" s="2" t="s">
        <v>4263</v>
      </c>
      <c r="B1319" s="2" t="s">
        <v>87</v>
      </c>
      <c r="C1319" s="2" t="s">
        <v>4104</v>
      </c>
      <c r="D1319" s="2" t="s">
        <v>89</v>
      </c>
      <c r="E1319" s="2" t="s">
        <v>2030</v>
      </c>
      <c r="F1319" s="2" t="s">
        <v>4258</v>
      </c>
      <c r="G1319" s="2" t="s">
        <v>4258</v>
      </c>
      <c r="H1319" s="2" t="s">
        <v>4258</v>
      </c>
      <c r="I1319" s="2" t="s">
        <v>4259</v>
      </c>
      <c r="J1319" s="2" t="s">
        <v>795</v>
      </c>
      <c r="K1319" s="2" t="s">
        <v>521</v>
      </c>
      <c r="L1319" s="3">
        <v>91.8</v>
      </c>
      <c r="M1319" s="3">
        <v>96.39</v>
      </c>
      <c r="N1319" s="3">
        <v>183.99</v>
      </c>
      <c r="O1319" s="2" t="s">
        <v>97</v>
      </c>
      <c r="P1319" s="2" t="s">
        <v>242</v>
      </c>
      <c r="Q1319" s="2" t="s">
        <v>99</v>
      </c>
      <c r="R1319" s="2" t="s">
        <v>100</v>
      </c>
      <c r="S1319" s="2" t="s">
        <v>4260</v>
      </c>
      <c r="T1319" s="2" t="s">
        <v>359</v>
      </c>
      <c r="U1319" s="2" t="s">
        <v>1508</v>
      </c>
      <c r="V1319" s="2" t="s">
        <v>4142</v>
      </c>
      <c r="W1319" s="2" t="s">
        <v>1064</v>
      </c>
      <c r="X1319" s="2" t="s">
        <v>4187</v>
      </c>
      <c r="Y1319" s="2" t="s">
        <v>4261</v>
      </c>
      <c r="Z1319" s="4">
        <v>363</v>
      </c>
      <c r="AA1319" s="4">
        <f>=ROUNDDOWN(24.2,0)</f>
      </c>
      <c r="AB1319" s="5">
        <v>15</v>
      </c>
      <c r="AC1319" s="2" t="s">
        <v>680</v>
      </c>
      <c r="AD1319" s="4">
        <v>110</v>
      </c>
      <c r="AE1319" s="4">
        <v>280</v>
      </c>
      <c r="AF1319" s="6">
        <v>67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/>
      <c r="AQ1319" s="8"/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/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/>
      <c r="BJ1319" s="4">
        <v>7</v>
      </c>
      <c r="BK1319" s="8">
        <v>660.27</v>
      </c>
      <c r="BL1319" s="2" t="s">
        <v>4264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109</v>
      </c>
      <c r="BV1319" s="2" t="s">
        <v>97</v>
      </c>
      <c r="BW1319" s="2" t="s">
        <v>266</v>
      </c>
      <c r="BX1319" s="2" t="s">
        <v>267</v>
      </c>
      <c r="BY1319" s="2" t="s">
        <v>112</v>
      </c>
      <c r="BZ1319" s="2" t="s">
        <v>100</v>
      </c>
    </row>
    <row r="1320">
      <c r="A1320" s="2" t="s">
        <v>4265</v>
      </c>
      <c r="B1320" s="2" t="s">
        <v>87</v>
      </c>
      <c r="C1320" s="2" t="s">
        <v>4104</v>
      </c>
      <c r="D1320" s="2" t="s">
        <v>89</v>
      </c>
      <c r="E1320" s="2" t="s">
        <v>2030</v>
      </c>
      <c r="F1320" s="2" t="s">
        <v>4266</v>
      </c>
      <c r="G1320" s="2" t="s">
        <v>4266</v>
      </c>
      <c r="H1320" s="2" t="s">
        <v>4266</v>
      </c>
      <c r="I1320" s="2" t="s">
        <v>4267</v>
      </c>
      <c r="J1320" s="2" t="s">
        <v>785</v>
      </c>
      <c r="K1320" s="2" t="s">
        <v>1263</v>
      </c>
      <c r="L1320" s="3">
        <v>62.49</v>
      </c>
      <c r="M1320" s="3">
        <v>65.62</v>
      </c>
      <c r="N1320" s="3">
        <v>124.99</v>
      </c>
      <c r="O1320" s="2" t="s">
        <v>1715</v>
      </c>
      <c r="P1320" s="2" t="s">
        <v>447</v>
      </c>
      <c r="Q1320" s="2" t="s">
        <v>99</v>
      </c>
      <c r="R1320" s="2" t="s">
        <v>100</v>
      </c>
      <c r="S1320" s="2" t="s">
        <v>4268</v>
      </c>
      <c r="T1320" s="2" t="s">
        <v>359</v>
      </c>
      <c r="U1320" s="2" t="s">
        <v>1508</v>
      </c>
      <c r="V1320" s="2" t="s">
        <v>103</v>
      </c>
      <c r="W1320" s="2" t="s">
        <v>646</v>
      </c>
      <c r="X1320" s="2" t="s">
        <v>788</v>
      </c>
      <c r="Y1320" s="2" t="s">
        <v>4269</v>
      </c>
      <c r="Z1320" s="4">
        <v>17</v>
      </c>
      <c r="AA1320" s="4">
        <f>=ROUNDDOWN(13.0769230769231,0)</f>
      </c>
      <c r="AB1320" s="5">
        <v>1.3</v>
      </c>
      <c r="AC1320" s="2" t="s">
        <v>100</v>
      </c>
      <c r="AD1320" s="4"/>
      <c r="AE1320" s="4"/>
      <c r="AF1320" s="6">
        <v>67</v>
      </c>
      <c r="AG1320" s="6"/>
      <c r="AH1320" s="7">
        <v>1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/>
      <c r="AQ1320" s="8"/>
      <c r="AR1320" s="4"/>
      <c r="AS1320" s="8"/>
      <c r="AT1320" s="7"/>
      <c r="AU1320" s="7"/>
      <c r="AV1320" s="4"/>
      <c r="AW1320" s="8"/>
      <c r="AX1320" s="4"/>
      <c r="AY1320" s="8"/>
      <c r="AZ1320" s="7"/>
      <c r="BA1320" s="7"/>
      <c r="BB1320" s="7"/>
      <c r="BC1320" s="4"/>
      <c r="BD1320" s="8"/>
      <c r="BE1320" s="4"/>
      <c r="BF1320" s="8"/>
      <c r="BG1320" s="7"/>
      <c r="BH1320" s="7"/>
      <c r="BI1320" s="7"/>
      <c r="BJ1320" s="4">
        <v>2</v>
      </c>
      <c r="BK1320" s="8">
        <v>131.14</v>
      </c>
      <c r="BL1320" s="2" t="s">
        <v>441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109</v>
      </c>
      <c r="BV1320" s="2" t="s">
        <v>97</v>
      </c>
      <c r="BW1320" s="2" t="s">
        <v>3091</v>
      </c>
      <c r="BX1320" s="2" t="s">
        <v>4270</v>
      </c>
      <c r="BY1320" s="2" t="s">
        <v>112</v>
      </c>
      <c r="BZ1320" s="2" t="s">
        <v>100</v>
      </c>
    </row>
    <row r="1321">
      <c r="A1321" s="2" t="s">
        <v>4271</v>
      </c>
      <c r="B1321" s="2" t="s">
        <v>87</v>
      </c>
      <c r="C1321" s="2" t="s">
        <v>4104</v>
      </c>
      <c r="D1321" s="2" t="s">
        <v>89</v>
      </c>
      <c r="E1321" s="2" t="s">
        <v>2030</v>
      </c>
      <c r="F1321" s="2" t="s">
        <v>4272</v>
      </c>
      <c r="G1321" s="2" t="s">
        <v>4272</v>
      </c>
      <c r="H1321" s="2" t="s">
        <v>4272</v>
      </c>
      <c r="I1321" s="2" t="s">
        <v>4273</v>
      </c>
      <c r="J1321" s="2" t="s">
        <v>785</v>
      </c>
      <c r="K1321" s="2" t="s">
        <v>4274</v>
      </c>
      <c r="L1321" s="3">
        <v>51.84</v>
      </c>
      <c r="M1321" s="3">
        <v>54.43</v>
      </c>
      <c r="N1321" s="3">
        <v>104.99</v>
      </c>
      <c r="O1321" s="2" t="s">
        <v>97</v>
      </c>
      <c r="P1321" s="2" t="s">
        <v>383</v>
      </c>
      <c r="Q1321" s="2" t="s">
        <v>99</v>
      </c>
      <c r="R1321" s="2" t="s">
        <v>100</v>
      </c>
      <c r="S1321" s="2" t="s">
        <v>4275</v>
      </c>
      <c r="T1321" s="2" t="s">
        <v>359</v>
      </c>
      <c r="U1321" s="2" t="s">
        <v>1508</v>
      </c>
      <c r="V1321" s="2" t="s">
        <v>4187</v>
      </c>
      <c r="W1321" s="2" t="s">
        <v>105</v>
      </c>
      <c r="X1321" s="2" t="s">
        <v>4187</v>
      </c>
      <c r="Y1321" s="2" t="s">
        <v>4276</v>
      </c>
      <c r="Z1321" s="4">
        <v>124</v>
      </c>
      <c r="AA1321" s="4">
        <f>=ROUNDDOWN(9.76377952755906,0)</f>
      </c>
      <c r="AB1321" s="5">
        <v>12.7</v>
      </c>
      <c r="AC1321" s="2" t="s">
        <v>790</v>
      </c>
      <c r="AD1321" s="4">
        <v>100</v>
      </c>
      <c r="AE1321" s="4">
        <v>490</v>
      </c>
      <c r="AF1321" s="6">
        <v>66</v>
      </c>
      <c r="AG1321" s="6"/>
      <c r="AH1321" s="7">
        <v>1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/>
      <c r="BJ1321" s="4">
        <v>15</v>
      </c>
      <c r="BK1321" s="8">
        <v>865.66</v>
      </c>
      <c r="BL1321" s="2" t="s">
        <v>1447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109</v>
      </c>
      <c r="BV1321" s="2" t="s">
        <v>97</v>
      </c>
      <c r="BW1321" s="2" t="s">
        <v>266</v>
      </c>
      <c r="BX1321" s="2" t="s">
        <v>4277</v>
      </c>
      <c r="BY1321" s="2" t="s">
        <v>112</v>
      </c>
      <c r="BZ1321" s="2" t="s">
        <v>100</v>
      </c>
    </row>
    <row r="1322">
      <c r="A1322" s="2" t="s">
        <v>4278</v>
      </c>
      <c r="B1322" s="2" t="s">
        <v>87</v>
      </c>
      <c r="C1322" s="2" t="s">
        <v>4104</v>
      </c>
      <c r="D1322" s="2" t="s">
        <v>89</v>
      </c>
      <c r="E1322" s="2" t="s">
        <v>2030</v>
      </c>
      <c r="F1322" s="2" t="s">
        <v>4272</v>
      </c>
      <c r="G1322" s="2" t="s">
        <v>4272</v>
      </c>
      <c r="H1322" s="2" t="s">
        <v>4272</v>
      </c>
      <c r="I1322" s="2" t="s">
        <v>4273</v>
      </c>
      <c r="J1322" s="2" t="s">
        <v>795</v>
      </c>
      <c r="K1322" s="2" t="s">
        <v>4274</v>
      </c>
      <c r="L1322" s="3">
        <v>67.5</v>
      </c>
      <c r="M1322" s="3">
        <v>70.88</v>
      </c>
      <c r="N1322" s="3">
        <v>134.99</v>
      </c>
      <c r="O1322" s="2" t="s">
        <v>97</v>
      </c>
      <c r="P1322" s="2" t="s">
        <v>383</v>
      </c>
      <c r="Q1322" s="2" t="s">
        <v>99</v>
      </c>
      <c r="R1322" s="2" t="s">
        <v>100</v>
      </c>
      <c r="S1322" s="2" t="s">
        <v>4275</v>
      </c>
      <c r="T1322" s="2" t="s">
        <v>359</v>
      </c>
      <c r="U1322" s="2" t="s">
        <v>1508</v>
      </c>
      <c r="V1322" s="2" t="s">
        <v>4187</v>
      </c>
      <c r="W1322" s="2" t="s">
        <v>105</v>
      </c>
      <c r="X1322" s="2" t="s">
        <v>4187</v>
      </c>
      <c r="Y1322" s="2" t="s">
        <v>4276</v>
      </c>
      <c r="Z1322" s="4">
        <v>146</v>
      </c>
      <c r="AA1322" s="4">
        <f>=ROUNDDOWN(12.0661157024793,0)</f>
      </c>
      <c r="AB1322" s="5">
        <v>12.1</v>
      </c>
      <c r="AC1322" s="2" t="s">
        <v>790</v>
      </c>
      <c r="AD1322" s="4">
        <v>120</v>
      </c>
      <c r="AE1322" s="4">
        <v>540</v>
      </c>
      <c r="AF1322" s="6">
        <v>66</v>
      </c>
      <c r="AG1322" s="6"/>
      <c r="AH1322" s="7">
        <v>1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/>
      <c r="AQ1322" s="8"/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/>
      <c r="BJ1322" s="4">
        <v>12</v>
      </c>
      <c r="BK1322" s="8">
        <v>948.09</v>
      </c>
      <c r="BL1322" s="2" t="s">
        <v>720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109</v>
      </c>
      <c r="BV1322" s="2" t="s">
        <v>97</v>
      </c>
      <c r="BW1322" s="2" t="s">
        <v>266</v>
      </c>
      <c r="BX1322" s="2" t="s">
        <v>3805</v>
      </c>
      <c r="BY1322" s="2" t="s">
        <v>112</v>
      </c>
      <c r="BZ1322" s="2" t="s">
        <v>100</v>
      </c>
    </row>
    <row r="1323">
      <c r="A1323" s="2" t="s">
        <v>4279</v>
      </c>
      <c r="B1323" s="2" t="s">
        <v>87</v>
      </c>
      <c r="C1323" s="2" t="s">
        <v>4104</v>
      </c>
      <c r="D1323" s="2" t="s">
        <v>89</v>
      </c>
      <c r="E1323" s="2" t="s">
        <v>2030</v>
      </c>
      <c r="F1323" s="2" t="s">
        <v>4272</v>
      </c>
      <c r="G1323" s="2" t="s">
        <v>4272</v>
      </c>
      <c r="H1323" s="2" t="s">
        <v>4272</v>
      </c>
      <c r="I1323" s="2" t="s">
        <v>4273</v>
      </c>
      <c r="J1323" s="2" t="s">
        <v>785</v>
      </c>
      <c r="K1323" s="2" t="s">
        <v>4280</v>
      </c>
      <c r="L1323" s="3">
        <v>51.84</v>
      </c>
      <c r="M1323" s="3">
        <v>54.43</v>
      </c>
      <c r="N1323" s="3">
        <v>104.99</v>
      </c>
      <c r="O1323" s="2" t="s">
        <v>97</v>
      </c>
      <c r="P1323" s="2" t="s">
        <v>383</v>
      </c>
      <c r="Q1323" s="2" t="s">
        <v>99</v>
      </c>
      <c r="R1323" s="2" t="s">
        <v>100</v>
      </c>
      <c r="S1323" s="2" t="s">
        <v>4281</v>
      </c>
      <c r="T1323" s="2" t="s">
        <v>359</v>
      </c>
      <c r="U1323" s="2" t="s">
        <v>1508</v>
      </c>
      <c r="V1323" s="2" t="s">
        <v>4187</v>
      </c>
      <c r="W1323" s="2" t="s">
        <v>105</v>
      </c>
      <c r="X1323" s="2" t="s">
        <v>4199</v>
      </c>
      <c r="Y1323" s="2" t="s">
        <v>4282</v>
      </c>
      <c r="Z1323" s="4">
        <v>349</v>
      </c>
      <c r="AA1323" s="4">
        <f>=ROUNDDOWN(29.0833333333333,0)</f>
      </c>
      <c r="AB1323" s="5">
        <v>12</v>
      </c>
      <c r="AC1323" s="2" t="s">
        <v>790</v>
      </c>
      <c r="AD1323" s="4">
        <v>120</v>
      </c>
      <c r="AE1323" s="4">
        <v>120</v>
      </c>
      <c r="AF1323" s="6">
        <v>66</v>
      </c>
      <c r="AG1323" s="6">
        <v>49</v>
      </c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/>
      <c r="BJ1323" s="4">
        <v>10</v>
      </c>
      <c r="BK1323" s="8">
        <v>559.96</v>
      </c>
      <c r="BL1323" s="2" t="s">
        <v>2364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109</v>
      </c>
      <c r="BV1323" s="2" t="s">
        <v>97</v>
      </c>
      <c r="BW1323" s="2" t="s">
        <v>3490</v>
      </c>
      <c r="BX1323" s="2" t="s">
        <v>2374</v>
      </c>
      <c r="BY1323" s="2" t="s">
        <v>112</v>
      </c>
      <c r="BZ1323" s="2" t="s">
        <v>100</v>
      </c>
    </row>
    <row r="1324">
      <c r="A1324" s="2" t="s">
        <v>4283</v>
      </c>
      <c r="B1324" s="2" t="s">
        <v>87</v>
      </c>
      <c r="C1324" s="2" t="s">
        <v>4104</v>
      </c>
      <c r="D1324" s="2" t="s">
        <v>89</v>
      </c>
      <c r="E1324" s="2" t="s">
        <v>2030</v>
      </c>
      <c r="F1324" s="2" t="s">
        <v>4272</v>
      </c>
      <c r="G1324" s="2" t="s">
        <v>4272</v>
      </c>
      <c r="H1324" s="2" t="s">
        <v>4272</v>
      </c>
      <c r="I1324" s="2" t="s">
        <v>4273</v>
      </c>
      <c r="J1324" s="2" t="s">
        <v>795</v>
      </c>
      <c r="K1324" s="2" t="s">
        <v>4280</v>
      </c>
      <c r="L1324" s="3">
        <v>67.5</v>
      </c>
      <c r="M1324" s="3">
        <v>70.88</v>
      </c>
      <c r="N1324" s="3">
        <v>134.99</v>
      </c>
      <c r="O1324" s="2" t="s">
        <v>97</v>
      </c>
      <c r="P1324" s="2" t="s">
        <v>383</v>
      </c>
      <c r="Q1324" s="2" t="s">
        <v>99</v>
      </c>
      <c r="R1324" s="2" t="s">
        <v>100</v>
      </c>
      <c r="S1324" s="2" t="s">
        <v>4281</v>
      </c>
      <c r="T1324" s="2" t="s">
        <v>359</v>
      </c>
      <c r="U1324" s="2" t="s">
        <v>1508</v>
      </c>
      <c r="V1324" s="2" t="s">
        <v>4187</v>
      </c>
      <c r="W1324" s="2" t="s">
        <v>105</v>
      </c>
      <c r="X1324" s="2" t="s">
        <v>4199</v>
      </c>
      <c r="Y1324" s="2" t="s">
        <v>4282</v>
      </c>
      <c r="Z1324" s="4">
        <v>198</v>
      </c>
      <c r="AA1324" s="4">
        <f>=ROUNDDOWN(16.5,0)</f>
      </c>
      <c r="AB1324" s="5">
        <v>12</v>
      </c>
      <c r="AC1324" s="2" t="s">
        <v>3400</v>
      </c>
      <c r="AD1324" s="4">
        <v>100</v>
      </c>
      <c r="AE1324" s="4">
        <v>230</v>
      </c>
      <c r="AF1324" s="6">
        <v>66</v>
      </c>
      <c r="AG1324" s="6">
        <v>49</v>
      </c>
      <c r="AH1324" s="7">
        <v>1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>
        <v>0</v>
      </c>
      <c r="AP1324" s="4"/>
      <c r="AQ1324" s="8"/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/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/>
      <c r="BJ1324" s="4">
        <v>5</v>
      </c>
      <c r="BK1324" s="8">
        <v>389.02</v>
      </c>
      <c r="BL1324" s="2" t="s">
        <v>4284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109</v>
      </c>
      <c r="BV1324" s="2" t="s">
        <v>97</v>
      </c>
      <c r="BW1324" s="2" t="s">
        <v>3490</v>
      </c>
      <c r="BX1324" s="2" t="s">
        <v>2425</v>
      </c>
      <c r="BY1324" s="2" t="s">
        <v>112</v>
      </c>
      <c r="BZ1324" s="2" t="s">
        <v>100</v>
      </c>
    </row>
    <row r="1325">
      <c r="A1325" s="2" t="s">
        <v>4285</v>
      </c>
      <c r="B1325" s="2" t="s">
        <v>87</v>
      </c>
      <c r="C1325" s="2" t="s">
        <v>4104</v>
      </c>
      <c r="D1325" s="2" t="s">
        <v>89</v>
      </c>
      <c r="E1325" s="2" t="s">
        <v>2030</v>
      </c>
      <c r="F1325" s="2" t="s">
        <v>1837</v>
      </c>
      <c r="G1325" s="2" t="s">
        <v>1837</v>
      </c>
      <c r="H1325" s="2" t="s">
        <v>1837</v>
      </c>
      <c r="I1325" s="2" t="s">
        <v>4286</v>
      </c>
      <c r="J1325" s="2" t="s">
        <v>785</v>
      </c>
      <c r="K1325" s="2" t="s">
        <v>163</v>
      </c>
      <c r="L1325" s="3">
        <v>62.4</v>
      </c>
      <c r="M1325" s="3">
        <v>65.52</v>
      </c>
      <c r="N1325" s="3">
        <v>129.99</v>
      </c>
      <c r="O1325" s="2" t="s">
        <v>1715</v>
      </c>
      <c r="P1325" s="2" t="s">
        <v>447</v>
      </c>
      <c r="Q1325" s="2" t="s">
        <v>99</v>
      </c>
      <c r="R1325" s="2" t="s">
        <v>100</v>
      </c>
      <c r="S1325" s="2" t="s">
        <v>4287</v>
      </c>
      <c r="T1325" s="2" t="s">
        <v>100</v>
      </c>
      <c r="U1325" s="2" t="s">
        <v>1508</v>
      </c>
      <c r="V1325" s="2" t="s">
        <v>4187</v>
      </c>
      <c r="W1325" s="2" t="s">
        <v>2101</v>
      </c>
      <c r="X1325" s="2" t="s">
        <v>976</v>
      </c>
      <c r="Y1325" s="2" t="s">
        <v>4288</v>
      </c>
      <c r="Z1325" s="4">
        <v>426</v>
      </c>
      <c r="AA1325" s="4">
        <f>=ROUNDDOWN(142,0)</f>
      </c>
      <c r="AB1325" s="5">
        <v>3</v>
      </c>
      <c r="AC1325" s="2" t="s">
        <v>100</v>
      </c>
      <c r="AD1325" s="4"/>
      <c r="AE1325" s="4"/>
      <c r="AF1325" s="6">
        <v>67</v>
      </c>
      <c r="AG1325" s="6"/>
      <c r="AH1325" s="7">
        <v>1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/>
      <c r="AQ1325" s="8"/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/>
      <c r="BJ1325" s="4"/>
      <c r="BK1325" s="8"/>
      <c r="BL1325" s="2" t="s">
        <v>100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3088</v>
      </c>
      <c r="BV1325" s="2" t="s">
        <v>97</v>
      </c>
      <c r="BW1325" s="2" t="s">
        <v>100</v>
      </c>
      <c r="BX1325" s="2" t="s">
        <v>100</v>
      </c>
      <c r="BY1325" s="2" t="s">
        <v>112</v>
      </c>
      <c r="BZ1325" s="2" t="s">
        <v>100</v>
      </c>
    </row>
    <row r="1326">
      <c r="A1326" s="2" t="s">
        <v>4289</v>
      </c>
      <c r="B1326" s="2" t="s">
        <v>87</v>
      </c>
      <c r="C1326" s="2" t="s">
        <v>4104</v>
      </c>
      <c r="D1326" s="2" t="s">
        <v>89</v>
      </c>
      <c r="E1326" s="2" t="s">
        <v>2030</v>
      </c>
      <c r="F1326" s="2" t="s">
        <v>1837</v>
      </c>
      <c r="G1326" s="2" t="s">
        <v>1837</v>
      </c>
      <c r="H1326" s="2" t="s">
        <v>1837</v>
      </c>
      <c r="I1326" s="2" t="s">
        <v>4286</v>
      </c>
      <c r="J1326" s="2" t="s">
        <v>795</v>
      </c>
      <c r="K1326" s="2" t="s">
        <v>163</v>
      </c>
      <c r="L1326" s="3">
        <v>76.8</v>
      </c>
      <c r="M1326" s="3">
        <v>80.64</v>
      </c>
      <c r="N1326" s="3">
        <v>159.99</v>
      </c>
      <c r="O1326" s="2" t="s">
        <v>1715</v>
      </c>
      <c r="P1326" s="2" t="s">
        <v>447</v>
      </c>
      <c r="Q1326" s="2" t="s">
        <v>99</v>
      </c>
      <c r="R1326" s="2" t="s">
        <v>100</v>
      </c>
      <c r="S1326" s="2" t="s">
        <v>4287</v>
      </c>
      <c r="T1326" s="2" t="s">
        <v>100</v>
      </c>
      <c r="U1326" s="2" t="s">
        <v>1508</v>
      </c>
      <c r="V1326" s="2" t="s">
        <v>4187</v>
      </c>
      <c r="W1326" s="2" t="s">
        <v>2101</v>
      </c>
      <c r="X1326" s="2" t="s">
        <v>976</v>
      </c>
      <c r="Y1326" s="2" t="s">
        <v>4288</v>
      </c>
      <c r="Z1326" s="4">
        <v>508</v>
      </c>
      <c r="AA1326" s="4">
        <f>=ROUNDDOWN(254,0)</f>
      </c>
      <c r="AB1326" s="5">
        <v>2</v>
      </c>
      <c r="AC1326" s="2" t="s">
        <v>100</v>
      </c>
      <c r="AD1326" s="4"/>
      <c r="AE1326" s="4"/>
      <c r="AF1326" s="6">
        <v>67</v>
      </c>
      <c r="AG1326" s="6"/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/>
      <c r="BJ1326" s="4"/>
      <c r="BK1326" s="8"/>
      <c r="BL1326" s="2" t="s">
        <v>100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3088</v>
      </c>
      <c r="BV1326" s="2" t="s">
        <v>97</v>
      </c>
      <c r="BW1326" s="2" t="s">
        <v>100</v>
      </c>
      <c r="BX1326" s="2" t="s">
        <v>100</v>
      </c>
      <c r="BY1326" s="2" t="s">
        <v>112</v>
      </c>
      <c r="BZ1326" s="2" t="s">
        <v>100</v>
      </c>
    </row>
    <row r="1327">
      <c r="A1327" s="2" t="s">
        <v>4290</v>
      </c>
      <c r="B1327" s="2" t="s">
        <v>87</v>
      </c>
      <c r="C1327" s="2" t="s">
        <v>4104</v>
      </c>
      <c r="D1327" s="2" t="s">
        <v>89</v>
      </c>
      <c r="E1327" s="2" t="s">
        <v>2030</v>
      </c>
      <c r="F1327" s="2" t="s">
        <v>4291</v>
      </c>
      <c r="G1327" s="2" t="s">
        <v>4291</v>
      </c>
      <c r="H1327" s="2" t="s">
        <v>4291</v>
      </c>
      <c r="I1327" s="2" t="s">
        <v>4292</v>
      </c>
      <c r="J1327" s="2" t="s">
        <v>785</v>
      </c>
      <c r="K1327" s="2" t="s">
        <v>4293</v>
      </c>
      <c r="L1327" s="3">
        <v>54.85</v>
      </c>
      <c r="M1327" s="3">
        <v>57.59</v>
      </c>
      <c r="N1327" s="3">
        <v>119.99</v>
      </c>
      <c r="O1327" s="2" t="s">
        <v>97</v>
      </c>
      <c r="P1327" s="2" t="s">
        <v>1216</v>
      </c>
      <c r="Q1327" s="2" t="s">
        <v>99</v>
      </c>
      <c r="R1327" s="2" t="s">
        <v>100</v>
      </c>
      <c r="S1327" s="2" t="s">
        <v>4294</v>
      </c>
      <c r="T1327" s="2" t="s">
        <v>359</v>
      </c>
      <c r="U1327" s="2" t="s">
        <v>1508</v>
      </c>
      <c r="V1327" s="2" t="s">
        <v>805</v>
      </c>
      <c r="W1327" s="2" t="s">
        <v>4199</v>
      </c>
      <c r="X1327" s="2" t="s">
        <v>976</v>
      </c>
      <c r="Y1327" s="2" t="s">
        <v>3810</v>
      </c>
      <c r="Z1327" s="4">
        <v>210</v>
      </c>
      <c r="AA1327" s="4">
        <f>=ROUNDDOWN(150,0)</f>
      </c>
      <c r="AB1327" s="5">
        <v>1.4</v>
      </c>
      <c r="AC1327" s="2" t="s">
        <v>100</v>
      </c>
      <c r="AD1327" s="4"/>
      <c r="AE1327" s="4"/>
      <c r="AF1327" s="6">
        <v>65</v>
      </c>
      <c r="AG1327" s="6"/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/>
      <c r="AQ1327" s="8"/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/>
      <c r="BJ1327" s="4">
        <v>1</v>
      </c>
      <c r="BK1327" s="8">
        <v>62.2</v>
      </c>
      <c r="BL1327" s="2" t="s">
        <v>441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109</v>
      </c>
      <c r="BV1327" s="2" t="s">
        <v>97</v>
      </c>
      <c r="BW1327" s="2" t="s">
        <v>1221</v>
      </c>
      <c r="BX1327" s="2" t="s">
        <v>100</v>
      </c>
      <c r="BY1327" s="2" t="s">
        <v>112</v>
      </c>
      <c r="BZ1327" s="2" t="s">
        <v>100</v>
      </c>
    </row>
    <row r="1328">
      <c r="A1328" s="2" t="s">
        <v>4295</v>
      </c>
      <c r="B1328" s="2" t="s">
        <v>87</v>
      </c>
      <c r="C1328" s="2" t="s">
        <v>4104</v>
      </c>
      <c r="D1328" s="2" t="s">
        <v>89</v>
      </c>
      <c r="E1328" s="2" t="s">
        <v>2030</v>
      </c>
      <c r="F1328" s="2" t="s">
        <v>4291</v>
      </c>
      <c r="G1328" s="2" t="s">
        <v>4291</v>
      </c>
      <c r="H1328" s="2" t="s">
        <v>4291</v>
      </c>
      <c r="I1328" s="2" t="s">
        <v>4292</v>
      </c>
      <c r="J1328" s="2" t="s">
        <v>795</v>
      </c>
      <c r="K1328" s="2" t="s">
        <v>4293</v>
      </c>
      <c r="L1328" s="3">
        <v>64</v>
      </c>
      <c r="M1328" s="3">
        <v>67.2</v>
      </c>
      <c r="N1328" s="3">
        <v>139.99</v>
      </c>
      <c r="O1328" s="2" t="s">
        <v>97</v>
      </c>
      <c r="P1328" s="2" t="s">
        <v>1216</v>
      </c>
      <c r="Q1328" s="2" t="s">
        <v>99</v>
      </c>
      <c r="R1328" s="2" t="s">
        <v>100</v>
      </c>
      <c r="S1328" s="2" t="s">
        <v>4294</v>
      </c>
      <c r="T1328" s="2" t="s">
        <v>359</v>
      </c>
      <c r="U1328" s="2" t="s">
        <v>1508</v>
      </c>
      <c r="V1328" s="2" t="s">
        <v>805</v>
      </c>
      <c r="W1328" s="2" t="s">
        <v>4199</v>
      </c>
      <c r="X1328" s="2" t="s">
        <v>976</v>
      </c>
      <c r="Y1328" s="2" t="s">
        <v>3810</v>
      </c>
      <c r="Z1328" s="4">
        <v>185</v>
      </c>
      <c r="AA1328" s="4">
        <f>=ROUNDDOWN(84.0909090909091,0)</f>
      </c>
      <c r="AB1328" s="5">
        <v>2.2</v>
      </c>
      <c r="AC1328" s="2" t="s">
        <v>100</v>
      </c>
      <c r="AD1328" s="4"/>
      <c r="AE1328" s="4"/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/>
      <c r="AQ1328" s="8"/>
      <c r="AR1328" s="4"/>
      <c r="AS1328" s="8"/>
      <c r="AT1328" s="7"/>
      <c r="AU1328" s="7"/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/>
      <c r="BJ1328" s="4">
        <v>1</v>
      </c>
      <c r="BK1328" s="8">
        <v>72.58</v>
      </c>
      <c r="BL1328" s="2" t="s">
        <v>715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109</v>
      </c>
      <c r="BV1328" s="2" t="s">
        <v>97</v>
      </c>
      <c r="BW1328" s="2" t="s">
        <v>1221</v>
      </c>
      <c r="BX1328" s="2" t="s">
        <v>100</v>
      </c>
      <c r="BY1328" s="2" t="s">
        <v>112</v>
      </c>
      <c r="BZ1328" s="2" t="s">
        <v>100</v>
      </c>
    </row>
    <row r="1329">
      <c r="A1329" s="2" t="s">
        <v>4296</v>
      </c>
      <c r="B1329" s="2" t="s">
        <v>87</v>
      </c>
      <c r="C1329" s="2" t="s">
        <v>4104</v>
      </c>
      <c r="D1329" s="2" t="s">
        <v>89</v>
      </c>
      <c r="E1329" s="2" t="s">
        <v>2030</v>
      </c>
      <c r="F1329" s="2" t="s">
        <v>4291</v>
      </c>
      <c r="G1329" s="2" t="s">
        <v>4291</v>
      </c>
      <c r="H1329" s="2" t="s">
        <v>4291</v>
      </c>
      <c r="I1329" s="2" t="s">
        <v>4292</v>
      </c>
      <c r="J1329" s="2" t="s">
        <v>785</v>
      </c>
      <c r="K1329" s="2" t="s">
        <v>175</v>
      </c>
      <c r="L1329" s="3">
        <v>54.85</v>
      </c>
      <c r="M1329" s="3">
        <v>57.59</v>
      </c>
      <c r="N1329" s="3">
        <v>119.99</v>
      </c>
      <c r="O1329" s="2" t="s">
        <v>97</v>
      </c>
      <c r="P1329" s="2" t="s">
        <v>1216</v>
      </c>
      <c r="Q1329" s="2" t="s">
        <v>99</v>
      </c>
      <c r="R1329" s="2" t="s">
        <v>100</v>
      </c>
      <c r="S1329" s="2" t="s">
        <v>4297</v>
      </c>
      <c r="T1329" s="2" t="s">
        <v>359</v>
      </c>
      <c r="U1329" s="2" t="s">
        <v>1508</v>
      </c>
      <c r="V1329" s="2" t="s">
        <v>805</v>
      </c>
      <c r="W1329" s="2" t="s">
        <v>4199</v>
      </c>
      <c r="X1329" s="2" t="s">
        <v>976</v>
      </c>
      <c r="Y1329" s="2" t="s">
        <v>3810</v>
      </c>
      <c r="Z1329" s="4">
        <v>216</v>
      </c>
      <c r="AA1329" s="4">
        <f>=ROUNDDOWN({0},0)</f>
      </c>
      <c r="AB1329" s="5"/>
      <c r="AC1329" s="2" t="s">
        <v>100</v>
      </c>
      <c r="AD1329" s="4"/>
      <c r="AE1329" s="4"/>
      <c r="AF1329" s="6">
        <v>65</v>
      </c>
      <c r="AG1329" s="6"/>
      <c r="AH1329" s="7">
        <v>1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/>
      <c r="AQ1329" s="8"/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/>
      <c r="BJ1329" s="4"/>
      <c r="BK1329" s="8"/>
      <c r="BL1329" s="2" t="s">
        <v>100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109</v>
      </c>
      <c r="BV1329" s="2" t="s">
        <v>97</v>
      </c>
      <c r="BW1329" s="2" t="s">
        <v>1221</v>
      </c>
      <c r="BX1329" s="2" t="s">
        <v>100</v>
      </c>
      <c r="BY1329" s="2" t="s">
        <v>112</v>
      </c>
      <c r="BZ1329" s="2" t="s">
        <v>100</v>
      </c>
    </row>
    <row r="1330">
      <c r="A1330" s="2" t="s">
        <v>4298</v>
      </c>
      <c r="B1330" s="2" t="s">
        <v>87</v>
      </c>
      <c r="C1330" s="2" t="s">
        <v>4104</v>
      </c>
      <c r="D1330" s="2" t="s">
        <v>89</v>
      </c>
      <c r="E1330" s="2" t="s">
        <v>2030</v>
      </c>
      <c r="F1330" s="2" t="s">
        <v>4291</v>
      </c>
      <c r="G1330" s="2" t="s">
        <v>4291</v>
      </c>
      <c r="H1330" s="2" t="s">
        <v>4291</v>
      </c>
      <c r="I1330" s="2" t="s">
        <v>4292</v>
      </c>
      <c r="J1330" s="2" t="s">
        <v>795</v>
      </c>
      <c r="K1330" s="2" t="s">
        <v>175</v>
      </c>
      <c r="L1330" s="3">
        <v>64</v>
      </c>
      <c r="M1330" s="3">
        <v>67.2</v>
      </c>
      <c r="N1330" s="3">
        <v>139.99</v>
      </c>
      <c r="O1330" s="2" t="s">
        <v>97</v>
      </c>
      <c r="P1330" s="2" t="s">
        <v>1216</v>
      </c>
      <c r="Q1330" s="2" t="s">
        <v>99</v>
      </c>
      <c r="R1330" s="2" t="s">
        <v>100</v>
      </c>
      <c r="S1330" s="2" t="s">
        <v>4297</v>
      </c>
      <c r="T1330" s="2" t="s">
        <v>359</v>
      </c>
      <c r="U1330" s="2" t="s">
        <v>1508</v>
      </c>
      <c r="V1330" s="2" t="s">
        <v>805</v>
      </c>
      <c r="W1330" s="2" t="s">
        <v>4199</v>
      </c>
      <c r="X1330" s="2" t="s">
        <v>976</v>
      </c>
      <c r="Y1330" s="2" t="s">
        <v>3687</v>
      </c>
      <c r="Z1330" s="4">
        <v>193</v>
      </c>
      <c r="AA1330" s="4">
        <f>=ROUNDDOWN(386,0)</f>
      </c>
      <c r="AB1330" s="5">
        <v>0.5</v>
      </c>
      <c r="AC1330" s="2" t="s">
        <v>100</v>
      </c>
      <c r="AD1330" s="4"/>
      <c r="AE1330" s="4"/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/>
      <c r="BJ1330" s="4">
        <v>1</v>
      </c>
      <c r="BK1330" s="8">
        <v>89.6</v>
      </c>
      <c r="BL1330" s="2" t="s">
        <v>1882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109</v>
      </c>
      <c r="BV1330" s="2" t="s">
        <v>97</v>
      </c>
      <c r="BW1330" s="2" t="s">
        <v>1221</v>
      </c>
      <c r="BX1330" s="2" t="s">
        <v>100</v>
      </c>
      <c r="BY1330" s="2" t="s">
        <v>112</v>
      </c>
      <c r="BZ1330" s="2" t="s">
        <v>100</v>
      </c>
    </row>
    <row r="1331">
      <c r="A1331" s="2" t="s">
        <v>4299</v>
      </c>
      <c r="B1331" s="2" t="s">
        <v>87</v>
      </c>
      <c r="C1331" s="2" t="s">
        <v>4104</v>
      </c>
      <c r="D1331" s="2" t="s">
        <v>89</v>
      </c>
      <c r="E1331" s="2" t="s">
        <v>2030</v>
      </c>
      <c r="F1331" s="2" t="s">
        <v>4300</v>
      </c>
      <c r="G1331" s="2" t="s">
        <v>4300</v>
      </c>
      <c r="H1331" s="2" t="s">
        <v>4300</v>
      </c>
      <c r="I1331" s="2" t="s">
        <v>4301</v>
      </c>
      <c r="J1331" s="2" t="s">
        <v>785</v>
      </c>
      <c r="K1331" s="2" t="s">
        <v>4302</v>
      </c>
      <c r="L1331" s="3">
        <v>65</v>
      </c>
      <c r="M1331" s="3">
        <v>68.25</v>
      </c>
      <c r="N1331" s="3">
        <v>129.99</v>
      </c>
      <c r="O1331" s="2" t="s">
        <v>97</v>
      </c>
      <c r="P1331" s="2" t="s">
        <v>98</v>
      </c>
      <c r="Q1331" s="2" t="s">
        <v>99</v>
      </c>
      <c r="R1331" s="2" t="s">
        <v>100</v>
      </c>
      <c r="S1331" s="2" t="s">
        <v>4303</v>
      </c>
      <c r="T1331" s="2" t="s">
        <v>359</v>
      </c>
      <c r="U1331" s="2" t="s">
        <v>1508</v>
      </c>
      <c r="V1331" s="2" t="s">
        <v>1265</v>
      </c>
      <c r="W1331" s="2" t="s">
        <v>646</v>
      </c>
      <c r="X1331" s="2" t="s">
        <v>976</v>
      </c>
      <c r="Y1331" s="2" t="s">
        <v>1290</v>
      </c>
      <c r="Z1331" s="4">
        <v>171</v>
      </c>
      <c r="AA1331" s="4">
        <f>=ROUNDDOWN(24.4285714285714,0)</f>
      </c>
      <c r="AB1331" s="5">
        <v>7</v>
      </c>
      <c r="AC1331" s="2" t="s">
        <v>1377</v>
      </c>
      <c r="AD1331" s="4">
        <v>200</v>
      </c>
      <c r="AE1331" s="4">
        <v>200</v>
      </c>
      <c r="AF1331" s="6">
        <v>67</v>
      </c>
      <c r="AG1331" s="6"/>
      <c r="AH1331" s="7">
        <v>1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/>
      <c r="BJ1331" s="4">
        <v>2</v>
      </c>
      <c r="BK1331" s="8">
        <v>150.15</v>
      </c>
      <c r="BL1331" s="2" t="s">
        <v>4304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109</v>
      </c>
      <c r="BV1331" s="2" t="s">
        <v>97</v>
      </c>
      <c r="BW1331" s="2" t="s">
        <v>4305</v>
      </c>
      <c r="BX1331" s="2" t="s">
        <v>100</v>
      </c>
      <c r="BY1331" s="2" t="s">
        <v>112</v>
      </c>
      <c r="BZ1331" s="2" t="s">
        <v>100</v>
      </c>
    </row>
    <row r="1332">
      <c r="A1332" s="2" t="s">
        <v>4306</v>
      </c>
      <c r="B1332" s="2" t="s">
        <v>87</v>
      </c>
      <c r="C1332" s="2" t="s">
        <v>4104</v>
      </c>
      <c r="D1332" s="2" t="s">
        <v>89</v>
      </c>
      <c r="E1332" s="2" t="s">
        <v>2030</v>
      </c>
      <c r="F1332" s="2" t="s">
        <v>4300</v>
      </c>
      <c r="G1332" s="2" t="s">
        <v>4300</v>
      </c>
      <c r="H1332" s="2" t="s">
        <v>4300</v>
      </c>
      <c r="I1332" s="2" t="s">
        <v>4301</v>
      </c>
      <c r="J1332" s="2" t="s">
        <v>795</v>
      </c>
      <c r="K1332" s="2" t="s">
        <v>4302</v>
      </c>
      <c r="L1332" s="3">
        <v>80</v>
      </c>
      <c r="M1332" s="3">
        <v>84</v>
      </c>
      <c r="N1332" s="3">
        <v>159.99</v>
      </c>
      <c r="O1332" s="2" t="s">
        <v>97</v>
      </c>
      <c r="P1332" s="2" t="s">
        <v>98</v>
      </c>
      <c r="Q1332" s="2" t="s">
        <v>99</v>
      </c>
      <c r="R1332" s="2" t="s">
        <v>100</v>
      </c>
      <c r="S1332" s="2" t="s">
        <v>4303</v>
      </c>
      <c r="T1332" s="2" t="s">
        <v>359</v>
      </c>
      <c r="U1332" s="2" t="s">
        <v>1508</v>
      </c>
      <c r="V1332" s="2" t="s">
        <v>1265</v>
      </c>
      <c r="W1332" s="2" t="s">
        <v>646</v>
      </c>
      <c r="X1332" s="2" t="s">
        <v>976</v>
      </c>
      <c r="Y1332" s="2" t="s">
        <v>1290</v>
      </c>
      <c r="Z1332" s="4">
        <v>195</v>
      </c>
      <c r="AA1332" s="4">
        <f>=ROUNDDOWN(24.375,0)</f>
      </c>
      <c r="AB1332" s="5">
        <v>8</v>
      </c>
      <c r="AC1332" s="2" t="s">
        <v>1377</v>
      </c>
      <c r="AD1332" s="4">
        <v>180</v>
      </c>
      <c r="AE1332" s="4">
        <v>180</v>
      </c>
      <c r="AF1332" s="6">
        <v>67</v>
      </c>
      <c r="AG1332" s="6"/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>
        <v>0</v>
      </c>
      <c r="AP1332" s="4"/>
      <c r="AQ1332" s="8"/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/>
      <c r="BJ1332" s="4">
        <v>8</v>
      </c>
      <c r="BK1332" s="8">
        <v>736.28</v>
      </c>
      <c r="BL1332" s="2" t="s">
        <v>4307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109</v>
      </c>
      <c r="BV1332" s="2" t="s">
        <v>97</v>
      </c>
      <c r="BW1332" s="2" t="s">
        <v>4305</v>
      </c>
      <c r="BX1332" s="2" t="s">
        <v>3735</v>
      </c>
      <c r="BY1332" s="2" t="s">
        <v>112</v>
      </c>
      <c r="BZ1332" s="2" t="s">
        <v>100</v>
      </c>
    </row>
    <row r="1333">
      <c r="A1333" s="2" t="s">
        <v>4308</v>
      </c>
      <c r="B1333" s="2" t="s">
        <v>87</v>
      </c>
      <c r="C1333" s="2" t="s">
        <v>4104</v>
      </c>
      <c r="D1333" s="2" t="s">
        <v>89</v>
      </c>
      <c r="E1333" s="2" t="s">
        <v>90</v>
      </c>
      <c r="F1333" s="2" t="s">
        <v>4309</v>
      </c>
      <c r="G1333" s="2" t="s">
        <v>4309</v>
      </c>
      <c r="H1333" s="2" t="s">
        <v>4309</v>
      </c>
      <c r="I1333" s="2" t="s">
        <v>4310</v>
      </c>
      <c r="J1333" s="2" t="s">
        <v>2236</v>
      </c>
      <c r="K1333" s="2" t="s">
        <v>253</v>
      </c>
      <c r="L1333" s="3">
        <v>52.8</v>
      </c>
      <c r="M1333" s="3">
        <v>55.43</v>
      </c>
      <c r="N1333" s="3">
        <v>109.99</v>
      </c>
      <c r="O1333" s="2" t="s">
        <v>473</v>
      </c>
      <c r="P1333" s="2" t="s">
        <v>447</v>
      </c>
      <c r="Q1333" s="2" t="s">
        <v>99</v>
      </c>
      <c r="R1333" s="2" t="s">
        <v>100</v>
      </c>
      <c r="S1333" s="2" t="s">
        <v>4311</v>
      </c>
      <c r="T1333" s="2" t="s">
        <v>100</v>
      </c>
      <c r="U1333" s="2" t="s">
        <v>100</v>
      </c>
      <c r="V1333" s="2" t="s">
        <v>805</v>
      </c>
      <c r="W1333" s="2" t="s">
        <v>3803</v>
      </c>
      <c r="X1333" s="2" t="s">
        <v>4312</v>
      </c>
      <c r="Y1333" s="2" t="s">
        <v>131</v>
      </c>
      <c r="Z1333" s="4">
        <v>9</v>
      </c>
      <c r="AA1333" s="4">
        <f>=ROUNDDOWN(7.5,0)</f>
      </c>
      <c r="AB1333" s="5">
        <v>1.2</v>
      </c>
      <c r="AC1333" s="2" t="s">
        <v>100</v>
      </c>
      <c r="AD1333" s="4"/>
      <c r="AE1333" s="4"/>
      <c r="AF1333" s="6">
        <v>66</v>
      </c>
      <c r="AG1333" s="6"/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>
        <v>1</v>
      </c>
      <c r="AW1333" s="8">
        <v>84.54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>
        <v>1</v>
      </c>
      <c r="BD1333" s="8">
        <v>84.54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>
        <v>1</v>
      </c>
      <c r="BJ1333" s="4"/>
      <c r="BK1333" s="8"/>
      <c r="BL1333" s="2" t="s">
        <v>100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109</v>
      </c>
      <c r="BV1333" s="2" t="s">
        <v>97</v>
      </c>
      <c r="BW1333" s="2" t="s">
        <v>723</v>
      </c>
      <c r="BX1333" s="2" t="s">
        <v>4313</v>
      </c>
      <c r="BY1333" s="2" t="s">
        <v>112</v>
      </c>
      <c r="BZ1333" s="2" t="s">
        <v>100</v>
      </c>
    </row>
    <row r="1334">
      <c r="A1334" s="2" t="s">
        <v>4314</v>
      </c>
      <c r="B1334" s="2" t="s">
        <v>87</v>
      </c>
      <c r="C1334" s="2" t="s">
        <v>4104</v>
      </c>
      <c r="D1334" s="2" t="s">
        <v>89</v>
      </c>
      <c r="E1334" s="2" t="s">
        <v>90</v>
      </c>
      <c r="F1334" s="2" t="s">
        <v>4309</v>
      </c>
      <c r="G1334" s="2" t="s">
        <v>4309</v>
      </c>
      <c r="H1334" s="2" t="s">
        <v>4309</v>
      </c>
      <c r="I1334" s="2" t="s">
        <v>4310</v>
      </c>
      <c r="J1334" s="2" t="s">
        <v>785</v>
      </c>
      <c r="K1334" s="2" t="s">
        <v>253</v>
      </c>
      <c r="L1334" s="3">
        <v>70</v>
      </c>
      <c r="M1334" s="3">
        <v>73.49</v>
      </c>
      <c r="N1334" s="3">
        <v>139.99</v>
      </c>
      <c r="O1334" s="2" t="s">
        <v>473</v>
      </c>
      <c r="P1334" s="2" t="s">
        <v>447</v>
      </c>
      <c r="Q1334" s="2" t="s">
        <v>99</v>
      </c>
      <c r="R1334" s="2" t="s">
        <v>100</v>
      </c>
      <c r="S1334" s="2" t="s">
        <v>4311</v>
      </c>
      <c r="T1334" s="2" t="s">
        <v>100</v>
      </c>
      <c r="U1334" s="2" t="s">
        <v>100</v>
      </c>
      <c r="V1334" s="2" t="s">
        <v>805</v>
      </c>
      <c r="W1334" s="2" t="s">
        <v>3803</v>
      </c>
      <c r="X1334" s="2" t="s">
        <v>4312</v>
      </c>
      <c r="Y1334" s="2" t="s">
        <v>131</v>
      </c>
      <c r="Z1334" s="4">
        <v>182</v>
      </c>
      <c r="AA1334" s="4">
        <f>=ROUNDDOWN(28.8888888888889,0)</f>
      </c>
      <c r="AB1334" s="5">
        <v>6.3</v>
      </c>
      <c r="AC1334" s="2" t="s">
        <v>100</v>
      </c>
      <c r="AD1334" s="4"/>
      <c r="AE1334" s="4"/>
      <c r="AF1334" s="6">
        <v>66</v>
      </c>
      <c r="AG1334" s="6"/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>
        <v>0</v>
      </c>
      <c r="AP1334" s="4"/>
      <c r="AQ1334" s="8"/>
      <c r="AR1334" s="4"/>
      <c r="AS1334" s="8"/>
      <c r="AT1334" s="7"/>
      <c r="AU1334" s="7"/>
      <c r="AV1334" s="4" t="s">
        <v>100</v>
      </c>
      <c r="AW1334" s="8" t="s">
        <v>100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/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 t="s">
        <v>100</v>
      </c>
      <c r="BJ1334" s="4">
        <v>10</v>
      </c>
      <c r="BK1334" s="8">
        <v>535.23</v>
      </c>
      <c r="BL1334" s="2" t="s">
        <v>4315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109</v>
      </c>
      <c r="BV1334" s="2" t="s">
        <v>97</v>
      </c>
      <c r="BW1334" s="2" t="s">
        <v>723</v>
      </c>
      <c r="BX1334" s="2" t="s">
        <v>437</v>
      </c>
      <c r="BY1334" s="2" t="s">
        <v>112</v>
      </c>
      <c r="BZ1334" s="2" t="s">
        <v>100</v>
      </c>
    </row>
    <row r="1335">
      <c r="A1335" s="2" t="s">
        <v>4316</v>
      </c>
      <c r="B1335" s="2" t="s">
        <v>87</v>
      </c>
      <c r="C1335" s="2" t="s">
        <v>4104</v>
      </c>
      <c r="D1335" s="2" t="s">
        <v>89</v>
      </c>
      <c r="E1335" s="2" t="s">
        <v>90</v>
      </c>
      <c r="F1335" s="2" t="s">
        <v>4309</v>
      </c>
      <c r="G1335" s="2" t="s">
        <v>4309</v>
      </c>
      <c r="H1335" s="2" t="s">
        <v>4309</v>
      </c>
      <c r="I1335" s="2" t="s">
        <v>4310</v>
      </c>
      <c r="J1335" s="2" t="s">
        <v>120</v>
      </c>
      <c r="K1335" s="2" t="s">
        <v>253</v>
      </c>
      <c r="L1335" s="3">
        <v>80</v>
      </c>
      <c r="M1335" s="3">
        <v>83.99</v>
      </c>
      <c r="N1335" s="3">
        <v>159.99</v>
      </c>
      <c r="O1335" s="2" t="s">
        <v>473</v>
      </c>
      <c r="P1335" s="2" t="s">
        <v>447</v>
      </c>
      <c r="Q1335" s="2" t="s">
        <v>99</v>
      </c>
      <c r="R1335" s="2" t="s">
        <v>100</v>
      </c>
      <c r="S1335" s="2" t="s">
        <v>4311</v>
      </c>
      <c r="T1335" s="2" t="s">
        <v>100</v>
      </c>
      <c r="U1335" s="2" t="s">
        <v>100</v>
      </c>
      <c r="V1335" s="2" t="s">
        <v>805</v>
      </c>
      <c r="W1335" s="2" t="s">
        <v>3803</v>
      </c>
      <c r="X1335" s="2" t="s">
        <v>4312</v>
      </c>
      <c r="Y1335" s="2" t="s">
        <v>131</v>
      </c>
      <c r="Z1335" s="4">
        <v>155</v>
      </c>
      <c r="AA1335" s="4">
        <f>=ROUNDDOWN(50,0)</f>
      </c>
      <c r="AB1335" s="5">
        <v>3.1</v>
      </c>
      <c r="AC1335" s="2" t="s">
        <v>100</v>
      </c>
      <c r="AD1335" s="4"/>
      <c r="AE1335" s="4"/>
      <c r="AF1335" s="6">
        <v>66</v>
      </c>
      <c r="AG1335" s="6"/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>
        <v>0</v>
      </c>
      <c r="AP1335" s="4">
        <v>1</v>
      </c>
      <c r="AQ1335" s="8">
        <v>84.54</v>
      </c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>
        <v>1</v>
      </c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 t="s">
        <v>100</v>
      </c>
      <c r="BJ1335" s="4">
        <v>6</v>
      </c>
      <c r="BK1335" s="8">
        <v>467.37</v>
      </c>
      <c r="BL1335" s="2" t="s">
        <v>4317</v>
      </c>
      <c r="BM1335" s="7">
        <v>0.1667</v>
      </c>
      <c r="BN1335" s="7">
        <v>0.1809</v>
      </c>
      <c r="BO1335" s="4">
        <v>1</v>
      </c>
      <c r="BP1335" s="8">
        <v>84.54</v>
      </c>
      <c r="BQ1335" s="4"/>
      <c r="BR1335" s="8"/>
      <c r="BS1335" s="7"/>
      <c r="BT1335" s="7"/>
      <c r="BU1335" s="2" t="s">
        <v>109</v>
      </c>
      <c r="BV1335" s="2" t="s">
        <v>97</v>
      </c>
      <c r="BW1335" s="2" t="s">
        <v>723</v>
      </c>
      <c r="BX1335" s="2" t="s">
        <v>1163</v>
      </c>
      <c r="BY1335" s="2" t="s">
        <v>112</v>
      </c>
      <c r="BZ1335" s="2" t="s">
        <v>100</v>
      </c>
    </row>
    <row r="1336">
      <c r="A1336" s="2" t="s">
        <v>4318</v>
      </c>
      <c r="B1336" s="2" t="s">
        <v>87</v>
      </c>
      <c r="C1336" s="2" t="s">
        <v>4104</v>
      </c>
      <c r="D1336" s="2" t="s">
        <v>89</v>
      </c>
      <c r="E1336" s="2" t="s">
        <v>90</v>
      </c>
      <c r="F1336" s="2" t="s">
        <v>4319</v>
      </c>
      <c r="G1336" s="2" t="s">
        <v>4319</v>
      </c>
      <c r="H1336" s="2" t="s">
        <v>4319</v>
      </c>
      <c r="I1336" s="2" t="s">
        <v>4320</v>
      </c>
      <c r="J1336" s="2" t="s">
        <v>785</v>
      </c>
      <c r="K1336" s="2" t="s">
        <v>213</v>
      </c>
      <c r="L1336" s="3">
        <v>59.99</v>
      </c>
      <c r="M1336" s="3">
        <v>62.99</v>
      </c>
      <c r="N1336" s="3">
        <v>119.99</v>
      </c>
      <c r="O1336" s="2" t="s">
        <v>97</v>
      </c>
      <c r="P1336" s="2" t="s">
        <v>98</v>
      </c>
      <c r="Q1336" s="2" t="s">
        <v>99</v>
      </c>
      <c r="R1336" s="2" t="s">
        <v>100</v>
      </c>
      <c r="S1336" s="2" t="s">
        <v>4321</v>
      </c>
      <c r="T1336" s="2" t="s">
        <v>100</v>
      </c>
      <c r="U1336" s="2" t="s">
        <v>1508</v>
      </c>
      <c r="V1336" s="2" t="s">
        <v>645</v>
      </c>
      <c r="W1336" s="2" t="s">
        <v>104</v>
      </c>
      <c r="X1336" s="2" t="s">
        <v>976</v>
      </c>
      <c r="Y1336" s="2" t="s">
        <v>131</v>
      </c>
      <c r="Z1336" s="4">
        <v>47</v>
      </c>
      <c r="AA1336" s="4">
        <f>=ROUNDDOWN(11.75,0)</f>
      </c>
      <c r="AB1336" s="5">
        <v>4</v>
      </c>
      <c r="AC1336" s="2" t="s">
        <v>3400</v>
      </c>
      <c r="AD1336" s="4">
        <v>75</v>
      </c>
      <c r="AE1336" s="4">
        <v>75</v>
      </c>
      <c r="AF1336" s="6">
        <v>67</v>
      </c>
      <c r="AG1336" s="6"/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/>
      <c r="AQ1336" s="8"/>
      <c r="AR1336" s="4"/>
      <c r="AS1336" s="8"/>
      <c r="AT1336" s="7"/>
      <c r="AU1336" s="7"/>
      <c r="AV1336" s="4">
        <v>1</v>
      </c>
      <c r="AW1336" s="8">
        <v>82.2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>
        <v>1</v>
      </c>
      <c r="BD1336" s="8">
        <v>82.2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>
        <v>1</v>
      </c>
      <c r="BJ1336" s="4">
        <v>4</v>
      </c>
      <c r="BK1336" s="8">
        <v>155.84</v>
      </c>
      <c r="BL1336" s="2" t="s">
        <v>200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109</v>
      </c>
      <c r="BV1336" s="2" t="s">
        <v>97</v>
      </c>
      <c r="BW1336" s="2" t="s">
        <v>201</v>
      </c>
      <c r="BX1336" s="2" t="s">
        <v>4322</v>
      </c>
      <c r="BY1336" s="2" t="s">
        <v>112</v>
      </c>
      <c r="BZ1336" s="2" t="s">
        <v>100</v>
      </c>
    </row>
    <row r="1337">
      <c r="A1337" s="2" t="s">
        <v>4323</v>
      </c>
      <c r="B1337" s="2" t="s">
        <v>87</v>
      </c>
      <c r="C1337" s="2" t="s">
        <v>4104</v>
      </c>
      <c r="D1337" s="2" t="s">
        <v>89</v>
      </c>
      <c r="E1337" s="2" t="s">
        <v>90</v>
      </c>
      <c r="F1337" s="2" t="s">
        <v>4319</v>
      </c>
      <c r="G1337" s="2" t="s">
        <v>4319</v>
      </c>
      <c r="H1337" s="2" t="s">
        <v>4319</v>
      </c>
      <c r="I1337" s="2" t="s">
        <v>4320</v>
      </c>
      <c r="J1337" s="2" t="s">
        <v>795</v>
      </c>
      <c r="K1337" s="2" t="s">
        <v>213</v>
      </c>
      <c r="L1337" s="3">
        <v>75</v>
      </c>
      <c r="M1337" s="3">
        <v>78.74</v>
      </c>
      <c r="N1337" s="3">
        <v>149.99</v>
      </c>
      <c r="O1337" s="2" t="s">
        <v>97</v>
      </c>
      <c r="P1337" s="2" t="s">
        <v>98</v>
      </c>
      <c r="Q1337" s="2" t="s">
        <v>99</v>
      </c>
      <c r="R1337" s="2" t="s">
        <v>100</v>
      </c>
      <c r="S1337" s="2" t="s">
        <v>4321</v>
      </c>
      <c r="T1337" s="2" t="s">
        <v>100</v>
      </c>
      <c r="U1337" s="2" t="s">
        <v>1508</v>
      </c>
      <c r="V1337" s="2" t="s">
        <v>645</v>
      </c>
      <c r="W1337" s="2" t="s">
        <v>104</v>
      </c>
      <c r="X1337" s="2" t="s">
        <v>976</v>
      </c>
      <c r="Y1337" s="2" t="s">
        <v>131</v>
      </c>
      <c r="Z1337" s="4">
        <v>53</v>
      </c>
      <c r="AA1337" s="4">
        <f>=ROUNDDOWN(13.25,0)</f>
      </c>
      <c r="AB1337" s="5">
        <v>4</v>
      </c>
      <c r="AC1337" s="2" t="s">
        <v>3400</v>
      </c>
      <c r="AD1337" s="4">
        <v>75</v>
      </c>
      <c r="AE1337" s="4">
        <v>75</v>
      </c>
      <c r="AF1337" s="6">
        <v>67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>
        <v>0</v>
      </c>
      <c r="AP1337" s="4">
        <v>1</v>
      </c>
      <c r="AQ1337" s="8">
        <v>82.2</v>
      </c>
      <c r="AR1337" s="4"/>
      <c r="AS1337" s="8"/>
      <c r="AT1337" s="7"/>
      <c r="AU1337" s="7"/>
      <c r="AV1337" s="4" t="s">
        <v>100</v>
      </c>
      <c r="AW1337" s="8" t="s">
        <v>100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>
        <v>1</v>
      </c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 t="s">
        <v>100</v>
      </c>
      <c r="BJ1337" s="4">
        <v>2</v>
      </c>
      <c r="BK1337" s="8">
        <v>161.69</v>
      </c>
      <c r="BL1337" s="2" t="s">
        <v>172</v>
      </c>
      <c r="BM1337" s="7">
        <v>0.5</v>
      </c>
      <c r="BN1337" s="7">
        <v>0.5084</v>
      </c>
      <c r="BO1337" s="4">
        <v>1</v>
      </c>
      <c r="BP1337" s="8">
        <v>82.2</v>
      </c>
      <c r="BQ1337" s="4"/>
      <c r="BR1337" s="8"/>
      <c r="BS1337" s="7"/>
      <c r="BT1337" s="7"/>
      <c r="BU1337" s="2" t="s">
        <v>109</v>
      </c>
      <c r="BV1337" s="2" t="s">
        <v>97</v>
      </c>
      <c r="BW1337" s="2" t="s">
        <v>201</v>
      </c>
      <c r="BX1337" s="2" t="s">
        <v>4324</v>
      </c>
      <c r="BY1337" s="2" t="s">
        <v>112</v>
      </c>
      <c r="BZ1337" s="2" t="s">
        <v>100</v>
      </c>
    </row>
    <row r="1338">
      <c r="A1338" s="2" t="s">
        <v>4325</v>
      </c>
      <c r="B1338" s="2" t="s">
        <v>87</v>
      </c>
      <c r="C1338" s="2" t="s">
        <v>4104</v>
      </c>
      <c r="D1338" s="2" t="s">
        <v>89</v>
      </c>
      <c r="E1338" s="2" t="s">
        <v>90</v>
      </c>
      <c r="F1338" s="2" t="s">
        <v>4319</v>
      </c>
      <c r="G1338" s="2" t="s">
        <v>4319</v>
      </c>
      <c r="H1338" s="2" t="s">
        <v>4319</v>
      </c>
      <c r="I1338" s="2" t="s">
        <v>4320</v>
      </c>
      <c r="J1338" s="2" t="s">
        <v>785</v>
      </c>
      <c r="K1338" s="2" t="s">
        <v>96</v>
      </c>
      <c r="L1338" s="3">
        <v>59.99</v>
      </c>
      <c r="M1338" s="3">
        <v>62.99</v>
      </c>
      <c r="N1338" s="3">
        <v>119.99</v>
      </c>
      <c r="O1338" s="2" t="s">
        <v>473</v>
      </c>
      <c r="P1338" s="2" t="s">
        <v>447</v>
      </c>
      <c r="Q1338" s="2" t="s">
        <v>99</v>
      </c>
      <c r="R1338" s="2" t="s">
        <v>100</v>
      </c>
      <c r="S1338" s="2" t="s">
        <v>4326</v>
      </c>
      <c r="T1338" s="2" t="s">
        <v>100</v>
      </c>
      <c r="U1338" s="2" t="s">
        <v>100</v>
      </c>
      <c r="V1338" s="2" t="s">
        <v>645</v>
      </c>
      <c r="W1338" s="2" t="s">
        <v>104</v>
      </c>
      <c r="X1338" s="2" t="s">
        <v>499</v>
      </c>
      <c r="Y1338" s="2" t="s">
        <v>4226</v>
      </c>
      <c r="Z1338" s="4">
        <v>27</v>
      </c>
      <c r="AA1338" s="4">
        <f>=ROUNDDOWN(7.2972972972973,0)</f>
      </c>
      <c r="AB1338" s="5">
        <v>3.7</v>
      </c>
      <c r="AC1338" s="2" t="s">
        <v>100</v>
      </c>
      <c r="AD1338" s="4"/>
      <c r="AE1338" s="4"/>
      <c r="AF1338" s="6">
        <v>67</v>
      </c>
      <c r="AG1338" s="6"/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>
        <v>0</v>
      </c>
      <c r="AP1338" s="4"/>
      <c r="AQ1338" s="8"/>
      <c r="AR1338" s="4"/>
      <c r="AS1338" s="8"/>
      <c r="AT1338" s="7"/>
      <c r="AU1338" s="7"/>
      <c r="AV1338" s="4"/>
      <c r="AW1338" s="8"/>
      <c r="AX1338" s="4"/>
      <c r="AY1338" s="8"/>
      <c r="AZ1338" s="7"/>
      <c r="BA1338" s="7"/>
      <c r="BB1338" s="7"/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/>
      <c r="BJ1338" s="4">
        <v>2</v>
      </c>
      <c r="BK1338" s="8">
        <v>94.34</v>
      </c>
      <c r="BL1338" s="2" t="s">
        <v>200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109</v>
      </c>
      <c r="BV1338" s="2" t="s">
        <v>97</v>
      </c>
      <c r="BW1338" s="2" t="s">
        <v>723</v>
      </c>
      <c r="BX1338" s="2" t="s">
        <v>216</v>
      </c>
      <c r="BY1338" s="2" t="s">
        <v>112</v>
      </c>
      <c r="BZ1338" s="2" t="s">
        <v>100</v>
      </c>
    </row>
    <row r="1339">
      <c r="A1339" s="2" t="s">
        <v>4327</v>
      </c>
      <c r="B1339" s="2" t="s">
        <v>87</v>
      </c>
      <c r="C1339" s="2" t="s">
        <v>4104</v>
      </c>
      <c r="D1339" s="2" t="s">
        <v>89</v>
      </c>
      <c r="E1339" s="2" t="s">
        <v>90</v>
      </c>
      <c r="F1339" s="2" t="s">
        <v>4319</v>
      </c>
      <c r="G1339" s="2" t="s">
        <v>4319</v>
      </c>
      <c r="H1339" s="2" t="s">
        <v>4319</v>
      </c>
      <c r="I1339" s="2" t="s">
        <v>4320</v>
      </c>
      <c r="J1339" s="2" t="s">
        <v>795</v>
      </c>
      <c r="K1339" s="2" t="s">
        <v>1263</v>
      </c>
      <c r="L1339" s="3">
        <v>75</v>
      </c>
      <c r="M1339" s="3">
        <v>78.74</v>
      </c>
      <c r="N1339" s="3">
        <v>149.99</v>
      </c>
      <c r="O1339" s="2" t="s">
        <v>1715</v>
      </c>
      <c r="P1339" s="2" t="s">
        <v>447</v>
      </c>
      <c r="Q1339" s="2" t="s">
        <v>99</v>
      </c>
      <c r="R1339" s="2" t="s">
        <v>100</v>
      </c>
      <c r="S1339" s="2" t="s">
        <v>4328</v>
      </c>
      <c r="T1339" s="2" t="s">
        <v>359</v>
      </c>
      <c r="U1339" s="2" t="s">
        <v>1508</v>
      </c>
      <c r="V1339" s="2" t="s">
        <v>645</v>
      </c>
      <c r="W1339" s="2" t="s">
        <v>104</v>
      </c>
      <c r="X1339" s="2" t="s">
        <v>499</v>
      </c>
      <c r="Y1339" s="2" t="s">
        <v>134</v>
      </c>
      <c r="Z1339" s="4">
        <v>121</v>
      </c>
      <c r="AA1339" s="4">
        <f>=ROUNDDOWN(71.1764705882353,0)</f>
      </c>
      <c r="AB1339" s="5">
        <v>1.7</v>
      </c>
      <c r="AC1339" s="2" t="s">
        <v>100</v>
      </c>
      <c r="AD1339" s="4"/>
      <c r="AE1339" s="4"/>
      <c r="AF1339" s="6">
        <v>67</v>
      </c>
      <c r="AG1339" s="6"/>
      <c r="AH1339" s="7">
        <v>1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/>
      <c r="AQ1339" s="8"/>
      <c r="AR1339" s="4"/>
      <c r="AS1339" s="8"/>
      <c r="AT1339" s="7"/>
      <c r="AU1339" s="7"/>
      <c r="AV1339" s="4"/>
      <c r="AW1339" s="8"/>
      <c r="AX1339" s="4"/>
      <c r="AY1339" s="8"/>
      <c r="AZ1339" s="7"/>
      <c r="BA1339" s="7"/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/>
      <c r="BJ1339" s="4">
        <v>2</v>
      </c>
      <c r="BK1339" s="8">
        <v>167.72</v>
      </c>
      <c r="BL1339" s="2" t="s">
        <v>4329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109</v>
      </c>
      <c r="BV1339" s="2" t="s">
        <v>97</v>
      </c>
      <c r="BW1339" s="2" t="s">
        <v>4114</v>
      </c>
      <c r="BX1339" s="2" t="s">
        <v>4213</v>
      </c>
      <c r="BY1339" s="2" t="s">
        <v>112</v>
      </c>
      <c r="BZ1339" s="2" t="s">
        <v>100</v>
      </c>
    </row>
    <row r="1340">
      <c r="A1340" s="2" t="s">
        <v>4330</v>
      </c>
      <c r="B1340" s="2" t="s">
        <v>87</v>
      </c>
      <c r="C1340" s="2" t="s">
        <v>4104</v>
      </c>
      <c r="D1340" s="2" t="s">
        <v>89</v>
      </c>
      <c r="E1340" s="2" t="s">
        <v>90</v>
      </c>
      <c r="F1340" s="2" t="s">
        <v>4319</v>
      </c>
      <c r="G1340" s="2" t="s">
        <v>4319</v>
      </c>
      <c r="H1340" s="2" t="s">
        <v>4319</v>
      </c>
      <c r="I1340" s="2" t="s">
        <v>4320</v>
      </c>
      <c r="J1340" s="2" t="s">
        <v>795</v>
      </c>
      <c r="K1340" s="2" t="s">
        <v>163</v>
      </c>
      <c r="L1340" s="3">
        <v>75</v>
      </c>
      <c r="M1340" s="3">
        <v>78.74</v>
      </c>
      <c r="N1340" s="3">
        <v>149.99</v>
      </c>
      <c r="O1340" s="2" t="s">
        <v>1715</v>
      </c>
      <c r="P1340" s="2" t="s">
        <v>447</v>
      </c>
      <c r="Q1340" s="2" t="s">
        <v>99</v>
      </c>
      <c r="R1340" s="2" t="s">
        <v>100</v>
      </c>
      <c r="S1340" s="2" t="s">
        <v>4331</v>
      </c>
      <c r="T1340" s="2" t="s">
        <v>100</v>
      </c>
      <c r="U1340" s="2" t="s">
        <v>100</v>
      </c>
      <c r="V1340" s="2" t="s">
        <v>645</v>
      </c>
      <c r="W1340" s="2" t="s">
        <v>104</v>
      </c>
      <c r="X1340" s="2" t="s">
        <v>499</v>
      </c>
      <c r="Y1340" s="2" t="s">
        <v>131</v>
      </c>
      <c r="Z1340" s="4">
        <v>375</v>
      </c>
      <c r="AA1340" s="4">
        <f>=ROUNDDOWN(163.04347826087,0)</f>
      </c>
      <c r="AB1340" s="5">
        <v>2.3</v>
      </c>
      <c r="AC1340" s="2" t="s">
        <v>100</v>
      </c>
      <c r="AD1340" s="4"/>
      <c r="AE1340" s="4"/>
      <c r="AF1340" s="6">
        <v>67</v>
      </c>
      <c r="AG1340" s="6"/>
      <c r="AH1340" s="7">
        <v>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/>
      <c r="AQ1340" s="8"/>
      <c r="AR1340" s="4"/>
      <c r="AS1340" s="8"/>
      <c r="AT1340" s="7"/>
      <c r="AU1340" s="7"/>
      <c r="AV1340" s="4"/>
      <c r="AW1340" s="8"/>
      <c r="AX1340" s="4"/>
      <c r="AY1340" s="8"/>
      <c r="AZ1340" s="7"/>
      <c r="BA1340" s="7"/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/>
      <c r="BJ1340" s="4">
        <v>2</v>
      </c>
      <c r="BK1340" s="8">
        <v>128.88</v>
      </c>
      <c r="BL1340" s="2" t="s">
        <v>927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109</v>
      </c>
      <c r="BV1340" s="2" t="s">
        <v>97</v>
      </c>
      <c r="BW1340" s="2" t="s">
        <v>723</v>
      </c>
      <c r="BX1340" s="2" t="s">
        <v>2738</v>
      </c>
      <c r="BY1340" s="2" t="s">
        <v>112</v>
      </c>
      <c r="BZ1340" s="2" t="s">
        <v>100</v>
      </c>
    </row>
    <row r="1341">
      <c r="A1341" s="2" t="s">
        <v>4332</v>
      </c>
      <c r="B1341" s="2" t="s">
        <v>87</v>
      </c>
      <c r="C1341" s="2" t="s">
        <v>4104</v>
      </c>
      <c r="D1341" s="2" t="s">
        <v>89</v>
      </c>
      <c r="E1341" s="2" t="s">
        <v>90</v>
      </c>
      <c r="F1341" s="2" t="s">
        <v>4163</v>
      </c>
      <c r="G1341" s="2" t="s">
        <v>4163</v>
      </c>
      <c r="H1341" s="2" t="s">
        <v>4163</v>
      </c>
      <c r="I1341" s="2" t="s">
        <v>4333</v>
      </c>
      <c r="J1341" s="2" t="s">
        <v>785</v>
      </c>
      <c r="K1341" s="2" t="s">
        <v>96</v>
      </c>
      <c r="L1341" s="3">
        <v>54</v>
      </c>
      <c r="M1341" s="3">
        <v>56.7</v>
      </c>
      <c r="N1341" s="3">
        <v>109.99</v>
      </c>
      <c r="O1341" s="2" t="s">
        <v>97</v>
      </c>
      <c r="P1341" s="2" t="s">
        <v>4334</v>
      </c>
      <c r="Q1341" s="2" t="s">
        <v>99</v>
      </c>
      <c r="R1341" s="2" t="s">
        <v>100</v>
      </c>
      <c r="S1341" s="2" t="s">
        <v>4335</v>
      </c>
      <c r="T1341" s="2" t="s">
        <v>100</v>
      </c>
      <c r="U1341" s="2" t="s">
        <v>100</v>
      </c>
      <c r="V1341" s="2" t="s">
        <v>4166</v>
      </c>
      <c r="W1341" s="2" t="s">
        <v>2101</v>
      </c>
      <c r="X1341" s="2" t="s">
        <v>499</v>
      </c>
      <c r="Y1341" s="2" t="s">
        <v>1317</v>
      </c>
      <c r="Z1341" s="4"/>
      <c r="AA1341" s="4">
        <f>=ROUNDDOWN({0},0)</f>
      </c>
      <c r="AB1341" s="5">
        <v>4.3</v>
      </c>
      <c r="AC1341" s="2" t="s">
        <v>100</v>
      </c>
      <c r="AD1341" s="4"/>
      <c r="AE1341" s="4"/>
      <c r="AF1341" s="6">
        <v>65</v>
      </c>
      <c r="AG1341" s="6"/>
      <c r="AH1341" s="7">
        <v>0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>
        <v>0</v>
      </c>
      <c r="AP1341" s="4"/>
      <c r="AQ1341" s="8"/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/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/>
      <c r="BJ1341" s="4"/>
      <c r="BK1341" s="8"/>
      <c r="BL1341" s="2" t="s">
        <v>100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109</v>
      </c>
      <c r="BV1341" s="2" t="s">
        <v>97</v>
      </c>
      <c r="BW1341" s="2" t="s">
        <v>512</v>
      </c>
      <c r="BX1341" s="2" t="s">
        <v>4336</v>
      </c>
      <c r="BY1341" s="2" t="s">
        <v>112</v>
      </c>
      <c r="BZ1341" s="2" t="s">
        <v>100</v>
      </c>
    </row>
    <row r="1342">
      <c r="A1342" s="2" t="s">
        <v>4337</v>
      </c>
      <c r="B1342" s="2" t="s">
        <v>87</v>
      </c>
      <c r="C1342" s="2" t="s">
        <v>4104</v>
      </c>
      <c r="D1342" s="2" t="s">
        <v>89</v>
      </c>
      <c r="E1342" s="2" t="s">
        <v>90</v>
      </c>
      <c r="F1342" s="2" t="s">
        <v>4163</v>
      </c>
      <c r="G1342" s="2" t="s">
        <v>4163</v>
      </c>
      <c r="H1342" s="2" t="s">
        <v>4163</v>
      </c>
      <c r="I1342" s="2" t="s">
        <v>4333</v>
      </c>
      <c r="J1342" s="2" t="s">
        <v>795</v>
      </c>
      <c r="K1342" s="2" t="s">
        <v>96</v>
      </c>
      <c r="L1342" s="3">
        <v>67.5</v>
      </c>
      <c r="M1342" s="3">
        <v>70.88</v>
      </c>
      <c r="N1342" s="3">
        <v>139.99</v>
      </c>
      <c r="O1342" s="2" t="s">
        <v>97</v>
      </c>
      <c r="P1342" s="2" t="s">
        <v>4334</v>
      </c>
      <c r="Q1342" s="2" t="s">
        <v>99</v>
      </c>
      <c r="R1342" s="2" t="s">
        <v>100</v>
      </c>
      <c r="S1342" s="2" t="s">
        <v>4335</v>
      </c>
      <c r="T1342" s="2" t="s">
        <v>100</v>
      </c>
      <c r="U1342" s="2" t="s">
        <v>100</v>
      </c>
      <c r="V1342" s="2" t="s">
        <v>4166</v>
      </c>
      <c r="W1342" s="2" t="s">
        <v>2101</v>
      </c>
      <c r="X1342" s="2" t="s">
        <v>499</v>
      </c>
      <c r="Y1342" s="2" t="s">
        <v>1317</v>
      </c>
      <c r="Z1342" s="4">
        <v>36</v>
      </c>
      <c r="AA1342" s="4">
        <f>=ROUNDDOWN(6,0)</f>
      </c>
      <c r="AB1342" s="5">
        <v>6</v>
      </c>
      <c r="AC1342" s="2" t="s">
        <v>100</v>
      </c>
      <c r="AD1342" s="4"/>
      <c r="AE1342" s="4"/>
      <c r="AF1342" s="6">
        <v>65</v>
      </c>
      <c r="AG1342" s="6"/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>
        <v>0</v>
      </c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/>
      <c r="BJ1342" s="4">
        <v>2</v>
      </c>
      <c r="BK1342" s="8">
        <v>136.03</v>
      </c>
      <c r="BL1342" s="2" t="s">
        <v>407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109</v>
      </c>
      <c r="BV1342" s="2" t="s">
        <v>97</v>
      </c>
      <c r="BW1342" s="2" t="s">
        <v>723</v>
      </c>
      <c r="BX1342" s="2" t="s">
        <v>260</v>
      </c>
      <c r="BY1342" s="2" t="s">
        <v>112</v>
      </c>
      <c r="BZ1342" s="2" t="s">
        <v>100</v>
      </c>
    </row>
    <row r="1343">
      <c r="A1343" s="2" t="s">
        <v>4338</v>
      </c>
      <c r="B1343" s="2" t="s">
        <v>87</v>
      </c>
      <c r="C1343" s="2" t="s">
        <v>4104</v>
      </c>
      <c r="D1343" s="2" t="s">
        <v>2230</v>
      </c>
      <c r="E1343" s="2" t="s">
        <v>3064</v>
      </c>
      <c r="F1343" s="2" t="s">
        <v>4339</v>
      </c>
      <c r="G1343" s="2" t="s">
        <v>4339</v>
      </c>
      <c r="H1343" s="2" t="s">
        <v>4339</v>
      </c>
      <c r="I1343" s="2" t="s">
        <v>4340</v>
      </c>
      <c r="J1343" s="2" t="s">
        <v>795</v>
      </c>
      <c r="K1343" s="2" t="s">
        <v>1263</v>
      </c>
      <c r="L1343" s="3">
        <v>73.5</v>
      </c>
      <c r="M1343" s="3">
        <v>77.18</v>
      </c>
      <c r="N1343" s="3">
        <v>149.99</v>
      </c>
      <c r="O1343" s="2" t="s">
        <v>97</v>
      </c>
      <c r="P1343" s="2" t="s">
        <v>447</v>
      </c>
      <c r="Q1343" s="2" t="s">
        <v>99</v>
      </c>
      <c r="R1343" s="2" t="s">
        <v>100</v>
      </c>
      <c r="S1343" s="2" t="s">
        <v>4341</v>
      </c>
      <c r="T1343" s="2" t="s">
        <v>359</v>
      </c>
      <c r="U1343" s="2" t="s">
        <v>1508</v>
      </c>
      <c r="V1343" s="2" t="s">
        <v>4342</v>
      </c>
      <c r="W1343" s="2" t="s">
        <v>976</v>
      </c>
      <c r="X1343" s="2" t="s">
        <v>100</v>
      </c>
      <c r="Y1343" s="2" t="s">
        <v>4343</v>
      </c>
      <c r="Z1343" s="4">
        <v>74</v>
      </c>
      <c r="AA1343" s="4">
        <f>=ROUNDDOWN(10.5714285714286,0)</f>
      </c>
      <c r="AB1343" s="5">
        <v>7</v>
      </c>
      <c r="AC1343" s="2" t="s">
        <v>100</v>
      </c>
      <c r="AD1343" s="4"/>
      <c r="AE1343" s="4"/>
      <c r="AF1343" s="6">
        <v>64</v>
      </c>
      <c r="AG1343" s="6"/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</v>
      </c>
      <c r="AP1343" s="4">
        <v>2</v>
      </c>
      <c r="AQ1343" s="8">
        <v>162.06</v>
      </c>
      <c r="AR1343" s="4"/>
      <c r="AS1343" s="8"/>
      <c r="AT1343" s="7"/>
      <c r="AU1343" s="7"/>
      <c r="AV1343" s="4">
        <v>2</v>
      </c>
      <c r="AW1343" s="8">
        <v>162.06</v>
      </c>
      <c r="AX1343" s="4"/>
      <c r="AY1343" s="8"/>
      <c r="AZ1343" s="7"/>
      <c r="BA1343" s="7"/>
      <c r="BB1343" s="7">
        <v>1</v>
      </c>
      <c r="BC1343" s="4">
        <v>4</v>
      </c>
      <c r="BD1343" s="8">
        <v>313.92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>
        <v>0.5162</v>
      </c>
      <c r="BJ1343" s="4">
        <v>5</v>
      </c>
      <c r="BK1343" s="8">
        <v>384.5</v>
      </c>
      <c r="BL1343" s="2" t="s">
        <v>4344</v>
      </c>
      <c r="BM1343" s="7">
        <v>0.4</v>
      </c>
      <c r="BN1343" s="7">
        <v>0.4215</v>
      </c>
      <c r="BO1343" s="4">
        <v>2</v>
      </c>
      <c r="BP1343" s="8">
        <v>162.06</v>
      </c>
      <c r="BQ1343" s="4"/>
      <c r="BR1343" s="8"/>
      <c r="BS1343" s="7"/>
      <c r="BT1343" s="7"/>
      <c r="BU1343" s="2" t="s">
        <v>109</v>
      </c>
      <c r="BV1343" s="2" t="s">
        <v>97</v>
      </c>
      <c r="BW1343" s="2" t="s">
        <v>4345</v>
      </c>
      <c r="BX1343" s="2" t="s">
        <v>2343</v>
      </c>
      <c r="BY1343" s="2" t="s">
        <v>112</v>
      </c>
      <c r="BZ1343" s="2" t="s">
        <v>100</v>
      </c>
    </row>
    <row r="1344">
      <c r="A1344" s="2" t="s">
        <v>4346</v>
      </c>
      <c r="B1344" s="2" t="s">
        <v>87</v>
      </c>
      <c r="C1344" s="2" t="s">
        <v>4104</v>
      </c>
      <c r="D1344" s="2" t="s">
        <v>2230</v>
      </c>
      <c r="E1344" s="2" t="s">
        <v>3064</v>
      </c>
      <c r="F1344" s="2" t="s">
        <v>4339</v>
      </c>
      <c r="G1344" s="2" t="s">
        <v>4339</v>
      </c>
      <c r="H1344" s="2" t="s">
        <v>4339</v>
      </c>
      <c r="I1344" s="2" t="s">
        <v>4340</v>
      </c>
      <c r="J1344" s="2" t="s">
        <v>785</v>
      </c>
      <c r="K1344" s="2" t="s">
        <v>163</v>
      </c>
      <c r="L1344" s="3">
        <v>63.7</v>
      </c>
      <c r="M1344" s="3">
        <v>66.88</v>
      </c>
      <c r="N1344" s="3">
        <v>129.99</v>
      </c>
      <c r="O1344" s="2" t="s">
        <v>97</v>
      </c>
      <c r="P1344" s="2" t="s">
        <v>587</v>
      </c>
      <c r="Q1344" s="2" t="s">
        <v>99</v>
      </c>
      <c r="R1344" s="2" t="s">
        <v>100</v>
      </c>
      <c r="S1344" s="2" t="s">
        <v>4347</v>
      </c>
      <c r="T1344" s="2" t="s">
        <v>359</v>
      </c>
      <c r="U1344" s="2" t="s">
        <v>1508</v>
      </c>
      <c r="V1344" s="2" t="s">
        <v>4342</v>
      </c>
      <c r="W1344" s="2" t="s">
        <v>976</v>
      </c>
      <c r="X1344" s="2" t="s">
        <v>499</v>
      </c>
      <c r="Y1344" s="2" t="s">
        <v>131</v>
      </c>
      <c r="Z1344" s="4">
        <v>233</v>
      </c>
      <c r="AA1344" s="4">
        <f>=ROUNDDOWN(33.2857142857143,0)</f>
      </c>
      <c r="AB1344" s="5">
        <v>7</v>
      </c>
      <c r="AC1344" s="2" t="s">
        <v>100</v>
      </c>
      <c r="AD1344" s="4"/>
      <c r="AE1344" s="4"/>
      <c r="AF1344" s="6">
        <v>64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>
        <v>1</v>
      </c>
      <c r="AQ1344" s="8">
        <v>70.51</v>
      </c>
      <c r="AR1344" s="4"/>
      <c r="AS1344" s="8"/>
      <c r="AT1344" s="7"/>
      <c r="AU1344" s="7"/>
      <c r="AV1344" s="4">
        <v>2</v>
      </c>
      <c r="AW1344" s="8">
        <v>151.86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>
        <v>0.4643</v>
      </c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>
        <v>0.4838</v>
      </c>
      <c r="BJ1344" s="4">
        <v>6</v>
      </c>
      <c r="BK1344" s="8">
        <v>397.98</v>
      </c>
      <c r="BL1344" s="2" t="s">
        <v>4348</v>
      </c>
      <c r="BM1344" s="7">
        <v>0.1667</v>
      </c>
      <c r="BN1344" s="7">
        <v>0.1772</v>
      </c>
      <c r="BO1344" s="4">
        <v>1</v>
      </c>
      <c r="BP1344" s="8">
        <v>70.51</v>
      </c>
      <c r="BQ1344" s="4"/>
      <c r="BR1344" s="8"/>
      <c r="BS1344" s="7"/>
      <c r="BT1344" s="7"/>
      <c r="BU1344" s="2" t="s">
        <v>109</v>
      </c>
      <c r="BV1344" s="2" t="s">
        <v>97</v>
      </c>
      <c r="BW1344" s="2" t="s">
        <v>723</v>
      </c>
      <c r="BX1344" s="2" t="s">
        <v>1322</v>
      </c>
      <c r="BY1344" s="2" t="s">
        <v>112</v>
      </c>
      <c r="BZ1344" s="2" t="s">
        <v>100</v>
      </c>
    </row>
    <row r="1345">
      <c r="A1345" s="2" t="s">
        <v>4349</v>
      </c>
      <c r="B1345" s="2" t="s">
        <v>87</v>
      </c>
      <c r="C1345" s="2" t="s">
        <v>4104</v>
      </c>
      <c r="D1345" s="2" t="s">
        <v>2230</v>
      </c>
      <c r="E1345" s="2" t="s">
        <v>3064</v>
      </c>
      <c r="F1345" s="2" t="s">
        <v>4339</v>
      </c>
      <c r="G1345" s="2" t="s">
        <v>4339</v>
      </c>
      <c r="H1345" s="2" t="s">
        <v>4339</v>
      </c>
      <c r="I1345" s="2" t="s">
        <v>4340</v>
      </c>
      <c r="J1345" s="2" t="s">
        <v>795</v>
      </c>
      <c r="K1345" s="2" t="s">
        <v>163</v>
      </c>
      <c r="L1345" s="3">
        <v>73.5</v>
      </c>
      <c r="M1345" s="3">
        <v>77.17</v>
      </c>
      <c r="N1345" s="3">
        <v>149.99</v>
      </c>
      <c r="O1345" s="2" t="s">
        <v>97</v>
      </c>
      <c r="P1345" s="2" t="s">
        <v>587</v>
      </c>
      <c r="Q1345" s="2" t="s">
        <v>99</v>
      </c>
      <c r="R1345" s="2" t="s">
        <v>100</v>
      </c>
      <c r="S1345" s="2" t="s">
        <v>4347</v>
      </c>
      <c r="T1345" s="2" t="s">
        <v>359</v>
      </c>
      <c r="U1345" s="2" t="s">
        <v>1508</v>
      </c>
      <c r="V1345" s="2" t="s">
        <v>4342</v>
      </c>
      <c r="W1345" s="2" t="s">
        <v>976</v>
      </c>
      <c r="X1345" s="2" t="s">
        <v>499</v>
      </c>
      <c r="Y1345" s="2" t="s">
        <v>131</v>
      </c>
      <c r="Z1345" s="4">
        <v>559</v>
      </c>
      <c r="AA1345" s="4">
        <f>=ROUNDDOWN(55.9,0)</f>
      </c>
      <c r="AB1345" s="5">
        <v>10</v>
      </c>
      <c r="AC1345" s="2" t="s">
        <v>100</v>
      </c>
      <c r="AD1345" s="4"/>
      <c r="AE1345" s="4"/>
      <c r="AF1345" s="6">
        <v>64</v>
      </c>
      <c r="AG1345" s="6"/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>
        <v>0</v>
      </c>
      <c r="AP1345" s="4">
        <v>1</v>
      </c>
      <c r="AQ1345" s="8">
        <v>81.35</v>
      </c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>
        <v>0.5357</v>
      </c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 t="s">
        <v>100</v>
      </c>
      <c r="BJ1345" s="4">
        <v>7</v>
      </c>
      <c r="BK1345" s="8">
        <v>545.04</v>
      </c>
      <c r="BL1345" s="2" t="s">
        <v>4350</v>
      </c>
      <c r="BM1345" s="7">
        <v>0.1429</v>
      </c>
      <c r="BN1345" s="7">
        <v>0.1493</v>
      </c>
      <c r="BO1345" s="4">
        <v>1</v>
      </c>
      <c r="BP1345" s="8">
        <v>81.35</v>
      </c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723</v>
      </c>
      <c r="BX1345" s="2" t="s">
        <v>402</v>
      </c>
      <c r="BY1345" s="2" t="s">
        <v>112</v>
      </c>
      <c r="BZ1345" s="2" t="s">
        <v>100</v>
      </c>
    </row>
    <row r="1346">
      <c r="A1346" s="2" t="s">
        <v>4351</v>
      </c>
      <c r="B1346" s="2" t="s">
        <v>87</v>
      </c>
      <c r="C1346" s="2" t="s">
        <v>4104</v>
      </c>
      <c r="D1346" s="2" t="s">
        <v>2230</v>
      </c>
      <c r="E1346" s="2" t="s">
        <v>3064</v>
      </c>
      <c r="F1346" s="2" t="s">
        <v>4339</v>
      </c>
      <c r="G1346" s="2" t="s">
        <v>4339</v>
      </c>
      <c r="H1346" s="2" t="s">
        <v>4339</v>
      </c>
      <c r="I1346" s="2" t="s">
        <v>4340</v>
      </c>
      <c r="J1346" s="2" t="s">
        <v>785</v>
      </c>
      <c r="K1346" s="2" t="s">
        <v>185</v>
      </c>
      <c r="L1346" s="3">
        <v>63.7</v>
      </c>
      <c r="M1346" s="3">
        <v>66.89</v>
      </c>
      <c r="N1346" s="3">
        <v>129.99</v>
      </c>
      <c r="O1346" s="2" t="s">
        <v>97</v>
      </c>
      <c r="P1346" s="2" t="s">
        <v>587</v>
      </c>
      <c r="Q1346" s="2" t="s">
        <v>99</v>
      </c>
      <c r="R1346" s="2" t="s">
        <v>100</v>
      </c>
      <c r="S1346" s="2" t="s">
        <v>4352</v>
      </c>
      <c r="T1346" s="2" t="s">
        <v>359</v>
      </c>
      <c r="U1346" s="2" t="s">
        <v>1508</v>
      </c>
      <c r="V1346" s="2" t="s">
        <v>4342</v>
      </c>
      <c r="W1346" s="2" t="s">
        <v>976</v>
      </c>
      <c r="X1346" s="2" t="s">
        <v>100</v>
      </c>
      <c r="Y1346" s="2" t="s">
        <v>4343</v>
      </c>
      <c r="Z1346" s="4">
        <v>2</v>
      </c>
      <c r="AA1346" s="4">
        <f>=ROUNDDOWN(0.285714285714286,0)</f>
      </c>
      <c r="AB1346" s="5">
        <v>7</v>
      </c>
      <c r="AC1346" s="2" t="s">
        <v>680</v>
      </c>
      <c r="AD1346" s="4">
        <v>100</v>
      </c>
      <c r="AE1346" s="4">
        <v>100</v>
      </c>
      <c r="AF1346" s="6">
        <v>64</v>
      </c>
      <c r="AG1346" s="6"/>
      <c r="AH1346" s="7">
        <v>0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100</v>
      </c>
      <c r="AW1346" s="8" t="s">
        <v>100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/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 t="s">
        <v>100</v>
      </c>
      <c r="BJ1346" s="4">
        <v>2</v>
      </c>
      <c r="BK1346" s="8">
        <v>135.18</v>
      </c>
      <c r="BL1346" s="2" t="s">
        <v>1310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4345</v>
      </c>
      <c r="BX1346" s="2" t="s">
        <v>4353</v>
      </c>
      <c r="BY1346" s="2" t="s">
        <v>112</v>
      </c>
      <c r="BZ1346" s="2" t="s">
        <v>100</v>
      </c>
    </row>
    <row r="1347">
      <c r="A1347" s="2" t="s">
        <v>4354</v>
      </c>
      <c r="B1347" s="2" t="s">
        <v>87</v>
      </c>
      <c r="C1347" s="2" t="s">
        <v>4104</v>
      </c>
      <c r="D1347" s="2" t="s">
        <v>2230</v>
      </c>
      <c r="E1347" s="2" t="s">
        <v>3064</v>
      </c>
      <c r="F1347" s="2" t="s">
        <v>4339</v>
      </c>
      <c r="G1347" s="2" t="s">
        <v>4339</v>
      </c>
      <c r="H1347" s="2" t="s">
        <v>4339</v>
      </c>
      <c r="I1347" s="2" t="s">
        <v>4340</v>
      </c>
      <c r="J1347" s="2" t="s">
        <v>795</v>
      </c>
      <c r="K1347" s="2" t="s">
        <v>185</v>
      </c>
      <c r="L1347" s="3">
        <v>73.5</v>
      </c>
      <c r="M1347" s="3">
        <v>77.18</v>
      </c>
      <c r="N1347" s="3">
        <v>149.99</v>
      </c>
      <c r="O1347" s="2" t="s">
        <v>97</v>
      </c>
      <c r="P1347" s="2" t="s">
        <v>587</v>
      </c>
      <c r="Q1347" s="2" t="s">
        <v>99</v>
      </c>
      <c r="R1347" s="2" t="s">
        <v>100</v>
      </c>
      <c r="S1347" s="2" t="s">
        <v>4352</v>
      </c>
      <c r="T1347" s="2" t="s">
        <v>359</v>
      </c>
      <c r="U1347" s="2" t="s">
        <v>1508</v>
      </c>
      <c r="V1347" s="2" t="s">
        <v>4342</v>
      </c>
      <c r="W1347" s="2" t="s">
        <v>976</v>
      </c>
      <c r="X1347" s="2" t="s">
        <v>100</v>
      </c>
      <c r="Y1347" s="2" t="s">
        <v>4343</v>
      </c>
      <c r="Z1347" s="4">
        <v>79</v>
      </c>
      <c r="AA1347" s="4">
        <f>=ROUNDDOWN(19.75,0)</f>
      </c>
      <c r="AB1347" s="5">
        <v>4</v>
      </c>
      <c r="AC1347" s="2" t="s">
        <v>100</v>
      </c>
      <c r="AD1347" s="4"/>
      <c r="AE1347" s="4"/>
      <c r="AF1347" s="6">
        <v>64</v>
      </c>
      <c r="AG1347" s="6"/>
      <c r="AH1347" s="7">
        <v>1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>
        <v>0</v>
      </c>
      <c r="AP1347" s="4"/>
      <c r="AQ1347" s="8"/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/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 t="s">
        <v>100</v>
      </c>
      <c r="BJ1347" s="4">
        <v>5</v>
      </c>
      <c r="BK1347" s="8">
        <v>387.32</v>
      </c>
      <c r="BL1347" s="2" t="s">
        <v>2060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109</v>
      </c>
      <c r="BV1347" s="2" t="s">
        <v>97</v>
      </c>
      <c r="BW1347" s="2" t="s">
        <v>4345</v>
      </c>
      <c r="BX1347" s="2" t="s">
        <v>1726</v>
      </c>
      <c r="BY1347" s="2" t="s">
        <v>112</v>
      </c>
      <c r="BZ1347" s="2" t="s">
        <v>100</v>
      </c>
    </row>
    <row r="1348">
      <c r="A1348" s="2" t="s">
        <v>4355</v>
      </c>
      <c r="B1348" s="2" t="s">
        <v>87</v>
      </c>
      <c r="C1348" s="2" t="s">
        <v>4104</v>
      </c>
      <c r="D1348" s="2" t="s">
        <v>2230</v>
      </c>
      <c r="E1348" s="2" t="s">
        <v>3064</v>
      </c>
      <c r="F1348" s="2" t="s">
        <v>4163</v>
      </c>
      <c r="G1348" s="2" t="s">
        <v>4163</v>
      </c>
      <c r="H1348" s="2" t="s">
        <v>4163</v>
      </c>
      <c r="I1348" s="2" t="s">
        <v>4356</v>
      </c>
      <c r="J1348" s="2" t="s">
        <v>785</v>
      </c>
      <c r="K1348" s="2" t="s">
        <v>163</v>
      </c>
      <c r="L1348" s="3">
        <v>52.8</v>
      </c>
      <c r="M1348" s="3">
        <v>55.43</v>
      </c>
      <c r="N1348" s="3">
        <v>109.99</v>
      </c>
      <c r="O1348" s="2" t="s">
        <v>97</v>
      </c>
      <c r="P1348" s="2" t="s">
        <v>98</v>
      </c>
      <c r="Q1348" s="2" t="s">
        <v>99</v>
      </c>
      <c r="R1348" s="2" t="s">
        <v>100</v>
      </c>
      <c r="S1348" s="2" t="s">
        <v>4165</v>
      </c>
      <c r="T1348" s="2" t="s">
        <v>359</v>
      </c>
      <c r="U1348" s="2" t="s">
        <v>1508</v>
      </c>
      <c r="V1348" s="2" t="s">
        <v>4166</v>
      </c>
      <c r="W1348" s="2" t="s">
        <v>2101</v>
      </c>
      <c r="X1348" s="2" t="s">
        <v>2806</v>
      </c>
      <c r="Y1348" s="2" t="s">
        <v>4357</v>
      </c>
      <c r="Z1348" s="4">
        <v>353</v>
      </c>
      <c r="AA1348" s="4">
        <f>=ROUNDDOWN(39.2222222222222,0)</f>
      </c>
      <c r="AB1348" s="5">
        <v>9</v>
      </c>
      <c r="AC1348" s="2" t="s">
        <v>2557</v>
      </c>
      <c r="AD1348" s="4">
        <v>40</v>
      </c>
      <c r="AE1348" s="4">
        <v>40</v>
      </c>
      <c r="AF1348" s="6">
        <v>65</v>
      </c>
      <c r="AG1348" s="6">
        <v>73</v>
      </c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/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/>
      <c r="BJ1348" s="4">
        <v>4</v>
      </c>
      <c r="BK1348" s="8">
        <v>219.23</v>
      </c>
      <c r="BL1348" s="2" t="s">
        <v>2548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4114</v>
      </c>
      <c r="BX1348" s="2" t="s">
        <v>2569</v>
      </c>
      <c r="BY1348" s="2" t="s">
        <v>112</v>
      </c>
      <c r="BZ1348" s="2" t="s">
        <v>100</v>
      </c>
    </row>
    <row r="1349">
      <c r="A1349" s="2" t="s">
        <v>4358</v>
      </c>
      <c r="B1349" s="2" t="s">
        <v>87</v>
      </c>
      <c r="C1349" s="2" t="s">
        <v>4104</v>
      </c>
      <c r="D1349" s="2" t="s">
        <v>2230</v>
      </c>
      <c r="E1349" s="2" t="s">
        <v>3064</v>
      </c>
      <c r="F1349" s="2" t="s">
        <v>4163</v>
      </c>
      <c r="G1349" s="2" t="s">
        <v>4163</v>
      </c>
      <c r="H1349" s="2" t="s">
        <v>4163</v>
      </c>
      <c r="I1349" s="2" t="s">
        <v>4356</v>
      </c>
      <c r="J1349" s="2" t="s">
        <v>795</v>
      </c>
      <c r="K1349" s="2" t="s">
        <v>163</v>
      </c>
      <c r="L1349" s="3">
        <v>72.79</v>
      </c>
      <c r="M1349" s="3">
        <v>76.43</v>
      </c>
      <c r="N1349" s="3">
        <v>139.99</v>
      </c>
      <c r="O1349" s="2" t="s">
        <v>97</v>
      </c>
      <c r="P1349" s="2" t="s">
        <v>98</v>
      </c>
      <c r="Q1349" s="2" t="s">
        <v>99</v>
      </c>
      <c r="R1349" s="2" t="s">
        <v>100</v>
      </c>
      <c r="S1349" s="2" t="s">
        <v>4165</v>
      </c>
      <c r="T1349" s="2" t="s">
        <v>359</v>
      </c>
      <c r="U1349" s="2" t="s">
        <v>1508</v>
      </c>
      <c r="V1349" s="2" t="s">
        <v>4166</v>
      </c>
      <c r="W1349" s="2" t="s">
        <v>2101</v>
      </c>
      <c r="X1349" s="2" t="s">
        <v>2806</v>
      </c>
      <c r="Y1349" s="2" t="s">
        <v>4357</v>
      </c>
      <c r="Z1349" s="4">
        <v>441</v>
      </c>
      <c r="AA1349" s="4">
        <f>=ROUNDDOWN(36.75,0)</f>
      </c>
      <c r="AB1349" s="5">
        <v>12</v>
      </c>
      <c r="AC1349" s="2" t="s">
        <v>324</v>
      </c>
      <c r="AD1349" s="4">
        <v>50</v>
      </c>
      <c r="AE1349" s="4">
        <v>110</v>
      </c>
      <c r="AF1349" s="6">
        <v>65</v>
      </c>
      <c r="AG1349" s="6">
        <v>73</v>
      </c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/>
      <c r="AQ1349" s="8"/>
      <c r="AR1349" s="4"/>
      <c r="AS1349" s="8"/>
      <c r="AT1349" s="7"/>
      <c r="AU1349" s="7"/>
      <c r="AV1349" s="4" t="s">
        <v>100</v>
      </c>
      <c r="AW1349" s="8" t="s">
        <v>100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/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/>
      <c r="BJ1349" s="4">
        <v>12</v>
      </c>
      <c r="BK1349" s="8">
        <v>936.61</v>
      </c>
      <c r="BL1349" s="2" t="s">
        <v>2533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4114</v>
      </c>
      <c r="BX1349" s="2" t="s">
        <v>2422</v>
      </c>
      <c r="BY1349" s="2" t="s">
        <v>112</v>
      </c>
      <c r="BZ1349" s="2" t="s">
        <v>100</v>
      </c>
    </row>
    <row r="1350">
      <c r="A1350" s="2" t="s">
        <v>4359</v>
      </c>
      <c r="B1350" s="2" t="s">
        <v>87</v>
      </c>
      <c r="C1350" s="2" t="s">
        <v>4104</v>
      </c>
      <c r="D1350" s="2" t="s">
        <v>2230</v>
      </c>
      <c r="E1350" s="2" t="s">
        <v>3064</v>
      </c>
      <c r="F1350" s="2" t="s">
        <v>4210</v>
      </c>
      <c r="G1350" s="2" t="s">
        <v>4210</v>
      </c>
      <c r="H1350" s="2" t="s">
        <v>4210</v>
      </c>
      <c r="I1350" s="2" t="s">
        <v>4360</v>
      </c>
      <c r="J1350" s="2" t="s">
        <v>785</v>
      </c>
      <c r="K1350" s="2" t="s">
        <v>198</v>
      </c>
      <c r="L1350" s="3">
        <v>64.4</v>
      </c>
      <c r="M1350" s="3">
        <v>67.62</v>
      </c>
      <c r="N1350" s="3">
        <v>139.99</v>
      </c>
      <c r="O1350" s="2" t="s">
        <v>473</v>
      </c>
      <c r="P1350" s="2" t="s">
        <v>447</v>
      </c>
      <c r="Q1350" s="2" t="s">
        <v>99</v>
      </c>
      <c r="R1350" s="2" t="s">
        <v>100</v>
      </c>
      <c r="S1350" s="2" t="s">
        <v>4361</v>
      </c>
      <c r="T1350" s="2" t="s">
        <v>100</v>
      </c>
      <c r="U1350" s="2" t="s">
        <v>1508</v>
      </c>
      <c r="V1350" s="2" t="s">
        <v>734</v>
      </c>
      <c r="W1350" s="2" t="s">
        <v>100</v>
      </c>
      <c r="X1350" s="2" t="s">
        <v>100</v>
      </c>
      <c r="Y1350" s="2" t="s">
        <v>289</v>
      </c>
      <c r="Z1350" s="4">
        <v>582</v>
      </c>
      <c r="AA1350" s="4">
        <f>=ROUNDDOWN(60.625,0)</f>
      </c>
      <c r="AB1350" s="5">
        <v>9.6</v>
      </c>
      <c r="AC1350" s="2" t="s">
        <v>100</v>
      </c>
      <c r="AD1350" s="4"/>
      <c r="AE1350" s="4"/>
      <c r="AF1350" s="6">
        <v>69</v>
      </c>
      <c r="AG1350" s="6"/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/>
      <c r="AQ1350" s="8"/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/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/>
      <c r="BJ1350" s="4">
        <v>13</v>
      </c>
      <c r="BK1350" s="8">
        <v>465.52</v>
      </c>
      <c r="BL1350" s="2" t="s">
        <v>599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3088</v>
      </c>
      <c r="BV1350" s="2" t="s">
        <v>97</v>
      </c>
      <c r="BW1350" s="2" t="s">
        <v>100</v>
      </c>
      <c r="BX1350" s="2" t="s">
        <v>100</v>
      </c>
      <c r="BY1350" s="2" t="s">
        <v>112</v>
      </c>
      <c r="BZ1350" s="2" t="s">
        <v>100</v>
      </c>
    </row>
    <row r="1351">
      <c r="A1351" s="2" t="s">
        <v>4362</v>
      </c>
      <c r="B1351" s="2" t="s">
        <v>87</v>
      </c>
      <c r="C1351" s="2" t="s">
        <v>4104</v>
      </c>
      <c r="D1351" s="2" t="s">
        <v>2230</v>
      </c>
      <c r="E1351" s="2" t="s">
        <v>3064</v>
      </c>
      <c r="F1351" s="2" t="s">
        <v>4210</v>
      </c>
      <c r="G1351" s="2" t="s">
        <v>4210</v>
      </c>
      <c r="H1351" s="2" t="s">
        <v>4210</v>
      </c>
      <c r="I1351" s="2" t="s">
        <v>4360</v>
      </c>
      <c r="J1351" s="2" t="s">
        <v>795</v>
      </c>
      <c r="K1351" s="2" t="s">
        <v>198</v>
      </c>
      <c r="L1351" s="3">
        <v>78.2</v>
      </c>
      <c r="M1351" s="3">
        <v>82.11</v>
      </c>
      <c r="N1351" s="3">
        <v>169.99</v>
      </c>
      <c r="O1351" s="2" t="s">
        <v>473</v>
      </c>
      <c r="P1351" s="2" t="s">
        <v>447</v>
      </c>
      <c r="Q1351" s="2" t="s">
        <v>99</v>
      </c>
      <c r="R1351" s="2" t="s">
        <v>100</v>
      </c>
      <c r="S1351" s="2" t="s">
        <v>4361</v>
      </c>
      <c r="T1351" s="2" t="s">
        <v>100</v>
      </c>
      <c r="U1351" s="2" t="s">
        <v>1508</v>
      </c>
      <c r="V1351" s="2" t="s">
        <v>734</v>
      </c>
      <c r="W1351" s="2" t="s">
        <v>100</v>
      </c>
      <c r="X1351" s="2" t="s">
        <v>100</v>
      </c>
      <c r="Y1351" s="2" t="s">
        <v>289</v>
      </c>
      <c r="Z1351" s="4">
        <v>430</v>
      </c>
      <c r="AA1351" s="4">
        <f>=ROUNDDOWN(33.0769230769231,0)</f>
      </c>
      <c r="AB1351" s="5">
        <v>13</v>
      </c>
      <c r="AC1351" s="2" t="s">
        <v>100</v>
      </c>
      <c r="AD1351" s="4"/>
      <c r="AE1351" s="4"/>
      <c r="AF1351" s="6">
        <v>69</v>
      </c>
      <c r="AG1351" s="6"/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/>
      <c r="AQ1351" s="8"/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/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/>
      <c r="BJ1351" s="4">
        <v>18</v>
      </c>
      <c r="BK1351" s="8">
        <v>818.67</v>
      </c>
      <c r="BL1351" s="2" t="s">
        <v>4363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3088</v>
      </c>
      <c r="BV1351" s="2" t="s">
        <v>97</v>
      </c>
      <c r="BW1351" s="2" t="s">
        <v>100</v>
      </c>
      <c r="BX1351" s="2" t="s">
        <v>100</v>
      </c>
      <c r="BY1351" s="2" t="s">
        <v>112</v>
      </c>
      <c r="BZ1351" s="2" t="s">
        <v>100</v>
      </c>
    </row>
    <row r="1352">
      <c r="A1352" s="2" t="s">
        <v>4364</v>
      </c>
      <c r="B1352" s="2" t="s">
        <v>87</v>
      </c>
      <c r="C1352" s="2" t="s">
        <v>4104</v>
      </c>
      <c r="D1352" s="2" t="s">
        <v>2230</v>
      </c>
      <c r="E1352" s="2" t="s">
        <v>3064</v>
      </c>
      <c r="F1352" s="2" t="s">
        <v>4365</v>
      </c>
      <c r="G1352" s="2" t="s">
        <v>4365</v>
      </c>
      <c r="H1352" s="2" t="s">
        <v>100</v>
      </c>
      <c r="I1352" s="2" t="s">
        <v>4366</v>
      </c>
      <c r="J1352" s="2" t="s">
        <v>785</v>
      </c>
      <c r="K1352" s="2" t="s">
        <v>372</v>
      </c>
      <c r="L1352" s="3">
        <v>63.7</v>
      </c>
      <c r="M1352" s="3">
        <v>66.88</v>
      </c>
      <c r="N1352" s="3">
        <v>129.99</v>
      </c>
      <c r="O1352" s="2" t="s">
        <v>97</v>
      </c>
      <c r="P1352" s="2" t="s">
        <v>447</v>
      </c>
      <c r="Q1352" s="2" t="s">
        <v>99</v>
      </c>
      <c r="R1352" s="2" t="s">
        <v>100</v>
      </c>
      <c r="S1352" s="2" t="s">
        <v>4367</v>
      </c>
      <c r="T1352" s="2" t="s">
        <v>100</v>
      </c>
      <c r="U1352" s="2" t="s">
        <v>100</v>
      </c>
      <c r="V1352" s="2" t="s">
        <v>4142</v>
      </c>
      <c r="W1352" s="2" t="s">
        <v>1064</v>
      </c>
      <c r="X1352" s="2" t="s">
        <v>4187</v>
      </c>
      <c r="Y1352" s="2" t="s">
        <v>131</v>
      </c>
      <c r="Z1352" s="4">
        <v>91</v>
      </c>
      <c r="AA1352" s="4">
        <f>=ROUNDDOWN(7.98245614035088,0)</f>
      </c>
      <c r="AB1352" s="5">
        <v>11.4</v>
      </c>
      <c r="AC1352" s="2" t="s">
        <v>100</v>
      </c>
      <c r="AD1352" s="4"/>
      <c r="AE1352" s="4"/>
      <c r="AF1352" s="6">
        <v>67</v>
      </c>
      <c r="AG1352" s="6"/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/>
      <c r="AQ1352" s="8"/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/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/>
      <c r="BJ1352" s="4">
        <v>14</v>
      </c>
      <c r="BK1352" s="8">
        <v>577.91</v>
      </c>
      <c r="BL1352" s="2" t="s">
        <v>204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723</v>
      </c>
      <c r="BX1352" s="2" t="s">
        <v>3986</v>
      </c>
      <c r="BY1352" s="2" t="s">
        <v>112</v>
      </c>
      <c r="BZ1352" s="2" t="s">
        <v>100</v>
      </c>
    </row>
    <row r="1353">
      <c r="A1353" s="2" t="s">
        <v>4368</v>
      </c>
      <c r="B1353" s="2" t="s">
        <v>87</v>
      </c>
      <c r="C1353" s="2" t="s">
        <v>4104</v>
      </c>
      <c r="D1353" s="2" t="s">
        <v>2230</v>
      </c>
      <c r="E1353" s="2" t="s">
        <v>3064</v>
      </c>
      <c r="F1353" s="2" t="s">
        <v>4365</v>
      </c>
      <c r="G1353" s="2" t="s">
        <v>4365</v>
      </c>
      <c r="H1353" s="2" t="s">
        <v>100</v>
      </c>
      <c r="I1353" s="2" t="s">
        <v>4366</v>
      </c>
      <c r="J1353" s="2" t="s">
        <v>795</v>
      </c>
      <c r="K1353" s="2" t="s">
        <v>372</v>
      </c>
      <c r="L1353" s="3">
        <v>73.5</v>
      </c>
      <c r="M1353" s="3">
        <v>77.17</v>
      </c>
      <c r="N1353" s="3">
        <v>149.99</v>
      </c>
      <c r="O1353" s="2" t="s">
        <v>97</v>
      </c>
      <c r="P1353" s="2" t="s">
        <v>447</v>
      </c>
      <c r="Q1353" s="2" t="s">
        <v>99</v>
      </c>
      <c r="R1353" s="2" t="s">
        <v>100</v>
      </c>
      <c r="S1353" s="2" t="s">
        <v>4367</v>
      </c>
      <c r="T1353" s="2" t="s">
        <v>100</v>
      </c>
      <c r="U1353" s="2" t="s">
        <v>100</v>
      </c>
      <c r="V1353" s="2" t="s">
        <v>4142</v>
      </c>
      <c r="W1353" s="2" t="s">
        <v>1064</v>
      </c>
      <c r="X1353" s="2" t="s">
        <v>4187</v>
      </c>
      <c r="Y1353" s="2" t="s">
        <v>131</v>
      </c>
      <c r="Z1353" s="4">
        <v>339</v>
      </c>
      <c r="AA1353" s="4">
        <f>=ROUNDDOWN(24.3884892086331,0)</f>
      </c>
      <c r="AB1353" s="5">
        <v>13.9</v>
      </c>
      <c r="AC1353" s="2" t="s">
        <v>100</v>
      </c>
      <c r="AD1353" s="4"/>
      <c r="AE1353" s="4"/>
      <c r="AF1353" s="6">
        <v>67</v>
      </c>
      <c r="AG1353" s="6"/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>
        <v>0</v>
      </c>
      <c r="AP1353" s="4"/>
      <c r="AQ1353" s="8"/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/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/>
      <c r="BJ1353" s="4">
        <v>11</v>
      </c>
      <c r="BK1353" s="8">
        <v>656.01</v>
      </c>
      <c r="BL1353" s="2" t="s">
        <v>685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723</v>
      </c>
      <c r="BX1353" s="2" t="s">
        <v>1078</v>
      </c>
      <c r="BY1353" s="2" t="s">
        <v>112</v>
      </c>
      <c r="BZ1353" s="2" t="s">
        <v>100</v>
      </c>
    </row>
    <row r="1354">
      <c r="A1354" s="2" t="s">
        <v>4369</v>
      </c>
      <c r="B1354" s="2" t="s">
        <v>87</v>
      </c>
      <c r="C1354" s="2" t="s">
        <v>4104</v>
      </c>
      <c r="D1354" s="2" t="s">
        <v>2230</v>
      </c>
      <c r="E1354" s="2" t="s">
        <v>3064</v>
      </c>
      <c r="F1354" s="2" t="s">
        <v>4365</v>
      </c>
      <c r="G1354" s="2" t="s">
        <v>4365</v>
      </c>
      <c r="H1354" s="2" t="s">
        <v>100</v>
      </c>
      <c r="I1354" s="2" t="s">
        <v>4366</v>
      </c>
      <c r="J1354" s="2" t="s">
        <v>785</v>
      </c>
      <c r="K1354" s="2" t="s">
        <v>357</v>
      </c>
      <c r="L1354" s="3">
        <v>63.7</v>
      </c>
      <c r="M1354" s="3">
        <v>66.88</v>
      </c>
      <c r="N1354" s="3">
        <v>129.99</v>
      </c>
      <c r="O1354" s="2" t="s">
        <v>97</v>
      </c>
      <c r="P1354" s="2" t="s">
        <v>447</v>
      </c>
      <c r="Q1354" s="2" t="s">
        <v>99</v>
      </c>
      <c r="R1354" s="2" t="s">
        <v>100</v>
      </c>
      <c r="S1354" s="2" t="s">
        <v>4370</v>
      </c>
      <c r="T1354" s="2" t="s">
        <v>100</v>
      </c>
      <c r="U1354" s="2" t="s">
        <v>100</v>
      </c>
      <c r="V1354" s="2" t="s">
        <v>4142</v>
      </c>
      <c r="W1354" s="2" t="s">
        <v>1064</v>
      </c>
      <c r="X1354" s="2" t="s">
        <v>4187</v>
      </c>
      <c r="Y1354" s="2" t="s">
        <v>131</v>
      </c>
      <c r="Z1354" s="4">
        <v>105</v>
      </c>
      <c r="AA1354" s="4">
        <f>=ROUNDDOWN(6.5625,0)</f>
      </c>
      <c r="AB1354" s="5">
        <v>16</v>
      </c>
      <c r="AC1354" s="2" t="s">
        <v>100</v>
      </c>
      <c r="AD1354" s="4"/>
      <c r="AE1354" s="4"/>
      <c r="AF1354" s="6">
        <v>67</v>
      </c>
      <c r="AG1354" s="6"/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/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/>
      <c r="BJ1354" s="4">
        <v>9</v>
      </c>
      <c r="BK1354" s="8">
        <v>408.39</v>
      </c>
      <c r="BL1354" s="2" t="s">
        <v>4371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723</v>
      </c>
      <c r="BX1354" s="2" t="s">
        <v>1308</v>
      </c>
      <c r="BY1354" s="2" t="s">
        <v>112</v>
      </c>
      <c r="BZ1354" s="2" t="s">
        <v>100</v>
      </c>
    </row>
    <row r="1355">
      <c r="A1355" s="2" t="s">
        <v>4372</v>
      </c>
      <c r="B1355" s="2" t="s">
        <v>87</v>
      </c>
      <c r="C1355" s="2" t="s">
        <v>4104</v>
      </c>
      <c r="D1355" s="2" t="s">
        <v>2230</v>
      </c>
      <c r="E1355" s="2" t="s">
        <v>3064</v>
      </c>
      <c r="F1355" s="2" t="s">
        <v>4365</v>
      </c>
      <c r="G1355" s="2" t="s">
        <v>4365</v>
      </c>
      <c r="H1355" s="2" t="s">
        <v>100</v>
      </c>
      <c r="I1355" s="2" t="s">
        <v>4366</v>
      </c>
      <c r="J1355" s="2" t="s">
        <v>795</v>
      </c>
      <c r="K1355" s="2" t="s">
        <v>357</v>
      </c>
      <c r="L1355" s="3">
        <v>73.5</v>
      </c>
      <c r="M1355" s="3">
        <v>77.17</v>
      </c>
      <c r="N1355" s="3">
        <v>149.99</v>
      </c>
      <c r="O1355" s="2" t="s">
        <v>97</v>
      </c>
      <c r="P1355" s="2" t="s">
        <v>447</v>
      </c>
      <c r="Q1355" s="2" t="s">
        <v>99</v>
      </c>
      <c r="R1355" s="2" t="s">
        <v>100</v>
      </c>
      <c r="S1355" s="2" t="s">
        <v>4370</v>
      </c>
      <c r="T1355" s="2" t="s">
        <v>100</v>
      </c>
      <c r="U1355" s="2" t="s">
        <v>100</v>
      </c>
      <c r="V1355" s="2" t="s">
        <v>4142</v>
      </c>
      <c r="W1355" s="2" t="s">
        <v>1064</v>
      </c>
      <c r="X1355" s="2" t="s">
        <v>4187</v>
      </c>
      <c r="Y1355" s="2" t="s">
        <v>131</v>
      </c>
      <c r="Z1355" s="4">
        <v>331</v>
      </c>
      <c r="AA1355" s="4">
        <f>=ROUNDDOWN(22.9861111111111,0)</f>
      </c>
      <c r="AB1355" s="5">
        <v>14.4</v>
      </c>
      <c r="AC1355" s="2" t="s">
        <v>100</v>
      </c>
      <c r="AD1355" s="4"/>
      <c r="AE1355" s="4"/>
      <c r="AF1355" s="6">
        <v>67</v>
      </c>
      <c r="AG1355" s="6"/>
      <c r="AH1355" s="7">
        <v>1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/>
      <c r="AQ1355" s="8"/>
      <c r="AR1355" s="4"/>
      <c r="AS1355" s="8"/>
      <c r="AT1355" s="7"/>
      <c r="AU1355" s="7"/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/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/>
      <c r="BJ1355" s="4">
        <v>13</v>
      </c>
      <c r="BK1355" s="8">
        <v>664.35</v>
      </c>
      <c r="BL1355" s="2" t="s">
        <v>874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723</v>
      </c>
      <c r="BX1355" s="2" t="s">
        <v>3858</v>
      </c>
      <c r="BY1355" s="2" t="s">
        <v>112</v>
      </c>
      <c r="BZ1355" s="2" t="s">
        <v>100</v>
      </c>
    </row>
    <row r="1356">
      <c r="A1356" s="2" t="s">
        <v>4373</v>
      </c>
      <c r="B1356" s="2" t="s">
        <v>87</v>
      </c>
      <c r="C1356" s="2" t="s">
        <v>4104</v>
      </c>
      <c r="D1356" s="2" t="s">
        <v>2230</v>
      </c>
      <c r="E1356" s="2" t="s">
        <v>2656</v>
      </c>
      <c r="F1356" s="2" t="s">
        <v>4374</v>
      </c>
      <c r="G1356" s="2" t="s">
        <v>4374</v>
      </c>
      <c r="H1356" s="2" t="s">
        <v>4374</v>
      </c>
      <c r="I1356" s="2" t="s">
        <v>4375</v>
      </c>
      <c r="J1356" s="2" t="s">
        <v>785</v>
      </c>
      <c r="K1356" s="2" t="s">
        <v>521</v>
      </c>
      <c r="L1356" s="3">
        <v>58.8</v>
      </c>
      <c r="M1356" s="3">
        <v>61.74</v>
      </c>
      <c r="N1356" s="3">
        <v>119.99</v>
      </c>
      <c r="O1356" s="2" t="s">
        <v>97</v>
      </c>
      <c r="P1356" s="2" t="s">
        <v>447</v>
      </c>
      <c r="Q1356" s="2" t="s">
        <v>99</v>
      </c>
      <c r="R1356" s="2" t="s">
        <v>100</v>
      </c>
      <c r="S1356" s="2" t="s">
        <v>4376</v>
      </c>
      <c r="T1356" s="2" t="s">
        <v>359</v>
      </c>
      <c r="U1356" s="2" t="s">
        <v>1508</v>
      </c>
      <c r="V1356" s="2" t="s">
        <v>4142</v>
      </c>
      <c r="W1356" s="2" t="s">
        <v>1064</v>
      </c>
      <c r="X1356" s="2" t="s">
        <v>976</v>
      </c>
      <c r="Y1356" s="2" t="s">
        <v>1671</v>
      </c>
      <c r="Z1356" s="4">
        <v>131</v>
      </c>
      <c r="AA1356" s="4">
        <f>=ROUNDDOWN(35.4054054054054,0)</f>
      </c>
      <c r="AB1356" s="5">
        <v>3.7</v>
      </c>
      <c r="AC1356" s="2" t="s">
        <v>100</v>
      </c>
      <c r="AD1356" s="4"/>
      <c r="AE1356" s="4"/>
      <c r="AF1356" s="6">
        <v>67</v>
      </c>
      <c r="AG1356" s="6"/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/>
      <c r="AQ1356" s="8"/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/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/>
      <c r="BJ1356" s="4">
        <v>4</v>
      </c>
      <c r="BK1356" s="8">
        <v>275.57</v>
      </c>
      <c r="BL1356" s="2" t="s">
        <v>2161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4345</v>
      </c>
      <c r="BX1356" s="2" t="s">
        <v>4036</v>
      </c>
      <c r="BY1356" s="2" t="s">
        <v>112</v>
      </c>
      <c r="BZ1356" s="2" t="s">
        <v>100</v>
      </c>
    </row>
    <row r="1357">
      <c r="A1357" s="2" t="s">
        <v>4377</v>
      </c>
      <c r="B1357" s="2" t="s">
        <v>87</v>
      </c>
      <c r="C1357" s="2" t="s">
        <v>4104</v>
      </c>
      <c r="D1357" s="2" t="s">
        <v>2230</v>
      </c>
      <c r="E1357" s="2" t="s">
        <v>2656</v>
      </c>
      <c r="F1357" s="2" t="s">
        <v>4374</v>
      </c>
      <c r="G1357" s="2" t="s">
        <v>4374</v>
      </c>
      <c r="H1357" s="2" t="s">
        <v>4374</v>
      </c>
      <c r="I1357" s="2" t="s">
        <v>4375</v>
      </c>
      <c r="J1357" s="2" t="s">
        <v>795</v>
      </c>
      <c r="K1357" s="2" t="s">
        <v>521</v>
      </c>
      <c r="L1357" s="3">
        <v>75</v>
      </c>
      <c r="M1357" s="3">
        <v>78.75</v>
      </c>
      <c r="N1357" s="3">
        <v>149.99</v>
      </c>
      <c r="O1357" s="2" t="s">
        <v>473</v>
      </c>
      <c r="P1357" s="2" t="s">
        <v>447</v>
      </c>
      <c r="Q1357" s="2" t="s">
        <v>99</v>
      </c>
      <c r="R1357" s="2" t="s">
        <v>100</v>
      </c>
      <c r="S1357" s="2" t="s">
        <v>4376</v>
      </c>
      <c r="T1357" s="2" t="s">
        <v>359</v>
      </c>
      <c r="U1357" s="2" t="s">
        <v>1508</v>
      </c>
      <c r="V1357" s="2" t="s">
        <v>4142</v>
      </c>
      <c r="W1357" s="2" t="s">
        <v>1064</v>
      </c>
      <c r="X1357" s="2" t="s">
        <v>976</v>
      </c>
      <c r="Y1357" s="2" t="s">
        <v>1671</v>
      </c>
      <c r="Z1357" s="4">
        <v>275</v>
      </c>
      <c r="AA1357" s="4">
        <f>=ROUNDDOWN(55,0)</f>
      </c>
      <c r="AB1357" s="5">
        <v>5</v>
      </c>
      <c r="AC1357" s="2" t="s">
        <v>100</v>
      </c>
      <c r="AD1357" s="4"/>
      <c r="AE1357" s="4"/>
      <c r="AF1357" s="6">
        <v>67</v>
      </c>
      <c r="AG1357" s="6"/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>
        <v>0</v>
      </c>
      <c r="AP1357" s="4"/>
      <c r="AQ1357" s="8"/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/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/>
      <c r="BJ1357" s="4">
        <v>1</v>
      </c>
      <c r="BK1357" s="8">
        <v>86.62</v>
      </c>
      <c r="BL1357" s="2" t="s">
        <v>1310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4345</v>
      </c>
      <c r="BX1357" s="2" t="s">
        <v>4378</v>
      </c>
      <c r="BY1357" s="2" t="s">
        <v>112</v>
      </c>
      <c r="BZ1357" s="2" t="s">
        <v>100</v>
      </c>
    </row>
    <row r="1358">
      <c r="A1358" s="2" t="s">
        <v>4379</v>
      </c>
      <c r="B1358" s="2" t="s">
        <v>87</v>
      </c>
      <c r="C1358" s="2" t="s">
        <v>4104</v>
      </c>
      <c r="D1358" s="2" t="s">
        <v>3079</v>
      </c>
      <c r="E1358" s="2" t="s">
        <v>3080</v>
      </c>
      <c r="F1358" s="2" t="s">
        <v>4319</v>
      </c>
      <c r="G1358" s="2" t="s">
        <v>4319</v>
      </c>
      <c r="H1358" s="2" t="s">
        <v>100</v>
      </c>
      <c r="I1358" s="2" t="s">
        <v>4380</v>
      </c>
      <c r="J1358" s="2" t="s">
        <v>785</v>
      </c>
      <c r="K1358" s="2" t="s">
        <v>213</v>
      </c>
      <c r="L1358" s="3">
        <v>49</v>
      </c>
      <c r="M1358" s="3">
        <v>51.44</v>
      </c>
      <c r="N1358" s="3">
        <v>99.99</v>
      </c>
      <c r="O1358" s="2" t="s">
        <v>97</v>
      </c>
      <c r="P1358" s="2" t="s">
        <v>98</v>
      </c>
      <c r="Q1358" s="2" t="s">
        <v>99</v>
      </c>
      <c r="R1358" s="2" t="s">
        <v>100</v>
      </c>
      <c r="S1358" s="2" t="s">
        <v>4321</v>
      </c>
      <c r="T1358" s="2" t="s">
        <v>359</v>
      </c>
      <c r="U1358" s="2" t="s">
        <v>1508</v>
      </c>
      <c r="V1358" s="2" t="s">
        <v>645</v>
      </c>
      <c r="W1358" s="2" t="s">
        <v>104</v>
      </c>
      <c r="X1358" s="2" t="s">
        <v>976</v>
      </c>
      <c r="Y1358" s="2" t="s">
        <v>131</v>
      </c>
      <c r="Z1358" s="4">
        <v>147</v>
      </c>
      <c r="AA1358" s="4">
        <f>=ROUNDDOWN(27.7358490566038,0)</f>
      </c>
      <c r="AB1358" s="5">
        <v>5.3</v>
      </c>
      <c r="AC1358" s="2" t="s">
        <v>3400</v>
      </c>
      <c r="AD1358" s="4">
        <v>35</v>
      </c>
      <c r="AE1358" s="4">
        <v>35</v>
      </c>
      <c r="AF1358" s="6">
        <v>67</v>
      </c>
      <c r="AG1358" s="6"/>
      <c r="AH1358" s="7">
        <v>1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>
        <v>0</v>
      </c>
      <c r="AP1358" s="4"/>
      <c r="AQ1358" s="8"/>
      <c r="AR1358" s="4"/>
      <c r="AS1358" s="8"/>
      <c r="AT1358" s="7"/>
      <c r="AU1358" s="7"/>
      <c r="AV1358" s="4">
        <v>1</v>
      </c>
      <c r="AW1358" s="8">
        <v>69.13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>
        <v>1</v>
      </c>
      <c r="BD1358" s="8">
        <v>69.13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>
        <v>1</v>
      </c>
      <c r="BJ1358" s="4">
        <v>4</v>
      </c>
      <c r="BK1358" s="8">
        <v>207.46</v>
      </c>
      <c r="BL1358" s="2" t="s">
        <v>487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109</v>
      </c>
      <c r="BV1358" s="2" t="s">
        <v>97</v>
      </c>
      <c r="BW1358" s="2" t="s">
        <v>723</v>
      </c>
      <c r="BX1358" s="2" t="s">
        <v>3839</v>
      </c>
      <c r="BY1358" s="2" t="s">
        <v>112</v>
      </c>
      <c r="BZ1358" s="2" t="s">
        <v>100</v>
      </c>
    </row>
    <row r="1359">
      <c r="A1359" s="2" t="s">
        <v>4381</v>
      </c>
      <c r="B1359" s="2" t="s">
        <v>87</v>
      </c>
      <c r="C1359" s="2" t="s">
        <v>4104</v>
      </c>
      <c r="D1359" s="2" t="s">
        <v>3079</v>
      </c>
      <c r="E1359" s="2" t="s">
        <v>3080</v>
      </c>
      <c r="F1359" s="2" t="s">
        <v>4319</v>
      </c>
      <c r="G1359" s="2" t="s">
        <v>4319</v>
      </c>
      <c r="H1359" s="2" t="s">
        <v>100</v>
      </c>
      <c r="I1359" s="2" t="s">
        <v>4380</v>
      </c>
      <c r="J1359" s="2" t="s">
        <v>795</v>
      </c>
      <c r="K1359" s="2" t="s">
        <v>213</v>
      </c>
      <c r="L1359" s="3">
        <v>65</v>
      </c>
      <c r="M1359" s="3">
        <v>68.24</v>
      </c>
      <c r="N1359" s="3">
        <v>129.99</v>
      </c>
      <c r="O1359" s="2" t="s">
        <v>97</v>
      </c>
      <c r="P1359" s="2" t="s">
        <v>98</v>
      </c>
      <c r="Q1359" s="2" t="s">
        <v>99</v>
      </c>
      <c r="R1359" s="2" t="s">
        <v>100</v>
      </c>
      <c r="S1359" s="2" t="s">
        <v>4321</v>
      </c>
      <c r="T1359" s="2" t="s">
        <v>359</v>
      </c>
      <c r="U1359" s="2" t="s">
        <v>1508</v>
      </c>
      <c r="V1359" s="2" t="s">
        <v>645</v>
      </c>
      <c r="W1359" s="2" t="s">
        <v>104</v>
      </c>
      <c r="X1359" s="2" t="s">
        <v>976</v>
      </c>
      <c r="Y1359" s="2" t="s">
        <v>131</v>
      </c>
      <c r="Z1359" s="4">
        <v>67</v>
      </c>
      <c r="AA1359" s="4">
        <f>=ROUNDDOWN(11.1666666666667,0)</f>
      </c>
      <c r="AB1359" s="5">
        <v>6</v>
      </c>
      <c r="AC1359" s="2" t="s">
        <v>3400</v>
      </c>
      <c r="AD1359" s="4">
        <v>125</v>
      </c>
      <c r="AE1359" s="4">
        <v>125</v>
      </c>
      <c r="AF1359" s="6">
        <v>67</v>
      </c>
      <c r="AG1359" s="6"/>
      <c r="AH1359" s="7">
        <v>1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>
        <v>1</v>
      </c>
      <c r="AQ1359" s="8">
        <v>69.13</v>
      </c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>
        <v>1</v>
      </c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 t="s">
        <v>100</v>
      </c>
      <c r="BJ1359" s="4">
        <v>4</v>
      </c>
      <c r="BK1359" s="8">
        <v>268.04</v>
      </c>
      <c r="BL1359" s="2" t="s">
        <v>4344</v>
      </c>
      <c r="BM1359" s="7">
        <v>0.25</v>
      </c>
      <c r="BN1359" s="7">
        <v>0.2579</v>
      </c>
      <c r="BO1359" s="4">
        <v>1</v>
      </c>
      <c r="BP1359" s="8">
        <v>69.13</v>
      </c>
      <c r="BQ1359" s="4"/>
      <c r="BR1359" s="8"/>
      <c r="BS1359" s="7"/>
      <c r="BT1359" s="7"/>
      <c r="BU1359" s="2" t="s">
        <v>109</v>
      </c>
      <c r="BV1359" s="2" t="s">
        <v>97</v>
      </c>
      <c r="BW1359" s="2" t="s">
        <v>723</v>
      </c>
      <c r="BX1359" s="2" t="s">
        <v>469</v>
      </c>
      <c r="BY1359" s="2" t="s">
        <v>112</v>
      </c>
      <c r="BZ1359" s="2" t="s">
        <v>100</v>
      </c>
    </row>
    <row r="1360">
      <c r="A1360" s="2" t="s">
        <v>4382</v>
      </c>
      <c r="B1360" s="2" t="s">
        <v>87</v>
      </c>
      <c r="C1360" s="2" t="s">
        <v>4104</v>
      </c>
      <c r="D1360" s="2" t="s">
        <v>3079</v>
      </c>
      <c r="E1360" s="2" t="s">
        <v>3080</v>
      </c>
      <c r="F1360" s="2" t="s">
        <v>4319</v>
      </c>
      <c r="G1360" s="2" t="s">
        <v>4319</v>
      </c>
      <c r="H1360" s="2" t="s">
        <v>4319</v>
      </c>
      <c r="I1360" s="2" t="s">
        <v>4380</v>
      </c>
      <c r="J1360" s="2" t="s">
        <v>785</v>
      </c>
      <c r="K1360" s="2" t="s">
        <v>96</v>
      </c>
      <c r="L1360" s="3">
        <v>49</v>
      </c>
      <c r="M1360" s="3">
        <v>51.44</v>
      </c>
      <c r="N1360" s="3">
        <v>99.99</v>
      </c>
      <c r="O1360" s="2" t="s">
        <v>473</v>
      </c>
      <c r="P1360" s="2" t="s">
        <v>447</v>
      </c>
      <c r="Q1360" s="2" t="s">
        <v>99</v>
      </c>
      <c r="R1360" s="2" t="s">
        <v>100</v>
      </c>
      <c r="S1360" s="2" t="s">
        <v>4326</v>
      </c>
      <c r="T1360" s="2" t="s">
        <v>100</v>
      </c>
      <c r="U1360" s="2" t="s">
        <v>100</v>
      </c>
      <c r="V1360" s="2" t="s">
        <v>645</v>
      </c>
      <c r="W1360" s="2" t="s">
        <v>104</v>
      </c>
      <c r="X1360" s="2" t="s">
        <v>499</v>
      </c>
      <c r="Y1360" s="2" t="s">
        <v>4226</v>
      </c>
      <c r="Z1360" s="4"/>
      <c r="AA1360" s="4">
        <f>=ROUNDDOWN({0},0)</f>
      </c>
      <c r="AB1360" s="5">
        <v>3.3</v>
      </c>
      <c r="AC1360" s="2" t="s">
        <v>100</v>
      </c>
      <c r="AD1360" s="4"/>
      <c r="AE1360" s="4"/>
      <c r="AF1360" s="6">
        <v>67</v>
      </c>
      <c r="AG1360" s="6"/>
      <c r="AH1360" s="7">
        <v>0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/>
      <c r="BK1360" s="8"/>
      <c r="BL1360" s="2" t="s">
        <v>100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109</v>
      </c>
      <c r="BV1360" s="2" t="s">
        <v>97</v>
      </c>
      <c r="BW1360" s="2" t="s">
        <v>723</v>
      </c>
      <c r="BX1360" s="2" t="s">
        <v>512</v>
      </c>
      <c r="BY1360" s="2" t="s">
        <v>112</v>
      </c>
      <c r="BZ1360" s="2" t="s">
        <v>100</v>
      </c>
    </row>
    <row r="1361">
      <c r="A1361" s="2" t="s">
        <v>4383</v>
      </c>
      <c r="B1361" s="2" t="s">
        <v>87</v>
      </c>
      <c r="C1361" s="2" t="s">
        <v>4104</v>
      </c>
      <c r="D1361" s="2" t="s">
        <v>3079</v>
      </c>
      <c r="E1361" s="2" t="s">
        <v>3080</v>
      </c>
      <c r="F1361" s="2" t="s">
        <v>4319</v>
      </c>
      <c r="G1361" s="2" t="s">
        <v>4319</v>
      </c>
      <c r="H1361" s="2" t="s">
        <v>4319</v>
      </c>
      <c r="I1361" s="2" t="s">
        <v>4380</v>
      </c>
      <c r="J1361" s="2" t="s">
        <v>795</v>
      </c>
      <c r="K1361" s="2" t="s">
        <v>96</v>
      </c>
      <c r="L1361" s="3">
        <v>65</v>
      </c>
      <c r="M1361" s="3">
        <v>68.24</v>
      </c>
      <c r="N1361" s="3">
        <v>129.99</v>
      </c>
      <c r="O1361" s="2" t="s">
        <v>1715</v>
      </c>
      <c r="P1361" s="2" t="s">
        <v>447</v>
      </c>
      <c r="Q1361" s="2" t="s">
        <v>99</v>
      </c>
      <c r="R1361" s="2" t="s">
        <v>100</v>
      </c>
      <c r="S1361" s="2" t="s">
        <v>4326</v>
      </c>
      <c r="T1361" s="2" t="s">
        <v>100</v>
      </c>
      <c r="U1361" s="2" t="s">
        <v>100</v>
      </c>
      <c r="V1361" s="2" t="s">
        <v>645</v>
      </c>
      <c r="W1361" s="2" t="s">
        <v>104</v>
      </c>
      <c r="X1361" s="2" t="s">
        <v>499</v>
      </c>
      <c r="Y1361" s="2" t="s">
        <v>4226</v>
      </c>
      <c r="Z1361" s="4">
        <v>90</v>
      </c>
      <c r="AA1361" s="4">
        <f>=ROUNDDOWN(100,0)</f>
      </c>
      <c r="AB1361" s="5">
        <v>0.9</v>
      </c>
      <c r="AC1361" s="2" t="s">
        <v>100</v>
      </c>
      <c r="AD1361" s="4"/>
      <c r="AE1361" s="4"/>
      <c r="AF1361" s="6">
        <v>67</v>
      </c>
      <c r="AG1361" s="6"/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/>
      <c r="AQ1361" s="8"/>
      <c r="AR1361" s="4"/>
      <c r="AS1361" s="8"/>
      <c r="AT1361" s="7"/>
      <c r="AU1361" s="7"/>
      <c r="AV1361" s="4" t="s">
        <v>100</v>
      </c>
      <c r="AW1361" s="8" t="s">
        <v>100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/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 t="s">
        <v>100</v>
      </c>
      <c r="BJ1361" s="4">
        <v>2</v>
      </c>
      <c r="BK1361" s="8">
        <v>102.35</v>
      </c>
      <c r="BL1361" s="2" t="s">
        <v>224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109</v>
      </c>
      <c r="BV1361" s="2" t="s">
        <v>97</v>
      </c>
      <c r="BW1361" s="2" t="s">
        <v>723</v>
      </c>
      <c r="BX1361" s="2" t="s">
        <v>4384</v>
      </c>
      <c r="BY1361" s="2" t="s">
        <v>112</v>
      </c>
      <c r="BZ1361" s="2" t="s">
        <v>100</v>
      </c>
    </row>
    <row r="1362">
      <c r="A1362" s="2" t="s">
        <v>4385</v>
      </c>
      <c r="B1362" s="2" t="s">
        <v>87</v>
      </c>
      <c r="C1362" s="2" t="s">
        <v>4104</v>
      </c>
      <c r="D1362" s="2" t="s">
        <v>3079</v>
      </c>
      <c r="E1362" s="2" t="s">
        <v>3080</v>
      </c>
      <c r="F1362" s="2" t="s">
        <v>4319</v>
      </c>
      <c r="G1362" s="2" t="s">
        <v>4319</v>
      </c>
      <c r="H1362" s="2" t="s">
        <v>100</v>
      </c>
      <c r="I1362" s="2" t="s">
        <v>4380</v>
      </c>
      <c r="J1362" s="2" t="s">
        <v>785</v>
      </c>
      <c r="K1362" s="2" t="s">
        <v>163</v>
      </c>
      <c r="L1362" s="3">
        <v>49</v>
      </c>
      <c r="M1362" s="3">
        <v>51.44</v>
      </c>
      <c r="N1362" s="3">
        <v>99.99</v>
      </c>
      <c r="O1362" s="2" t="s">
        <v>1715</v>
      </c>
      <c r="P1362" s="2" t="s">
        <v>447</v>
      </c>
      <c r="Q1362" s="2" t="s">
        <v>99</v>
      </c>
      <c r="R1362" s="2" t="s">
        <v>100</v>
      </c>
      <c r="S1362" s="2" t="s">
        <v>4331</v>
      </c>
      <c r="T1362" s="2" t="s">
        <v>100</v>
      </c>
      <c r="U1362" s="2" t="s">
        <v>100</v>
      </c>
      <c r="V1362" s="2" t="s">
        <v>645</v>
      </c>
      <c r="W1362" s="2" t="s">
        <v>104</v>
      </c>
      <c r="X1362" s="2" t="s">
        <v>499</v>
      </c>
      <c r="Y1362" s="2" t="s">
        <v>131</v>
      </c>
      <c r="Z1362" s="4">
        <v>106</v>
      </c>
      <c r="AA1362" s="4">
        <f>=ROUNDDOWN(62.3529411764706,0)</f>
      </c>
      <c r="AB1362" s="5">
        <v>1.7</v>
      </c>
      <c r="AC1362" s="2" t="s">
        <v>100</v>
      </c>
      <c r="AD1362" s="4"/>
      <c r="AE1362" s="4"/>
      <c r="AF1362" s="6">
        <v>67</v>
      </c>
      <c r="AG1362" s="6"/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/>
      <c r="BJ1362" s="4"/>
      <c r="BK1362" s="8"/>
      <c r="BL1362" s="2" t="s">
        <v>100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723</v>
      </c>
      <c r="BX1362" s="2" t="s">
        <v>181</v>
      </c>
      <c r="BY1362" s="2" t="s">
        <v>112</v>
      </c>
      <c r="BZ1362" s="2" t="s">
        <v>100</v>
      </c>
    </row>
    <row r="1363">
      <c r="A1363" s="2" t="s">
        <v>4386</v>
      </c>
      <c r="B1363" s="2" t="s">
        <v>87</v>
      </c>
      <c r="C1363" s="2" t="s">
        <v>4104</v>
      </c>
      <c r="D1363" s="2" t="s">
        <v>3079</v>
      </c>
      <c r="E1363" s="2" t="s">
        <v>3080</v>
      </c>
      <c r="F1363" s="2" t="s">
        <v>4309</v>
      </c>
      <c r="G1363" s="2" t="s">
        <v>4309</v>
      </c>
      <c r="H1363" s="2" t="s">
        <v>4309</v>
      </c>
      <c r="I1363" s="2" t="s">
        <v>4387</v>
      </c>
      <c r="J1363" s="2" t="s">
        <v>2236</v>
      </c>
      <c r="K1363" s="2" t="s">
        <v>253</v>
      </c>
      <c r="L1363" s="3">
        <v>43.2</v>
      </c>
      <c r="M1363" s="3">
        <v>45.35</v>
      </c>
      <c r="N1363" s="3">
        <v>89.99</v>
      </c>
      <c r="O1363" s="2" t="s">
        <v>97</v>
      </c>
      <c r="P1363" s="2" t="s">
        <v>447</v>
      </c>
      <c r="Q1363" s="2" t="s">
        <v>99</v>
      </c>
      <c r="R1363" s="2" t="s">
        <v>100</v>
      </c>
      <c r="S1363" s="2" t="s">
        <v>4311</v>
      </c>
      <c r="T1363" s="2" t="s">
        <v>100</v>
      </c>
      <c r="U1363" s="2" t="s">
        <v>100</v>
      </c>
      <c r="V1363" s="2" t="s">
        <v>805</v>
      </c>
      <c r="W1363" s="2" t="s">
        <v>3803</v>
      </c>
      <c r="X1363" s="2" t="s">
        <v>976</v>
      </c>
      <c r="Y1363" s="2" t="s">
        <v>131</v>
      </c>
      <c r="Z1363" s="4">
        <v>45</v>
      </c>
      <c r="AA1363" s="4">
        <f>=ROUNDDOWN(14.5161290322581,0)</f>
      </c>
      <c r="AB1363" s="5">
        <v>3.1</v>
      </c>
      <c r="AC1363" s="2" t="s">
        <v>100</v>
      </c>
      <c r="AD1363" s="4"/>
      <c r="AE1363" s="4"/>
      <c r="AF1363" s="6">
        <v>66</v>
      </c>
      <c r="AG1363" s="6"/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/>
      <c r="AQ1363" s="8"/>
      <c r="AR1363" s="4"/>
      <c r="AS1363" s="8"/>
      <c r="AT1363" s="7"/>
      <c r="AU1363" s="7"/>
      <c r="AV1363" s="4">
        <v>1</v>
      </c>
      <c r="AW1363" s="8">
        <v>55.3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/>
      <c r="BC1363" s="4">
        <v>1</v>
      </c>
      <c r="BD1363" s="8">
        <v>55.3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>
        <v>1</v>
      </c>
      <c r="BJ1363" s="4">
        <v>3</v>
      </c>
      <c r="BK1363" s="8">
        <v>151.63</v>
      </c>
      <c r="BL1363" s="2" t="s">
        <v>1734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723</v>
      </c>
      <c r="BX1363" s="2" t="s">
        <v>4388</v>
      </c>
      <c r="BY1363" s="2" t="s">
        <v>112</v>
      </c>
      <c r="BZ1363" s="2" t="s">
        <v>100</v>
      </c>
    </row>
    <row r="1364">
      <c r="A1364" s="2" t="s">
        <v>4389</v>
      </c>
      <c r="B1364" s="2" t="s">
        <v>87</v>
      </c>
      <c r="C1364" s="2" t="s">
        <v>4104</v>
      </c>
      <c r="D1364" s="2" t="s">
        <v>3079</v>
      </c>
      <c r="E1364" s="2" t="s">
        <v>3080</v>
      </c>
      <c r="F1364" s="2" t="s">
        <v>4309</v>
      </c>
      <c r="G1364" s="2" t="s">
        <v>4309</v>
      </c>
      <c r="H1364" s="2" t="s">
        <v>4309</v>
      </c>
      <c r="I1364" s="2" t="s">
        <v>4387</v>
      </c>
      <c r="J1364" s="2" t="s">
        <v>785</v>
      </c>
      <c r="K1364" s="2" t="s">
        <v>253</v>
      </c>
      <c r="L1364" s="3">
        <v>52.8</v>
      </c>
      <c r="M1364" s="3">
        <v>55.43</v>
      </c>
      <c r="N1364" s="3">
        <v>109.99</v>
      </c>
      <c r="O1364" s="2" t="s">
        <v>97</v>
      </c>
      <c r="P1364" s="2" t="s">
        <v>447</v>
      </c>
      <c r="Q1364" s="2" t="s">
        <v>99</v>
      </c>
      <c r="R1364" s="2" t="s">
        <v>100</v>
      </c>
      <c r="S1364" s="2" t="s">
        <v>4311</v>
      </c>
      <c r="T1364" s="2" t="s">
        <v>100</v>
      </c>
      <c r="U1364" s="2" t="s">
        <v>100</v>
      </c>
      <c r="V1364" s="2" t="s">
        <v>805</v>
      </c>
      <c r="W1364" s="2" t="s">
        <v>3803</v>
      </c>
      <c r="X1364" s="2" t="s">
        <v>976</v>
      </c>
      <c r="Y1364" s="2" t="s">
        <v>131</v>
      </c>
      <c r="Z1364" s="4">
        <v>67</v>
      </c>
      <c r="AA1364" s="4">
        <f>=ROUNDDOWN(23.9285714285714,0)</f>
      </c>
      <c r="AB1364" s="5">
        <v>2.8</v>
      </c>
      <c r="AC1364" s="2" t="s">
        <v>100</v>
      </c>
      <c r="AD1364" s="4"/>
      <c r="AE1364" s="4"/>
      <c r="AF1364" s="6">
        <v>66</v>
      </c>
      <c r="AG1364" s="6"/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1</v>
      </c>
      <c r="AQ1364" s="8">
        <v>55.3</v>
      </c>
      <c r="AR1364" s="4"/>
      <c r="AS1364" s="8"/>
      <c r="AT1364" s="7"/>
      <c r="AU1364" s="7"/>
      <c r="AV1364" s="4" t="s">
        <v>100</v>
      </c>
      <c r="AW1364" s="8" t="s">
        <v>100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>
        <v>1</v>
      </c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 t="s">
        <v>100</v>
      </c>
      <c r="BJ1364" s="4">
        <v>4</v>
      </c>
      <c r="BK1364" s="8">
        <v>178.47</v>
      </c>
      <c r="BL1364" s="2" t="s">
        <v>4390</v>
      </c>
      <c r="BM1364" s="7">
        <v>0.25</v>
      </c>
      <c r="BN1364" s="7">
        <v>0.3099</v>
      </c>
      <c r="BO1364" s="4">
        <v>1</v>
      </c>
      <c r="BP1364" s="8">
        <v>55.3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723</v>
      </c>
      <c r="BX1364" s="2" t="s">
        <v>2293</v>
      </c>
      <c r="BY1364" s="2" t="s">
        <v>112</v>
      </c>
      <c r="BZ1364" s="2" t="s">
        <v>100</v>
      </c>
    </row>
    <row r="1365">
      <c r="A1365" s="2" t="s">
        <v>4391</v>
      </c>
      <c r="B1365" s="2" t="s">
        <v>87</v>
      </c>
      <c r="C1365" s="2" t="s">
        <v>4104</v>
      </c>
      <c r="D1365" s="2" t="s">
        <v>3079</v>
      </c>
      <c r="E1365" s="2" t="s">
        <v>3080</v>
      </c>
      <c r="F1365" s="2" t="s">
        <v>4309</v>
      </c>
      <c r="G1365" s="2" t="s">
        <v>4309</v>
      </c>
      <c r="H1365" s="2" t="s">
        <v>4309</v>
      </c>
      <c r="I1365" s="2" t="s">
        <v>4387</v>
      </c>
      <c r="J1365" s="2" t="s">
        <v>120</v>
      </c>
      <c r="K1365" s="2" t="s">
        <v>253</v>
      </c>
      <c r="L1365" s="3">
        <v>68.11</v>
      </c>
      <c r="M1365" s="3">
        <v>71.52</v>
      </c>
      <c r="N1365" s="3">
        <v>139</v>
      </c>
      <c r="O1365" s="2" t="s">
        <v>97</v>
      </c>
      <c r="P1365" s="2" t="s">
        <v>447</v>
      </c>
      <c r="Q1365" s="2" t="s">
        <v>99</v>
      </c>
      <c r="R1365" s="2" t="s">
        <v>100</v>
      </c>
      <c r="S1365" s="2" t="s">
        <v>4311</v>
      </c>
      <c r="T1365" s="2" t="s">
        <v>100</v>
      </c>
      <c r="U1365" s="2" t="s">
        <v>100</v>
      </c>
      <c r="V1365" s="2" t="s">
        <v>805</v>
      </c>
      <c r="W1365" s="2" t="s">
        <v>3803</v>
      </c>
      <c r="X1365" s="2" t="s">
        <v>976</v>
      </c>
      <c r="Y1365" s="2" t="s">
        <v>131</v>
      </c>
      <c r="Z1365" s="4">
        <v>37</v>
      </c>
      <c r="AA1365" s="4">
        <f>=ROUNDDOWN(13.2142857142857,0)</f>
      </c>
      <c r="AB1365" s="5">
        <v>2.8</v>
      </c>
      <c r="AC1365" s="2" t="s">
        <v>100</v>
      </c>
      <c r="AD1365" s="4"/>
      <c r="AE1365" s="4"/>
      <c r="AF1365" s="6">
        <v>66</v>
      </c>
      <c r="AG1365" s="6"/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/>
      <c r="AQ1365" s="8"/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/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 t="s">
        <v>100</v>
      </c>
      <c r="BJ1365" s="4">
        <v>4</v>
      </c>
      <c r="BK1365" s="8">
        <v>227.99</v>
      </c>
      <c r="BL1365" s="2" t="s">
        <v>1844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723</v>
      </c>
      <c r="BX1365" s="2" t="s">
        <v>211</v>
      </c>
      <c r="BY1365" s="2" t="s">
        <v>112</v>
      </c>
      <c r="BZ1365" s="2" t="s">
        <v>100</v>
      </c>
    </row>
    <row r="1366">
      <c r="A1366" s="2" t="s">
        <v>4392</v>
      </c>
      <c r="B1366" s="2" t="s">
        <v>87</v>
      </c>
      <c r="C1366" s="2" t="s">
        <v>4104</v>
      </c>
      <c r="D1366" s="2" t="s">
        <v>3079</v>
      </c>
      <c r="E1366" s="2" t="s">
        <v>3080</v>
      </c>
      <c r="F1366" s="2" t="s">
        <v>4163</v>
      </c>
      <c r="G1366" s="2" t="s">
        <v>4163</v>
      </c>
      <c r="H1366" s="2" t="s">
        <v>4163</v>
      </c>
      <c r="I1366" s="2" t="s">
        <v>4393</v>
      </c>
      <c r="J1366" s="2" t="s">
        <v>785</v>
      </c>
      <c r="K1366" s="2" t="s">
        <v>96</v>
      </c>
      <c r="L1366" s="3">
        <v>44.1</v>
      </c>
      <c r="M1366" s="3">
        <v>46.3</v>
      </c>
      <c r="N1366" s="3">
        <v>89.99</v>
      </c>
      <c r="O1366" s="2" t="s">
        <v>97</v>
      </c>
      <c r="P1366" s="2" t="s">
        <v>4334</v>
      </c>
      <c r="Q1366" s="2" t="s">
        <v>99</v>
      </c>
      <c r="R1366" s="2" t="s">
        <v>100</v>
      </c>
      <c r="S1366" s="2" t="s">
        <v>4335</v>
      </c>
      <c r="T1366" s="2" t="s">
        <v>100</v>
      </c>
      <c r="U1366" s="2" t="s">
        <v>100</v>
      </c>
      <c r="V1366" s="2" t="s">
        <v>4166</v>
      </c>
      <c r="W1366" s="2" t="s">
        <v>2101</v>
      </c>
      <c r="X1366" s="2" t="s">
        <v>499</v>
      </c>
      <c r="Y1366" s="2" t="s">
        <v>1317</v>
      </c>
      <c r="Z1366" s="4">
        <v>72</v>
      </c>
      <c r="AA1366" s="4">
        <f>=ROUNDDOWN(18,0)</f>
      </c>
      <c r="AB1366" s="5">
        <v>4</v>
      </c>
      <c r="AC1366" s="2" t="s">
        <v>100</v>
      </c>
      <c r="AD1366" s="4"/>
      <c r="AE1366" s="4"/>
      <c r="AF1366" s="6">
        <v>65</v>
      </c>
      <c r="AG1366" s="6"/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/>
      <c r="AQ1366" s="8"/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/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/>
      <c r="BJ1366" s="4">
        <v>1</v>
      </c>
      <c r="BK1366" s="8">
        <v>53.33</v>
      </c>
      <c r="BL1366" s="2" t="s">
        <v>441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723</v>
      </c>
      <c r="BX1366" s="2" t="s">
        <v>378</v>
      </c>
      <c r="BY1366" s="2" t="s">
        <v>112</v>
      </c>
      <c r="BZ1366" s="2" t="s">
        <v>100</v>
      </c>
    </row>
    <row r="1367">
      <c r="A1367" s="2" t="s">
        <v>4394</v>
      </c>
      <c r="B1367" s="2" t="s">
        <v>87</v>
      </c>
      <c r="C1367" s="2" t="s">
        <v>4104</v>
      </c>
      <c r="D1367" s="2" t="s">
        <v>3079</v>
      </c>
      <c r="E1367" s="2" t="s">
        <v>3080</v>
      </c>
      <c r="F1367" s="2" t="s">
        <v>4163</v>
      </c>
      <c r="G1367" s="2" t="s">
        <v>4163</v>
      </c>
      <c r="H1367" s="2" t="s">
        <v>4163</v>
      </c>
      <c r="I1367" s="2" t="s">
        <v>4393</v>
      </c>
      <c r="J1367" s="2" t="s">
        <v>795</v>
      </c>
      <c r="K1367" s="2" t="s">
        <v>96</v>
      </c>
      <c r="L1367" s="3">
        <v>58.5</v>
      </c>
      <c r="M1367" s="3">
        <v>61.42</v>
      </c>
      <c r="N1367" s="3">
        <v>119.99</v>
      </c>
      <c r="O1367" s="2" t="s">
        <v>97</v>
      </c>
      <c r="P1367" s="2" t="s">
        <v>4334</v>
      </c>
      <c r="Q1367" s="2" t="s">
        <v>99</v>
      </c>
      <c r="R1367" s="2" t="s">
        <v>100</v>
      </c>
      <c r="S1367" s="2" t="s">
        <v>4335</v>
      </c>
      <c r="T1367" s="2" t="s">
        <v>100</v>
      </c>
      <c r="U1367" s="2" t="s">
        <v>100</v>
      </c>
      <c r="V1367" s="2" t="s">
        <v>4166</v>
      </c>
      <c r="W1367" s="2" t="s">
        <v>2101</v>
      </c>
      <c r="X1367" s="2" t="s">
        <v>499</v>
      </c>
      <c r="Y1367" s="2" t="s">
        <v>1317</v>
      </c>
      <c r="Z1367" s="4">
        <v>14</v>
      </c>
      <c r="AA1367" s="4">
        <f>=ROUNDDOWN(4.66666666666667,0)</f>
      </c>
      <c r="AB1367" s="5">
        <v>3</v>
      </c>
      <c r="AC1367" s="2" t="s">
        <v>100</v>
      </c>
      <c r="AD1367" s="4"/>
      <c r="AE1367" s="4"/>
      <c r="AF1367" s="6">
        <v>65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/>
      <c r="AQ1367" s="8"/>
      <c r="AR1367" s="4"/>
      <c r="AS1367" s="8"/>
      <c r="AT1367" s="7"/>
      <c r="AU1367" s="7"/>
      <c r="AV1367" s="4" t="s">
        <v>100</v>
      </c>
      <c r="AW1367" s="8" t="s">
        <v>100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/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/>
      <c r="BJ1367" s="4">
        <v>5</v>
      </c>
      <c r="BK1367" s="8">
        <v>283.39</v>
      </c>
      <c r="BL1367" s="2" t="s">
        <v>3352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109</v>
      </c>
      <c r="BV1367" s="2" t="s">
        <v>97</v>
      </c>
      <c r="BW1367" s="2" t="s">
        <v>723</v>
      </c>
      <c r="BX1367" s="2" t="s">
        <v>4395</v>
      </c>
      <c r="BY1367" s="2" t="s">
        <v>112</v>
      </c>
      <c r="BZ1367" s="2" t="s">
        <v>100</v>
      </c>
    </row>
    <row r="1368">
      <c r="A1368" s="2" t="s">
        <v>4396</v>
      </c>
      <c r="B1368" s="2" t="s">
        <v>87</v>
      </c>
      <c r="C1368" s="2" t="s">
        <v>4104</v>
      </c>
      <c r="D1368" s="2" t="s">
        <v>3079</v>
      </c>
      <c r="E1368" s="2" t="s">
        <v>3080</v>
      </c>
      <c r="F1368" s="2" t="s">
        <v>4397</v>
      </c>
      <c r="G1368" s="2" t="s">
        <v>100</v>
      </c>
      <c r="H1368" s="2" t="s">
        <v>100</v>
      </c>
      <c r="I1368" s="2" t="s">
        <v>4398</v>
      </c>
      <c r="J1368" s="2" t="s">
        <v>2236</v>
      </c>
      <c r="K1368" s="2" t="s">
        <v>146</v>
      </c>
      <c r="L1368" s="3">
        <v>43.2</v>
      </c>
      <c r="M1368" s="3">
        <v>45.35</v>
      </c>
      <c r="N1368" s="3">
        <v>89.99</v>
      </c>
      <c r="O1368" s="2" t="s">
        <v>1715</v>
      </c>
      <c r="P1368" s="2" t="s">
        <v>447</v>
      </c>
      <c r="Q1368" s="2" t="s">
        <v>99</v>
      </c>
      <c r="R1368" s="2" t="s">
        <v>100</v>
      </c>
      <c r="S1368" s="2" t="s">
        <v>4399</v>
      </c>
      <c r="T1368" s="2" t="s">
        <v>100</v>
      </c>
      <c r="U1368" s="2" t="s">
        <v>100</v>
      </c>
      <c r="V1368" s="2" t="s">
        <v>1112</v>
      </c>
      <c r="W1368" s="2" t="s">
        <v>976</v>
      </c>
      <c r="X1368" s="2" t="s">
        <v>4400</v>
      </c>
      <c r="Y1368" s="2" t="s">
        <v>131</v>
      </c>
      <c r="Z1368" s="4">
        <v>33</v>
      </c>
      <c r="AA1368" s="4">
        <f>=ROUNDDOWN(47.1428571428571,0)</f>
      </c>
      <c r="AB1368" s="5">
        <v>0.7</v>
      </c>
      <c r="AC1368" s="2" t="s">
        <v>100</v>
      </c>
      <c r="AD1368" s="4"/>
      <c r="AE1368" s="4"/>
      <c r="AF1368" s="6">
        <v>65</v>
      </c>
      <c r="AG1368" s="6"/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/>
      <c r="AQ1368" s="8"/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/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/>
      <c r="BJ1368" s="4">
        <v>2</v>
      </c>
      <c r="BK1368" s="8">
        <v>82.83</v>
      </c>
      <c r="BL1368" s="2" t="s">
        <v>1077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723</v>
      </c>
      <c r="BX1368" s="2" t="s">
        <v>2072</v>
      </c>
      <c r="BY1368" s="2" t="s">
        <v>112</v>
      </c>
      <c r="BZ1368" s="2" t="s">
        <v>100</v>
      </c>
    </row>
    <row r="1369">
      <c r="A1369" s="2" t="s">
        <v>4401</v>
      </c>
      <c r="B1369" s="2" t="s">
        <v>87</v>
      </c>
      <c r="C1369" s="2" t="s">
        <v>4104</v>
      </c>
      <c r="D1369" s="2" t="s">
        <v>3079</v>
      </c>
      <c r="E1369" s="2" t="s">
        <v>3080</v>
      </c>
      <c r="F1369" s="2" t="s">
        <v>4397</v>
      </c>
      <c r="G1369" s="2" t="s">
        <v>100</v>
      </c>
      <c r="H1369" s="2" t="s">
        <v>100</v>
      </c>
      <c r="I1369" s="2" t="s">
        <v>4398</v>
      </c>
      <c r="J1369" s="2" t="s">
        <v>120</v>
      </c>
      <c r="K1369" s="2" t="s">
        <v>146</v>
      </c>
      <c r="L1369" s="3">
        <v>69.5</v>
      </c>
      <c r="M1369" s="3">
        <v>72.98</v>
      </c>
      <c r="N1369" s="3">
        <v>139</v>
      </c>
      <c r="O1369" s="2" t="s">
        <v>1715</v>
      </c>
      <c r="P1369" s="2" t="s">
        <v>447</v>
      </c>
      <c r="Q1369" s="2" t="s">
        <v>99</v>
      </c>
      <c r="R1369" s="2" t="s">
        <v>100</v>
      </c>
      <c r="S1369" s="2" t="s">
        <v>4399</v>
      </c>
      <c r="T1369" s="2" t="s">
        <v>100</v>
      </c>
      <c r="U1369" s="2" t="s">
        <v>100</v>
      </c>
      <c r="V1369" s="2" t="s">
        <v>1112</v>
      </c>
      <c r="W1369" s="2" t="s">
        <v>976</v>
      </c>
      <c r="X1369" s="2" t="s">
        <v>4400</v>
      </c>
      <c r="Y1369" s="2" t="s">
        <v>131</v>
      </c>
      <c r="Z1369" s="4">
        <v>31</v>
      </c>
      <c r="AA1369" s="4">
        <f>=ROUNDDOWN(25.8333333333333,0)</f>
      </c>
      <c r="AB1369" s="5">
        <v>1.2</v>
      </c>
      <c r="AC1369" s="2" t="s">
        <v>100</v>
      </c>
      <c r="AD1369" s="4"/>
      <c r="AE1369" s="4"/>
      <c r="AF1369" s="6">
        <v>65</v>
      </c>
      <c r="AG1369" s="6"/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>
        <v>0</v>
      </c>
      <c r="AP1369" s="4"/>
      <c r="AQ1369" s="8"/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/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/>
      <c r="BJ1369" s="4">
        <v>3</v>
      </c>
      <c r="BK1369" s="8">
        <v>103.38</v>
      </c>
      <c r="BL1369" s="2" t="s">
        <v>534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109</v>
      </c>
      <c r="BV1369" s="2" t="s">
        <v>97</v>
      </c>
      <c r="BW1369" s="2" t="s">
        <v>723</v>
      </c>
      <c r="BX1369" s="2" t="s">
        <v>634</v>
      </c>
      <c r="BY1369" s="2" t="s">
        <v>112</v>
      </c>
      <c r="BZ1369" s="2" t="s">
        <v>100</v>
      </c>
    </row>
    <row r="1370">
      <c r="A1370" s="2" t="s">
        <v>4402</v>
      </c>
      <c r="B1370" s="2" t="s">
        <v>87</v>
      </c>
      <c r="C1370" s="2" t="s">
        <v>4104</v>
      </c>
      <c r="D1370" s="2" t="s">
        <v>3079</v>
      </c>
      <c r="E1370" s="2" t="s">
        <v>3176</v>
      </c>
      <c r="F1370" s="2" t="s">
        <v>4163</v>
      </c>
      <c r="G1370" s="2" t="s">
        <v>4163</v>
      </c>
      <c r="H1370" s="2" t="s">
        <v>4163</v>
      </c>
      <c r="I1370" s="2" t="s">
        <v>4403</v>
      </c>
      <c r="J1370" s="2" t="s">
        <v>785</v>
      </c>
      <c r="K1370" s="2" t="s">
        <v>163</v>
      </c>
      <c r="L1370" s="3">
        <v>44.1</v>
      </c>
      <c r="M1370" s="3">
        <v>46.3</v>
      </c>
      <c r="N1370" s="3">
        <v>89.99</v>
      </c>
      <c r="O1370" s="2" t="s">
        <v>97</v>
      </c>
      <c r="P1370" s="2" t="s">
        <v>98</v>
      </c>
      <c r="Q1370" s="2" t="s">
        <v>99</v>
      </c>
      <c r="R1370" s="2" t="s">
        <v>100</v>
      </c>
      <c r="S1370" s="2" t="s">
        <v>4165</v>
      </c>
      <c r="T1370" s="2" t="s">
        <v>359</v>
      </c>
      <c r="U1370" s="2" t="s">
        <v>1508</v>
      </c>
      <c r="V1370" s="2" t="s">
        <v>4166</v>
      </c>
      <c r="W1370" s="2" t="s">
        <v>2101</v>
      </c>
      <c r="X1370" s="2" t="s">
        <v>499</v>
      </c>
      <c r="Y1370" s="2" t="s">
        <v>131</v>
      </c>
      <c r="Z1370" s="4">
        <v>136</v>
      </c>
      <c r="AA1370" s="4">
        <f>=ROUNDDOWN(22.6666666666667,0)</f>
      </c>
      <c r="AB1370" s="5">
        <v>6</v>
      </c>
      <c r="AC1370" s="2" t="s">
        <v>1487</v>
      </c>
      <c r="AD1370" s="4">
        <v>280</v>
      </c>
      <c r="AE1370" s="4">
        <v>360</v>
      </c>
      <c r="AF1370" s="6">
        <v>65</v>
      </c>
      <c r="AG1370" s="6">
        <v>73</v>
      </c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>
        <v>0</v>
      </c>
      <c r="AP1370" s="4"/>
      <c r="AQ1370" s="8"/>
      <c r="AR1370" s="4"/>
      <c r="AS1370" s="8"/>
      <c r="AT1370" s="7"/>
      <c r="AU1370" s="7"/>
      <c r="AV1370" s="4">
        <v>1</v>
      </c>
      <c r="AW1370" s="8">
        <v>69.13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/>
      <c r="BC1370" s="4">
        <v>1</v>
      </c>
      <c r="BD1370" s="8">
        <v>69.13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>
        <v>1</v>
      </c>
      <c r="BJ1370" s="4">
        <v>1</v>
      </c>
      <c r="BK1370" s="8">
        <v>53.33</v>
      </c>
      <c r="BL1370" s="2" t="s">
        <v>441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109</v>
      </c>
      <c r="BV1370" s="2" t="s">
        <v>97</v>
      </c>
      <c r="BW1370" s="2" t="s">
        <v>4172</v>
      </c>
      <c r="BX1370" s="2" t="s">
        <v>1931</v>
      </c>
      <c r="BY1370" s="2" t="s">
        <v>112</v>
      </c>
      <c r="BZ1370" s="2" t="s">
        <v>100</v>
      </c>
    </row>
    <row r="1371">
      <c r="A1371" s="2" t="s">
        <v>4404</v>
      </c>
      <c r="B1371" s="2" t="s">
        <v>87</v>
      </c>
      <c r="C1371" s="2" t="s">
        <v>4104</v>
      </c>
      <c r="D1371" s="2" t="s">
        <v>3079</v>
      </c>
      <c r="E1371" s="2" t="s">
        <v>3176</v>
      </c>
      <c r="F1371" s="2" t="s">
        <v>4163</v>
      </c>
      <c r="G1371" s="2" t="s">
        <v>4163</v>
      </c>
      <c r="H1371" s="2" t="s">
        <v>4163</v>
      </c>
      <c r="I1371" s="2" t="s">
        <v>4403</v>
      </c>
      <c r="J1371" s="2" t="s">
        <v>795</v>
      </c>
      <c r="K1371" s="2" t="s">
        <v>163</v>
      </c>
      <c r="L1371" s="3">
        <v>58.5</v>
      </c>
      <c r="M1371" s="3">
        <v>61.42</v>
      </c>
      <c r="N1371" s="3">
        <v>119.99</v>
      </c>
      <c r="O1371" s="2" t="s">
        <v>97</v>
      </c>
      <c r="P1371" s="2" t="s">
        <v>98</v>
      </c>
      <c r="Q1371" s="2" t="s">
        <v>99</v>
      </c>
      <c r="R1371" s="2" t="s">
        <v>100</v>
      </c>
      <c r="S1371" s="2" t="s">
        <v>4165</v>
      </c>
      <c r="T1371" s="2" t="s">
        <v>359</v>
      </c>
      <c r="U1371" s="2" t="s">
        <v>1508</v>
      </c>
      <c r="V1371" s="2" t="s">
        <v>4166</v>
      </c>
      <c r="W1371" s="2" t="s">
        <v>2101</v>
      </c>
      <c r="X1371" s="2" t="s">
        <v>499</v>
      </c>
      <c r="Y1371" s="2" t="s">
        <v>131</v>
      </c>
      <c r="Z1371" s="4">
        <v>186</v>
      </c>
      <c r="AA1371" s="4">
        <f>=ROUNDDOWN(37.2,0)</f>
      </c>
      <c r="AB1371" s="5">
        <v>5</v>
      </c>
      <c r="AC1371" s="2" t="s">
        <v>2557</v>
      </c>
      <c r="AD1371" s="4">
        <v>50</v>
      </c>
      <c r="AE1371" s="4">
        <v>50</v>
      </c>
      <c r="AF1371" s="6">
        <v>65</v>
      </c>
      <c r="AG1371" s="6">
        <v>73</v>
      </c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>
        <v>0</v>
      </c>
      <c r="AP1371" s="4">
        <v>1</v>
      </c>
      <c r="AQ1371" s="8">
        <v>69.13</v>
      </c>
      <c r="AR1371" s="4"/>
      <c r="AS1371" s="8"/>
      <c r="AT1371" s="7"/>
      <c r="AU1371" s="7"/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>
        <v>1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 t="s">
        <v>100</v>
      </c>
      <c r="BJ1371" s="4">
        <v>1</v>
      </c>
      <c r="BK1371" s="8">
        <v>69.13</v>
      </c>
      <c r="BL1371" s="2" t="s">
        <v>16</v>
      </c>
      <c r="BM1371" s="7">
        <v>1</v>
      </c>
      <c r="BN1371" s="7">
        <v>1</v>
      </c>
      <c r="BO1371" s="4">
        <v>1</v>
      </c>
      <c r="BP1371" s="8">
        <v>69.13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4172</v>
      </c>
      <c r="BX1371" s="2" t="s">
        <v>4405</v>
      </c>
      <c r="BY1371" s="2" t="s">
        <v>112</v>
      </c>
      <c r="BZ1371" s="2" t="s">
        <v>100</v>
      </c>
    </row>
    <row r="1372">
      <c r="A1372" s="2" t="s">
        <v>4406</v>
      </c>
      <c r="B1372" s="2" t="s">
        <v>87</v>
      </c>
      <c r="C1372" s="2" t="s">
        <v>4104</v>
      </c>
      <c r="D1372" s="2" t="s">
        <v>3079</v>
      </c>
      <c r="E1372" s="2" t="s">
        <v>3176</v>
      </c>
      <c r="F1372" s="2" t="s">
        <v>4163</v>
      </c>
      <c r="G1372" s="2" t="s">
        <v>4163</v>
      </c>
      <c r="H1372" s="2" t="s">
        <v>4163</v>
      </c>
      <c r="I1372" s="2" t="s">
        <v>4403</v>
      </c>
      <c r="J1372" s="2" t="s">
        <v>785</v>
      </c>
      <c r="K1372" s="2" t="s">
        <v>340</v>
      </c>
      <c r="L1372" s="3">
        <v>44.1</v>
      </c>
      <c r="M1372" s="3">
        <v>46.3</v>
      </c>
      <c r="N1372" s="3">
        <v>89.99</v>
      </c>
      <c r="O1372" s="2" t="s">
        <v>97</v>
      </c>
      <c r="P1372" s="2" t="s">
        <v>98</v>
      </c>
      <c r="Q1372" s="2" t="s">
        <v>99</v>
      </c>
      <c r="R1372" s="2" t="s">
        <v>100</v>
      </c>
      <c r="S1372" s="2" t="s">
        <v>4175</v>
      </c>
      <c r="T1372" s="2" t="s">
        <v>359</v>
      </c>
      <c r="U1372" s="2" t="s">
        <v>1508</v>
      </c>
      <c r="V1372" s="2" t="s">
        <v>4166</v>
      </c>
      <c r="W1372" s="2" t="s">
        <v>2101</v>
      </c>
      <c r="X1372" s="2" t="s">
        <v>499</v>
      </c>
      <c r="Y1372" s="2" t="s">
        <v>131</v>
      </c>
      <c r="Z1372" s="4">
        <v>198</v>
      </c>
      <c r="AA1372" s="4">
        <f>=ROUNDDOWN(39.6,0)</f>
      </c>
      <c r="AB1372" s="5">
        <v>5</v>
      </c>
      <c r="AC1372" s="2" t="s">
        <v>100</v>
      </c>
      <c r="AD1372" s="4"/>
      <c r="AE1372" s="4"/>
      <c r="AF1372" s="6">
        <v>65</v>
      </c>
      <c r="AG1372" s="6">
        <v>73</v>
      </c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>
        <v>0</v>
      </c>
      <c r="AP1372" s="4"/>
      <c r="AQ1372" s="8"/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/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1</v>
      </c>
      <c r="BK1372" s="8">
        <v>54.02</v>
      </c>
      <c r="BL1372" s="2" t="s">
        <v>210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109</v>
      </c>
      <c r="BV1372" s="2" t="s">
        <v>97</v>
      </c>
      <c r="BW1372" s="2" t="s">
        <v>723</v>
      </c>
      <c r="BX1372" s="2" t="s">
        <v>192</v>
      </c>
      <c r="BY1372" s="2" t="s">
        <v>112</v>
      </c>
      <c r="BZ1372" s="2" t="s">
        <v>100</v>
      </c>
    </row>
    <row r="1373">
      <c r="A1373" s="2" t="s">
        <v>4407</v>
      </c>
      <c r="B1373" s="2" t="s">
        <v>87</v>
      </c>
      <c r="C1373" s="2" t="s">
        <v>4104</v>
      </c>
      <c r="D1373" s="2" t="s">
        <v>3079</v>
      </c>
      <c r="E1373" s="2" t="s">
        <v>3176</v>
      </c>
      <c r="F1373" s="2" t="s">
        <v>4163</v>
      </c>
      <c r="G1373" s="2" t="s">
        <v>4163</v>
      </c>
      <c r="H1373" s="2" t="s">
        <v>4163</v>
      </c>
      <c r="I1373" s="2" t="s">
        <v>4403</v>
      </c>
      <c r="J1373" s="2" t="s">
        <v>795</v>
      </c>
      <c r="K1373" s="2" t="s">
        <v>340</v>
      </c>
      <c r="L1373" s="3">
        <v>58.5</v>
      </c>
      <c r="M1373" s="3">
        <v>61.42</v>
      </c>
      <c r="N1373" s="3">
        <v>119.99</v>
      </c>
      <c r="O1373" s="2" t="s">
        <v>97</v>
      </c>
      <c r="P1373" s="2" t="s">
        <v>98</v>
      </c>
      <c r="Q1373" s="2" t="s">
        <v>99</v>
      </c>
      <c r="R1373" s="2" t="s">
        <v>100</v>
      </c>
      <c r="S1373" s="2" t="s">
        <v>4175</v>
      </c>
      <c r="T1373" s="2" t="s">
        <v>359</v>
      </c>
      <c r="U1373" s="2" t="s">
        <v>1508</v>
      </c>
      <c r="V1373" s="2" t="s">
        <v>4166</v>
      </c>
      <c r="W1373" s="2" t="s">
        <v>2101</v>
      </c>
      <c r="X1373" s="2" t="s">
        <v>499</v>
      </c>
      <c r="Y1373" s="2" t="s">
        <v>131</v>
      </c>
      <c r="Z1373" s="4">
        <v>146</v>
      </c>
      <c r="AA1373" s="4">
        <f>=ROUNDDOWN(36.5,0)</f>
      </c>
      <c r="AB1373" s="5">
        <v>4</v>
      </c>
      <c r="AC1373" s="2" t="s">
        <v>100</v>
      </c>
      <c r="AD1373" s="4"/>
      <c r="AE1373" s="4"/>
      <c r="AF1373" s="6">
        <v>65</v>
      </c>
      <c r="AG1373" s="6">
        <v>73</v>
      </c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 t="s">
        <v>100</v>
      </c>
      <c r="AW1373" s="8" t="s">
        <v>100</v>
      </c>
      <c r="AX1373" s="4" t="s">
        <v>100</v>
      </c>
      <c r="AY1373" s="8" t="s">
        <v>100</v>
      </c>
      <c r="AZ1373" s="7" t="s">
        <v>100</v>
      </c>
      <c r="BA1373" s="7" t="s">
        <v>100</v>
      </c>
      <c r="BB1373" s="7"/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 t="s">
        <v>100</v>
      </c>
      <c r="BJ1373" s="4">
        <v>2</v>
      </c>
      <c r="BK1373" s="8">
        <v>111.58</v>
      </c>
      <c r="BL1373" s="2" t="s">
        <v>715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723</v>
      </c>
      <c r="BX1373" s="2" t="s">
        <v>192</v>
      </c>
      <c r="BY1373" s="2" t="s">
        <v>112</v>
      </c>
      <c r="BZ1373" s="2" t="s">
        <v>100</v>
      </c>
    </row>
    <row r="1374">
      <c r="A1374" s="2" t="s">
        <v>4408</v>
      </c>
      <c r="B1374" s="2" t="s">
        <v>87</v>
      </c>
      <c r="C1374" s="2" t="s">
        <v>4104</v>
      </c>
      <c r="D1374" s="2" t="s">
        <v>3079</v>
      </c>
      <c r="E1374" s="2" t="s">
        <v>3176</v>
      </c>
      <c r="F1374" s="2" t="s">
        <v>4163</v>
      </c>
      <c r="G1374" s="2" t="s">
        <v>4163</v>
      </c>
      <c r="H1374" s="2" t="s">
        <v>4163</v>
      </c>
      <c r="I1374" s="2" t="s">
        <v>4403</v>
      </c>
      <c r="J1374" s="2" t="s">
        <v>785</v>
      </c>
      <c r="K1374" s="2" t="s">
        <v>357</v>
      </c>
      <c r="L1374" s="3">
        <v>44.1</v>
      </c>
      <c r="M1374" s="3">
        <v>46.3</v>
      </c>
      <c r="N1374" s="3">
        <v>89.99</v>
      </c>
      <c r="O1374" s="2" t="s">
        <v>97</v>
      </c>
      <c r="P1374" s="2" t="s">
        <v>98</v>
      </c>
      <c r="Q1374" s="2" t="s">
        <v>99</v>
      </c>
      <c r="R1374" s="2" t="s">
        <v>100</v>
      </c>
      <c r="S1374" s="2" t="s">
        <v>4180</v>
      </c>
      <c r="T1374" s="2" t="s">
        <v>359</v>
      </c>
      <c r="U1374" s="2" t="s">
        <v>1508</v>
      </c>
      <c r="V1374" s="2" t="s">
        <v>4166</v>
      </c>
      <c r="W1374" s="2" t="s">
        <v>2101</v>
      </c>
      <c r="X1374" s="2" t="s">
        <v>499</v>
      </c>
      <c r="Y1374" s="2" t="s">
        <v>131</v>
      </c>
      <c r="Z1374" s="4">
        <v>204</v>
      </c>
      <c r="AA1374" s="4">
        <f>=ROUNDDOWN(51,0)</f>
      </c>
      <c r="AB1374" s="5">
        <v>4</v>
      </c>
      <c r="AC1374" s="2" t="s">
        <v>1487</v>
      </c>
      <c r="AD1374" s="4">
        <v>50</v>
      </c>
      <c r="AE1374" s="4">
        <v>50</v>
      </c>
      <c r="AF1374" s="6">
        <v>65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 t="s">
        <v>100</v>
      </c>
      <c r="BJ1374" s="4"/>
      <c r="BK1374" s="8"/>
      <c r="BL1374" s="2" t="s">
        <v>100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723</v>
      </c>
      <c r="BX1374" s="2" t="s">
        <v>3482</v>
      </c>
      <c r="BY1374" s="2" t="s">
        <v>112</v>
      </c>
      <c r="BZ1374" s="2" t="s">
        <v>100</v>
      </c>
    </row>
    <row r="1375">
      <c r="A1375" s="2" t="s">
        <v>4409</v>
      </c>
      <c r="B1375" s="2" t="s">
        <v>87</v>
      </c>
      <c r="C1375" s="2" t="s">
        <v>4104</v>
      </c>
      <c r="D1375" s="2" t="s">
        <v>3079</v>
      </c>
      <c r="E1375" s="2" t="s">
        <v>3176</v>
      </c>
      <c r="F1375" s="2" t="s">
        <v>4163</v>
      </c>
      <c r="G1375" s="2" t="s">
        <v>4163</v>
      </c>
      <c r="H1375" s="2" t="s">
        <v>4163</v>
      </c>
      <c r="I1375" s="2" t="s">
        <v>4403</v>
      </c>
      <c r="J1375" s="2" t="s">
        <v>795</v>
      </c>
      <c r="K1375" s="2" t="s">
        <v>357</v>
      </c>
      <c r="L1375" s="3">
        <v>58.5</v>
      </c>
      <c r="M1375" s="3">
        <v>61.42</v>
      </c>
      <c r="N1375" s="3">
        <v>119.99</v>
      </c>
      <c r="O1375" s="2" t="s">
        <v>97</v>
      </c>
      <c r="P1375" s="2" t="s">
        <v>98</v>
      </c>
      <c r="Q1375" s="2" t="s">
        <v>99</v>
      </c>
      <c r="R1375" s="2" t="s">
        <v>100</v>
      </c>
      <c r="S1375" s="2" t="s">
        <v>4180</v>
      </c>
      <c r="T1375" s="2" t="s">
        <v>359</v>
      </c>
      <c r="U1375" s="2" t="s">
        <v>1508</v>
      </c>
      <c r="V1375" s="2" t="s">
        <v>4166</v>
      </c>
      <c r="W1375" s="2" t="s">
        <v>2101</v>
      </c>
      <c r="X1375" s="2" t="s">
        <v>499</v>
      </c>
      <c r="Y1375" s="2" t="s">
        <v>131</v>
      </c>
      <c r="Z1375" s="4">
        <v>151</v>
      </c>
      <c r="AA1375" s="4">
        <f>=ROUNDDOWN(83.8888888888889,0)</f>
      </c>
      <c r="AB1375" s="5">
        <v>1.8</v>
      </c>
      <c r="AC1375" s="2" t="s">
        <v>100</v>
      </c>
      <c r="AD1375" s="4"/>
      <c r="AE1375" s="4"/>
      <c r="AF1375" s="6">
        <v>65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>
        <v>0</v>
      </c>
      <c r="AP1375" s="4"/>
      <c r="AQ1375" s="8"/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/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 t="s">
        <v>100</v>
      </c>
      <c r="BJ1375" s="4">
        <v>2</v>
      </c>
      <c r="BK1375" s="8">
        <v>134.7</v>
      </c>
      <c r="BL1375" s="2" t="s">
        <v>4304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723</v>
      </c>
      <c r="BX1375" s="2" t="s">
        <v>192</v>
      </c>
      <c r="BY1375" s="2" t="s">
        <v>112</v>
      </c>
      <c r="BZ1375" s="2" t="s">
        <v>100</v>
      </c>
    </row>
    <row r="1376">
      <c r="A1376" s="2" t="s">
        <v>4410</v>
      </c>
      <c r="B1376" s="2" t="s">
        <v>87</v>
      </c>
      <c r="C1376" s="2" t="s">
        <v>4104</v>
      </c>
      <c r="D1376" s="2" t="s">
        <v>3079</v>
      </c>
      <c r="E1376" s="2" t="s">
        <v>3176</v>
      </c>
      <c r="F1376" s="2" t="s">
        <v>4185</v>
      </c>
      <c r="G1376" s="2" t="s">
        <v>4185</v>
      </c>
      <c r="H1376" s="2" t="s">
        <v>4185</v>
      </c>
      <c r="I1376" s="2" t="s">
        <v>3209</v>
      </c>
      <c r="J1376" s="2" t="s">
        <v>785</v>
      </c>
      <c r="K1376" s="2" t="s">
        <v>357</v>
      </c>
      <c r="L1376" s="3">
        <v>64.79</v>
      </c>
      <c r="M1376" s="3">
        <v>68.03</v>
      </c>
      <c r="N1376" s="3">
        <v>131.99</v>
      </c>
      <c r="O1376" s="2" t="s">
        <v>97</v>
      </c>
      <c r="P1376" s="2" t="s">
        <v>383</v>
      </c>
      <c r="Q1376" s="2" t="s">
        <v>99</v>
      </c>
      <c r="R1376" s="2" t="s">
        <v>100</v>
      </c>
      <c r="S1376" s="2" t="s">
        <v>4186</v>
      </c>
      <c r="T1376" s="2" t="s">
        <v>359</v>
      </c>
      <c r="U1376" s="2" t="s">
        <v>1508</v>
      </c>
      <c r="V1376" s="2" t="s">
        <v>734</v>
      </c>
      <c r="W1376" s="2" t="s">
        <v>4187</v>
      </c>
      <c r="X1376" s="2" t="s">
        <v>1064</v>
      </c>
      <c r="Y1376" s="2" t="s">
        <v>4188</v>
      </c>
      <c r="Z1376" s="4">
        <v>241</v>
      </c>
      <c r="AA1376" s="4">
        <f>=ROUNDDOWN(34.4285714285714,0)</f>
      </c>
      <c r="AB1376" s="5">
        <v>7</v>
      </c>
      <c r="AC1376" s="2" t="s">
        <v>900</v>
      </c>
      <c r="AD1376" s="4">
        <v>50</v>
      </c>
      <c r="AE1376" s="4">
        <v>50</v>
      </c>
      <c r="AF1376" s="6">
        <v>67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>
        <v>0</v>
      </c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/>
      <c r="BJ1376" s="4">
        <v>4</v>
      </c>
      <c r="BK1376" s="8">
        <v>297.64</v>
      </c>
      <c r="BL1376" s="2" t="s">
        <v>4183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270</v>
      </c>
      <c r="BX1376" s="2" t="s">
        <v>312</v>
      </c>
      <c r="BY1376" s="2" t="s">
        <v>112</v>
      </c>
      <c r="BZ1376" s="2" t="s">
        <v>100</v>
      </c>
    </row>
    <row r="1377">
      <c r="A1377" s="2" t="s">
        <v>4411</v>
      </c>
      <c r="B1377" s="2" t="s">
        <v>87</v>
      </c>
      <c r="C1377" s="2" t="s">
        <v>4104</v>
      </c>
      <c r="D1377" s="2" t="s">
        <v>3079</v>
      </c>
      <c r="E1377" s="2" t="s">
        <v>3176</v>
      </c>
      <c r="F1377" s="2" t="s">
        <v>4185</v>
      </c>
      <c r="G1377" s="2" t="s">
        <v>4185</v>
      </c>
      <c r="H1377" s="2" t="s">
        <v>4185</v>
      </c>
      <c r="I1377" s="2" t="s">
        <v>3209</v>
      </c>
      <c r="J1377" s="2" t="s">
        <v>795</v>
      </c>
      <c r="K1377" s="2" t="s">
        <v>357</v>
      </c>
      <c r="L1377" s="3">
        <v>79.38</v>
      </c>
      <c r="M1377" s="3">
        <v>83.35</v>
      </c>
      <c r="N1377" s="3">
        <v>161.99</v>
      </c>
      <c r="O1377" s="2" t="s">
        <v>97</v>
      </c>
      <c r="P1377" s="2" t="s">
        <v>98</v>
      </c>
      <c r="Q1377" s="2" t="s">
        <v>99</v>
      </c>
      <c r="R1377" s="2" t="s">
        <v>100</v>
      </c>
      <c r="S1377" s="2" t="s">
        <v>4186</v>
      </c>
      <c r="T1377" s="2" t="s">
        <v>359</v>
      </c>
      <c r="U1377" s="2" t="s">
        <v>1508</v>
      </c>
      <c r="V1377" s="2" t="s">
        <v>734</v>
      </c>
      <c r="W1377" s="2" t="s">
        <v>4187</v>
      </c>
      <c r="X1377" s="2" t="s">
        <v>1064</v>
      </c>
      <c r="Y1377" s="2" t="s">
        <v>4188</v>
      </c>
      <c r="Z1377" s="4">
        <v>160</v>
      </c>
      <c r="AA1377" s="4">
        <f>=ROUNDDOWN(32,0)</f>
      </c>
      <c r="AB1377" s="5">
        <v>5</v>
      </c>
      <c r="AC1377" s="2" t="s">
        <v>900</v>
      </c>
      <c r="AD1377" s="4">
        <v>28</v>
      </c>
      <c r="AE1377" s="4">
        <v>28</v>
      </c>
      <c r="AF1377" s="6">
        <v>67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>
        <v>0</v>
      </c>
      <c r="AP1377" s="4"/>
      <c r="AQ1377" s="8"/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>
        <v>1</v>
      </c>
      <c r="BK1377" s="8">
        <v>83.35</v>
      </c>
      <c r="BL1377" s="2" t="s">
        <v>2544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270</v>
      </c>
      <c r="BX1377" s="2" t="s">
        <v>4412</v>
      </c>
      <c r="BY1377" s="2" t="s">
        <v>112</v>
      </c>
      <c r="BZ1377" s="2" t="s">
        <v>100</v>
      </c>
    </row>
    <row r="1378">
      <c r="A1378" s="2" t="s">
        <v>4413</v>
      </c>
      <c r="B1378" s="2" t="s">
        <v>87</v>
      </c>
      <c r="C1378" s="2" t="s">
        <v>4104</v>
      </c>
      <c r="D1378" s="2" t="s">
        <v>3079</v>
      </c>
      <c r="E1378" s="2" t="s">
        <v>3176</v>
      </c>
      <c r="F1378" s="2" t="s">
        <v>4191</v>
      </c>
      <c r="G1378" s="2" t="s">
        <v>4191</v>
      </c>
      <c r="H1378" s="2" t="s">
        <v>4191</v>
      </c>
      <c r="I1378" s="2" t="s">
        <v>4414</v>
      </c>
      <c r="J1378" s="2" t="s">
        <v>785</v>
      </c>
      <c r="K1378" s="2" t="s">
        <v>198</v>
      </c>
      <c r="L1378" s="3">
        <v>45.71</v>
      </c>
      <c r="M1378" s="3">
        <v>48</v>
      </c>
      <c r="N1378" s="3">
        <v>99.99</v>
      </c>
      <c r="O1378" s="2" t="s">
        <v>97</v>
      </c>
      <c r="P1378" s="2" t="s">
        <v>1216</v>
      </c>
      <c r="Q1378" s="2" t="s">
        <v>99</v>
      </c>
      <c r="R1378" s="2" t="s">
        <v>100</v>
      </c>
      <c r="S1378" s="2" t="s">
        <v>4193</v>
      </c>
      <c r="T1378" s="2" t="s">
        <v>359</v>
      </c>
      <c r="U1378" s="2" t="s">
        <v>1508</v>
      </c>
      <c r="V1378" s="2" t="s">
        <v>734</v>
      </c>
      <c r="W1378" s="2" t="s">
        <v>1405</v>
      </c>
      <c r="X1378" s="2" t="s">
        <v>976</v>
      </c>
      <c r="Y1378" s="2" t="s">
        <v>100</v>
      </c>
      <c r="Z1378" s="4"/>
      <c r="AA1378" s="4">
        <f>=ROUNDDOWN({0},0)</f>
      </c>
      <c r="AB1378" s="5"/>
      <c r="AC1378" s="2" t="s">
        <v>361</v>
      </c>
      <c r="AD1378" s="4">
        <v>145</v>
      </c>
      <c r="AE1378" s="4">
        <v>290</v>
      </c>
      <c r="AF1378" s="6">
        <v>65</v>
      </c>
      <c r="AG1378" s="6"/>
      <c r="AH1378" s="7">
        <v>0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>
        <v>0</v>
      </c>
      <c r="AP1378" s="4"/>
      <c r="AQ1378" s="8"/>
      <c r="AR1378" s="4"/>
      <c r="AS1378" s="8"/>
      <c r="AT1378" s="7"/>
      <c r="AU1378" s="7"/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/>
      <c r="BK1378" s="8"/>
      <c r="BL1378" s="2" t="s">
        <v>100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1338</v>
      </c>
      <c r="BV1378" s="2" t="s">
        <v>97</v>
      </c>
      <c r="BW1378" s="2" t="s">
        <v>100</v>
      </c>
      <c r="BX1378" s="2" t="s">
        <v>100</v>
      </c>
      <c r="BY1378" s="2" t="s">
        <v>112</v>
      </c>
      <c r="BZ1378" s="2" t="s">
        <v>100</v>
      </c>
    </row>
    <row r="1379">
      <c r="A1379" s="2" t="s">
        <v>4415</v>
      </c>
      <c r="B1379" s="2" t="s">
        <v>87</v>
      </c>
      <c r="C1379" s="2" t="s">
        <v>4104</v>
      </c>
      <c r="D1379" s="2" t="s">
        <v>3079</v>
      </c>
      <c r="E1379" s="2" t="s">
        <v>3176</v>
      </c>
      <c r="F1379" s="2" t="s">
        <v>4191</v>
      </c>
      <c r="G1379" s="2" t="s">
        <v>4191</v>
      </c>
      <c r="H1379" s="2" t="s">
        <v>4191</v>
      </c>
      <c r="I1379" s="2" t="s">
        <v>4414</v>
      </c>
      <c r="J1379" s="2" t="s">
        <v>795</v>
      </c>
      <c r="K1379" s="2" t="s">
        <v>198</v>
      </c>
      <c r="L1379" s="3">
        <v>54.85</v>
      </c>
      <c r="M1379" s="3">
        <v>57.59</v>
      </c>
      <c r="N1379" s="3">
        <v>119.99</v>
      </c>
      <c r="O1379" s="2" t="s">
        <v>97</v>
      </c>
      <c r="P1379" s="2" t="s">
        <v>1216</v>
      </c>
      <c r="Q1379" s="2" t="s">
        <v>99</v>
      </c>
      <c r="R1379" s="2" t="s">
        <v>100</v>
      </c>
      <c r="S1379" s="2" t="s">
        <v>4193</v>
      </c>
      <c r="T1379" s="2" t="s">
        <v>359</v>
      </c>
      <c r="U1379" s="2" t="s">
        <v>1508</v>
      </c>
      <c r="V1379" s="2" t="s">
        <v>734</v>
      </c>
      <c r="W1379" s="2" t="s">
        <v>1405</v>
      </c>
      <c r="X1379" s="2" t="s">
        <v>976</v>
      </c>
      <c r="Y1379" s="2" t="s">
        <v>100</v>
      </c>
      <c r="Z1379" s="4"/>
      <c r="AA1379" s="4">
        <f>=ROUNDDOWN({0},0)</f>
      </c>
      <c r="AB1379" s="5"/>
      <c r="AC1379" s="2" t="s">
        <v>361</v>
      </c>
      <c r="AD1379" s="4">
        <v>120</v>
      </c>
      <c r="AE1379" s="4">
        <v>240</v>
      </c>
      <c r="AF1379" s="6">
        <v>65</v>
      </c>
      <c r="AG1379" s="6"/>
      <c r="AH1379" s="7">
        <v>0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>
        <v>0</v>
      </c>
      <c r="AP1379" s="4"/>
      <c r="AQ1379" s="8"/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/>
      <c r="BK1379" s="8"/>
      <c r="BL1379" s="2" t="s">
        <v>100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1338</v>
      </c>
      <c r="BV1379" s="2" t="s">
        <v>97</v>
      </c>
      <c r="BW1379" s="2" t="s">
        <v>100</v>
      </c>
      <c r="BX1379" s="2" t="s">
        <v>100</v>
      </c>
      <c r="BY1379" s="2" t="s">
        <v>112</v>
      </c>
      <c r="BZ1379" s="2" t="s">
        <v>100</v>
      </c>
    </row>
    <row r="1380">
      <c r="A1380" s="2" t="s">
        <v>4416</v>
      </c>
      <c r="B1380" s="2" t="s">
        <v>87</v>
      </c>
      <c r="C1380" s="2" t="s">
        <v>4104</v>
      </c>
      <c r="D1380" s="2" t="s">
        <v>3079</v>
      </c>
      <c r="E1380" s="2" t="s">
        <v>3176</v>
      </c>
      <c r="F1380" s="2" t="s">
        <v>4196</v>
      </c>
      <c r="G1380" s="2" t="s">
        <v>4196</v>
      </c>
      <c r="H1380" s="2" t="s">
        <v>4196</v>
      </c>
      <c r="I1380" s="2" t="s">
        <v>3209</v>
      </c>
      <c r="J1380" s="2" t="s">
        <v>785</v>
      </c>
      <c r="K1380" s="2" t="s">
        <v>4197</v>
      </c>
      <c r="L1380" s="3">
        <v>58.8</v>
      </c>
      <c r="M1380" s="3">
        <v>61.73</v>
      </c>
      <c r="N1380" s="3">
        <v>119.99</v>
      </c>
      <c r="O1380" s="2" t="s">
        <v>473</v>
      </c>
      <c r="P1380" s="2" t="s">
        <v>447</v>
      </c>
      <c r="Q1380" s="2" t="s">
        <v>99</v>
      </c>
      <c r="R1380" s="2" t="s">
        <v>100</v>
      </c>
      <c r="S1380" s="2" t="s">
        <v>4198</v>
      </c>
      <c r="T1380" s="2" t="s">
        <v>359</v>
      </c>
      <c r="U1380" s="2" t="s">
        <v>1508</v>
      </c>
      <c r="V1380" s="2" t="s">
        <v>805</v>
      </c>
      <c r="W1380" s="2" t="s">
        <v>4199</v>
      </c>
      <c r="X1380" s="2" t="s">
        <v>976</v>
      </c>
      <c r="Y1380" s="2" t="s">
        <v>2302</v>
      </c>
      <c r="Z1380" s="4">
        <v>98</v>
      </c>
      <c r="AA1380" s="4">
        <f>=ROUNDDOWN(40.8333333333333,0)</f>
      </c>
      <c r="AB1380" s="5">
        <v>2.4</v>
      </c>
      <c r="AC1380" s="2" t="s">
        <v>100</v>
      </c>
      <c r="AD1380" s="4"/>
      <c r="AE1380" s="4"/>
      <c r="AF1380" s="6">
        <v>67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>
        <v>0</v>
      </c>
      <c r="AP1380" s="4"/>
      <c r="AQ1380" s="8"/>
      <c r="AR1380" s="4"/>
      <c r="AS1380" s="8"/>
      <c r="AT1380" s="7"/>
      <c r="AU1380" s="7"/>
      <c r="AV1380" s="4" t="s">
        <v>100</v>
      </c>
      <c r="AW1380" s="8" t="s">
        <v>100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/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/>
      <c r="BJ1380" s="4">
        <v>6</v>
      </c>
      <c r="BK1380" s="8">
        <v>201.24</v>
      </c>
      <c r="BL1380" s="2" t="s">
        <v>391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3088</v>
      </c>
      <c r="BV1380" s="2" t="s">
        <v>97</v>
      </c>
      <c r="BW1380" s="2" t="s">
        <v>100</v>
      </c>
      <c r="BX1380" s="2" t="s">
        <v>100</v>
      </c>
      <c r="BY1380" s="2" t="s">
        <v>112</v>
      </c>
      <c r="BZ1380" s="2" t="s">
        <v>100</v>
      </c>
    </row>
    <row r="1381">
      <c r="A1381" s="2" t="s">
        <v>4417</v>
      </c>
      <c r="B1381" s="2" t="s">
        <v>87</v>
      </c>
      <c r="C1381" s="2" t="s">
        <v>4104</v>
      </c>
      <c r="D1381" s="2" t="s">
        <v>3079</v>
      </c>
      <c r="E1381" s="2" t="s">
        <v>3176</v>
      </c>
      <c r="F1381" s="2" t="s">
        <v>4196</v>
      </c>
      <c r="G1381" s="2" t="s">
        <v>4196</v>
      </c>
      <c r="H1381" s="2" t="s">
        <v>4196</v>
      </c>
      <c r="I1381" s="2" t="s">
        <v>3209</v>
      </c>
      <c r="J1381" s="2" t="s">
        <v>795</v>
      </c>
      <c r="K1381" s="2" t="s">
        <v>4197</v>
      </c>
      <c r="L1381" s="3">
        <v>73.5</v>
      </c>
      <c r="M1381" s="3">
        <v>77.17</v>
      </c>
      <c r="N1381" s="3">
        <v>149.99</v>
      </c>
      <c r="O1381" s="2" t="s">
        <v>473</v>
      </c>
      <c r="P1381" s="2" t="s">
        <v>447</v>
      </c>
      <c r="Q1381" s="2" t="s">
        <v>99</v>
      </c>
      <c r="R1381" s="2" t="s">
        <v>100</v>
      </c>
      <c r="S1381" s="2" t="s">
        <v>4198</v>
      </c>
      <c r="T1381" s="2" t="s">
        <v>359</v>
      </c>
      <c r="U1381" s="2" t="s">
        <v>1508</v>
      </c>
      <c r="V1381" s="2" t="s">
        <v>805</v>
      </c>
      <c r="W1381" s="2" t="s">
        <v>4199</v>
      </c>
      <c r="X1381" s="2" t="s">
        <v>976</v>
      </c>
      <c r="Y1381" s="2" t="s">
        <v>2302</v>
      </c>
      <c r="Z1381" s="4">
        <v>13</v>
      </c>
      <c r="AA1381" s="4">
        <f>=ROUNDDOWN(11.8181818181818,0)</f>
      </c>
      <c r="AB1381" s="5">
        <v>1.1</v>
      </c>
      <c r="AC1381" s="2" t="s">
        <v>100</v>
      </c>
      <c r="AD1381" s="4"/>
      <c r="AE1381" s="4"/>
      <c r="AF1381" s="6">
        <v>67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>
        <v>0</v>
      </c>
      <c r="AP1381" s="4"/>
      <c r="AQ1381" s="8"/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/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/>
      <c r="BJ1381" s="4">
        <v>1</v>
      </c>
      <c r="BK1381" s="8">
        <v>40.58</v>
      </c>
      <c r="BL1381" s="2" t="s">
        <v>133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3088</v>
      </c>
      <c r="BV1381" s="2" t="s">
        <v>97</v>
      </c>
      <c r="BW1381" s="2" t="s">
        <v>100</v>
      </c>
      <c r="BX1381" s="2" t="s">
        <v>100</v>
      </c>
      <c r="BY1381" s="2" t="s">
        <v>112</v>
      </c>
      <c r="BZ1381" s="2" t="s">
        <v>100</v>
      </c>
    </row>
    <row r="1382">
      <c r="A1382" s="2" t="s">
        <v>4418</v>
      </c>
      <c r="B1382" s="2" t="s">
        <v>87</v>
      </c>
      <c r="C1382" s="2" t="s">
        <v>4104</v>
      </c>
      <c r="D1382" s="2" t="s">
        <v>3079</v>
      </c>
      <c r="E1382" s="2" t="s">
        <v>3176</v>
      </c>
      <c r="F1382" s="2" t="s">
        <v>4196</v>
      </c>
      <c r="G1382" s="2" t="s">
        <v>4196</v>
      </c>
      <c r="H1382" s="2" t="s">
        <v>4196</v>
      </c>
      <c r="I1382" s="2" t="s">
        <v>3209</v>
      </c>
      <c r="J1382" s="2" t="s">
        <v>785</v>
      </c>
      <c r="K1382" s="2" t="s">
        <v>4202</v>
      </c>
      <c r="L1382" s="3">
        <v>58.8</v>
      </c>
      <c r="M1382" s="3">
        <v>61.73</v>
      </c>
      <c r="N1382" s="3">
        <v>119.99</v>
      </c>
      <c r="O1382" s="2" t="s">
        <v>97</v>
      </c>
      <c r="P1382" s="2" t="s">
        <v>98</v>
      </c>
      <c r="Q1382" s="2" t="s">
        <v>99</v>
      </c>
      <c r="R1382" s="2" t="s">
        <v>100</v>
      </c>
      <c r="S1382" s="2" t="s">
        <v>4203</v>
      </c>
      <c r="T1382" s="2" t="s">
        <v>359</v>
      </c>
      <c r="U1382" s="2" t="s">
        <v>1508</v>
      </c>
      <c r="V1382" s="2" t="s">
        <v>805</v>
      </c>
      <c r="W1382" s="2" t="s">
        <v>4187</v>
      </c>
      <c r="X1382" s="2" t="s">
        <v>976</v>
      </c>
      <c r="Y1382" s="2" t="s">
        <v>4204</v>
      </c>
      <c r="Z1382" s="4">
        <v>169</v>
      </c>
      <c r="AA1382" s="4">
        <f>=ROUNDDOWN(28.1666666666667,0)</f>
      </c>
      <c r="AB1382" s="5">
        <v>6</v>
      </c>
      <c r="AC1382" s="2" t="s">
        <v>680</v>
      </c>
      <c r="AD1382" s="4">
        <v>80</v>
      </c>
      <c r="AE1382" s="4">
        <v>80</v>
      </c>
      <c r="AF1382" s="6">
        <v>67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>
        <v>0</v>
      </c>
      <c r="AP1382" s="4"/>
      <c r="AQ1382" s="8"/>
      <c r="AR1382" s="4"/>
      <c r="AS1382" s="8"/>
      <c r="AT1382" s="7"/>
      <c r="AU1382" s="7"/>
      <c r="AV1382" s="4" t="s">
        <v>100</v>
      </c>
      <c r="AW1382" s="8" t="s">
        <v>100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/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/>
      <c r="BJ1382" s="4">
        <v>5</v>
      </c>
      <c r="BK1382" s="8">
        <v>345.97</v>
      </c>
      <c r="BL1382" s="2" t="s">
        <v>2737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270</v>
      </c>
      <c r="BX1382" s="2" t="s">
        <v>4419</v>
      </c>
      <c r="BY1382" s="2" t="s">
        <v>112</v>
      </c>
      <c r="BZ1382" s="2" t="s">
        <v>100</v>
      </c>
    </row>
    <row r="1383">
      <c r="A1383" s="2" t="s">
        <v>4420</v>
      </c>
      <c r="B1383" s="2" t="s">
        <v>87</v>
      </c>
      <c r="C1383" s="2" t="s">
        <v>4104</v>
      </c>
      <c r="D1383" s="2" t="s">
        <v>3079</v>
      </c>
      <c r="E1383" s="2" t="s">
        <v>3176</v>
      </c>
      <c r="F1383" s="2" t="s">
        <v>4196</v>
      </c>
      <c r="G1383" s="2" t="s">
        <v>4196</v>
      </c>
      <c r="H1383" s="2" t="s">
        <v>4196</v>
      </c>
      <c r="I1383" s="2" t="s">
        <v>3209</v>
      </c>
      <c r="J1383" s="2" t="s">
        <v>795</v>
      </c>
      <c r="K1383" s="2" t="s">
        <v>4202</v>
      </c>
      <c r="L1383" s="3">
        <v>73.5</v>
      </c>
      <c r="M1383" s="3">
        <v>77.17</v>
      </c>
      <c r="N1383" s="3">
        <v>149.99</v>
      </c>
      <c r="O1383" s="2" t="s">
        <v>97</v>
      </c>
      <c r="P1383" s="2" t="s">
        <v>98</v>
      </c>
      <c r="Q1383" s="2" t="s">
        <v>99</v>
      </c>
      <c r="R1383" s="2" t="s">
        <v>100</v>
      </c>
      <c r="S1383" s="2" t="s">
        <v>4203</v>
      </c>
      <c r="T1383" s="2" t="s">
        <v>359</v>
      </c>
      <c r="U1383" s="2" t="s">
        <v>1508</v>
      </c>
      <c r="V1383" s="2" t="s">
        <v>805</v>
      </c>
      <c r="W1383" s="2" t="s">
        <v>4199</v>
      </c>
      <c r="X1383" s="2" t="s">
        <v>976</v>
      </c>
      <c r="Y1383" s="2" t="s">
        <v>4204</v>
      </c>
      <c r="Z1383" s="4">
        <v>193</v>
      </c>
      <c r="AA1383" s="4">
        <f>=ROUNDDOWN(38.6,0)</f>
      </c>
      <c r="AB1383" s="5">
        <v>5</v>
      </c>
      <c r="AC1383" s="2" t="s">
        <v>680</v>
      </c>
      <c r="AD1383" s="4">
        <v>90</v>
      </c>
      <c r="AE1383" s="4">
        <v>90</v>
      </c>
      <c r="AF1383" s="6">
        <v>67</v>
      </c>
      <c r="AG1383" s="6"/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>
        <v>0</v>
      </c>
      <c r="AP1383" s="4"/>
      <c r="AQ1383" s="8"/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/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/>
      <c r="BJ1383" s="4">
        <v>2</v>
      </c>
      <c r="BK1383" s="8">
        <v>162.95</v>
      </c>
      <c r="BL1383" s="2" t="s">
        <v>1550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270</v>
      </c>
      <c r="BX1383" s="2" t="s">
        <v>4421</v>
      </c>
      <c r="BY1383" s="2" t="s">
        <v>112</v>
      </c>
      <c r="BZ1383" s="2" t="s">
        <v>100</v>
      </c>
    </row>
    <row r="1384">
      <c r="A1384" s="2" t="s">
        <v>4422</v>
      </c>
      <c r="B1384" s="2" t="s">
        <v>87</v>
      </c>
      <c r="C1384" s="2" t="s">
        <v>4104</v>
      </c>
      <c r="D1384" s="2" t="s">
        <v>3079</v>
      </c>
      <c r="E1384" s="2" t="s">
        <v>3176</v>
      </c>
      <c r="F1384" s="2" t="s">
        <v>4423</v>
      </c>
      <c r="G1384" s="2" t="s">
        <v>4423</v>
      </c>
      <c r="H1384" s="2" t="s">
        <v>4423</v>
      </c>
      <c r="I1384" s="2" t="s">
        <v>4424</v>
      </c>
      <c r="J1384" s="2" t="s">
        <v>795</v>
      </c>
      <c r="K1384" s="2" t="s">
        <v>253</v>
      </c>
      <c r="L1384" s="3">
        <v>73.5</v>
      </c>
      <c r="M1384" s="3">
        <v>77.18</v>
      </c>
      <c r="N1384" s="3">
        <v>149.99</v>
      </c>
      <c r="O1384" s="2" t="s">
        <v>473</v>
      </c>
      <c r="P1384" s="2" t="s">
        <v>447</v>
      </c>
      <c r="Q1384" s="2" t="s">
        <v>99</v>
      </c>
      <c r="R1384" s="2" t="s">
        <v>100</v>
      </c>
      <c r="S1384" s="2" t="s">
        <v>4425</v>
      </c>
      <c r="T1384" s="2" t="s">
        <v>359</v>
      </c>
      <c r="U1384" s="2" t="s">
        <v>1508</v>
      </c>
      <c r="V1384" s="2" t="s">
        <v>4187</v>
      </c>
      <c r="W1384" s="2" t="s">
        <v>1064</v>
      </c>
      <c r="X1384" s="2" t="s">
        <v>976</v>
      </c>
      <c r="Y1384" s="2" t="s">
        <v>4426</v>
      </c>
      <c r="Z1384" s="4">
        <v>20</v>
      </c>
      <c r="AA1384" s="4">
        <f>=ROUNDDOWN(8,0)</f>
      </c>
      <c r="AB1384" s="5">
        <v>2.5</v>
      </c>
      <c r="AC1384" s="2" t="s">
        <v>100</v>
      </c>
      <c r="AD1384" s="4"/>
      <c r="AE1384" s="4"/>
      <c r="AF1384" s="6">
        <v>65</v>
      </c>
      <c r="AG1384" s="6"/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/>
      <c r="AQ1384" s="8"/>
      <c r="AR1384" s="4"/>
      <c r="AS1384" s="8"/>
      <c r="AT1384" s="7"/>
      <c r="AU1384" s="7"/>
      <c r="AV1384" s="4"/>
      <c r="AW1384" s="8"/>
      <c r="AX1384" s="4"/>
      <c r="AY1384" s="8"/>
      <c r="AZ1384" s="7"/>
      <c r="BA1384" s="7"/>
      <c r="BB1384" s="7"/>
      <c r="BC1384" s="4"/>
      <c r="BD1384" s="8"/>
      <c r="BE1384" s="4"/>
      <c r="BF1384" s="8"/>
      <c r="BG1384" s="7"/>
      <c r="BH1384" s="7"/>
      <c r="BI1384" s="7"/>
      <c r="BJ1384" s="4">
        <v>1</v>
      </c>
      <c r="BK1384" s="8">
        <v>81.03</v>
      </c>
      <c r="BL1384" s="2" t="s">
        <v>210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3088</v>
      </c>
      <c r="BV1384" s="2" t="s">
        <v>97</v>
      </c>
      <c r="BW1384" s="2" t="s">
        <v>100</v>
      </c>
      <c r="BX1384" s="2" t="s">
        <v>100</v>
      </c>
      <c r="BY1384" s="2" t="s">
        <v>112</v>
      </c>
      <c r="BZ1384" s="2" t="s">
        <v>100</v>
      </c>
    </row>
    <row r="1385">
      <c r="A1385" s="2" t="s">
        <v>4427</v>
      </c>
      <c r="B1385" s="2" t="s">
        <v>87</v>
      </c>
      <c r="C1385" s="2" t="s">
        <v>4104</v>
      </c>
      <c r="D1385" s="2" t="s">
        <v>3079</v>
      </c>
      <c r="E1385" s="2" t="s">
        <v>3176</v>
      </c>
      <c r="F1385" s="2" t="s">
        <v>4105</v>
      </c>
      <c r="G1385" s="2" t="s">
        <v>4105</v>
      </c>
      <c r="H1385" s="2" t="s">
        <v>4105</v>
      </c>
      <c r="I1385" s="2" t="s">
        <v>4428</v>
      </c>
      <c r="J1385" s="2" t="s">
        <v>785</v>
      </c>
      <c r="K1385" s="2" t="s">
        <v>96</v>
      </c>
      <c r="L1385" s="3">
        <v>50.4</v>
      </c>
      <c r="M1385" s="3">
        <v>52.91</v>
      </c>
      <c r="N1385" s="3">
        <v>104.99</v>
      </c>
      <c r="O1385" s="2" t="s">
        <v>97</v>
      </c>
      <c r="P1385" s="2" t="s">
        <v>383</v>
      </c>
      <c r="Q1385" s="2" t="s">
        <v>99</v>
      </c>
      <c r="R1385" s="2" t="s">
        <v>100</v>
      </c>
      <c r="S1385" s="2" t="s">
        <v>4111</v>
      </c>
      <c r="T1385" s="2" t="s">
        <v>359</v>
      </c>
      <c r="U1385" s="2" t="s">
        <v>1508</v>
      </c>
      <c r="V1385" s="2" t="s">
        <v>734</v>
      </c>
      <c r="W1385" s="2" t="s">
        <v>105</v>
      </c>
      <c r="X1385" s="2" t="s">
        <v>976</v>
      </c>
      <c r="Y1385" s="2" t="s">
        <v>4112</v>
      </c>
      <c r="Z1385" s="4">
        <v>338</v>
      </c>
      <c r="AA1385" s="4">
        <f>=ROUNDDOWN(33.8,0)</f>
      </c>
      <c r="AB1385" s="5">
        <v>10</v>
      </c>
      <c r="AC1385" s="2" t="s">
        <v>287</v>
      </c>
      <c r="AD1385" s="4">
        <v>75</v>
      </c>
      <c r="AE1385" s="4">
        <v>380</v>
      </c>
      <c r="AF1385" s="6">
        <v>67</v>
      </c>
      <c r="AG1385" s="6"/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>
        <v>0</v>
      </c>
      <c r="AP1385" s="4"/>
      <c r="AQ1385" s="8"/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/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/>
      <c r="BJ1385" s="4">
        <v>4</v>
      </c>
      <c r="BK1385" s="8">
        <v>185.38</v>
      </c>
      <c r="BL1385" s="2" t="s">
        <v>1896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4114</v>
      </c>
      <c r="BX1385" s="2" t="s">
        <v>1364</v>
      </c>
      <c r="BY1385" s="2" t="s">
        <v>112</v>
      </c>
      <c r="BZ1385" s="2" t="s">
        <v>100</v>
      </c>
    </row>
    <row r="1386">
      <c r="A1386" s="2" t="s">
        <v>4429</v>
      </c>
      <c r="B1386" s="2" t="s">
        <v>87</v>
      </c>
      <c r="C1386" s="2" t="s">
        <v>4104</v>
      </c>
      <c r="D1386" s="2" t="s">
        <v>3079</v>
      </c>
      <c r="E1386" s="2" t="s">
        <v>3176</v>
      </c>
      <c r="F1386" s="2" t="s">
        <v>4105</v>
      </c>
      <c r="G1386" s="2" t="s">
        <v>4105</v>
      </c>
      <c r="H1386" s="2" t="s">
        <v>4105</v>
      </c>
      <c r="I1386" s="2" t="s">
        <v>4428</v>
      </c>
      <c r="J1386" s="2" t="s">
        <v>795</v>
      </c>
      <c r="K1386" s="2" t="s">
        <v>96</v>
      </c>
      <c r="L1386" s="3">
        <v>66.15</v>
      </c>
      <c r="M1386" s="3">
        <v>69.45</v>
      </c>
      <c r="N1386" s="3">
        <v>134.99</v>
      </c>
      <c r="O1386" s="2" t="s">
        <v>97</v>
      </c>
      <c r="P1386" s="2" t="s">
        <v>383</v>
      </c>
      <c r="Q1386" s="2" t="s">
        <v>99</v>
      </c>
      <c r="R1386" s="2" t="s">
        <v>100</v>
      </c>
      <c r="S1386" s="2" t="s">
        <v>4111</v>
      </c>
      <c r="T1386" s="2" t="s">
        <v>359</v>
      </c>
      <c r="U1386" s="2" t="s">
        <v>1508</v>
      </c>
      <c r="V1386" s="2" t="s">
        <v>734</v>
      </c>
      <c r="W1386" s="2" t="s">
        <v>105</v>
      </c>
      <c r="X1386" s="2" t="s">
        <v>976</v>
      </c>
      <c r="Y1386" s="2" t="s">
        <v>4112</v>
      </c>
      <c r="Z1386" s="4">
        <v>131</v>
      </c>
      <c r="AA1386" s="4">
        <f>=ROUNDDOWN(21.8333333333333,0)</f>
      </c>
      <c r="AB1386" s="5">
        <v>6</v>
      </c>
      <c r="AC1386" s="2" t="s">
        <v>287</v>
      </c>
      <c r="AD1386" s="4">
        <v>85</v>
      </c>
      <c r="AE1386" s="4">
        <v>340</v>
      </c>
      <c r="AF1386" s="6">
        <v>67</v>
      </c>
      <c r="AG1386" s="6"/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>
        <v>0</v>
      </c>
      <c r="AP1386" s="4"/>
      <c r="AQ1386" s="8"/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/>
      <c r="BJ1386" s="4">
        <v>6</v>
      </c>
      <c r="BK1386" s="8">
        <v>402.23</v>
      </c>
      <c r="BL1386" s="2" t="s">
        <v>919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4114</v>
      </c>
      <c r="BX1386" s="2" t="s">
        <v>1311</v>
      </c>
      <c r="BY1386" s="2" t="s">
        <v>112</v>
      </c>
      <c r="BZ1386" s="2" t="s">
        <v>100</v>
      </c>
    </row>
    <row r="1387">
      <c r="A1387" s="2" t="s">
        <v>4430</v>
      </c>
      <c r="B1387" s="2" t="s">
        <v>87</v>
      </c>
      <c r="C1387" s="2" t="s">
        <v>4104</v>
      </c>
      <c r="D1387" s="2" t="s">
        <v>3079</v>
      </c>
      <c r="E1387" s="2" t="s">
        <v>3176</v>
      </c>
      <c r="F1387" s="2" t="s">
        <v>4105</v>
      </c>
      <c r="G1387" s="2" t="s">
        <v>4105</v>
      </c>
      <c r="H1387" s="2" t="s">
        <v>4105</v>
      </c>
      <c r="I1387" s="2" t="s">
        <v>4428</v>
      </c>
      <c r="J1387" s="2" t="s">
        <v>785</v>
      </c>
      <c r="K1387" s="2" t="s">
        <v>163</v>
      </c>
      <c r="L1387" s="3">
        <v>50.4</v>
      </c>
      <c r="M1387" s="3">
        <v>52.91</v>
      </c>
      <c r="N1387" s="3">
        <v>104.99</v>
      </c>
      <c r="O1387" s="2" t="s">
        <v>97</v>
      </c>
      <c r="P1387" s="2" t="s">
        <v>98</v>
      </c>
      <c r="Q1387" s="2" t="s">
        <v>99</v>
      </c>
      <c r="R1387" s="2" t="s">
        <v>100</v>
      </c>
      <c r="S1387" s="2" t="s">
        <v>4107</v>
      </c>
      <c r="T1387" s="2" t="s">
        <v>359</v>
      </c>
      <c r="U1387" s="2" t="s">
        <v>1508</v>
      </c>
      <c r="V1387" s="2" t="s">
        <v>734</v>
      </c>
      <c r="W1387" s="2" t="s">
        <v>105</v>
      </c>
      <c r="X1387" s="2" t="s">
        <v>976</v>
      </c>
      <c r="Y1387" s="2" t="s">
        <v>3156</v>
      </c>
      <c r="Z1387" s="4">
        <v>135</v>
      </c>
      <c r="AA1387" s="4">
        <f>=ROUNDDOWN(33.75,0)</f>
      </c>
      <c r="AB1387" s="5">
        <v>4</v>
      </c>
      <c r="AC1387" s="2" t="s">
        <v>559</v>
      </c>
      <c r="AD1387" s="4">
        <v>110</v>
      </c>
      <c r="AE1387" s="4">
        <v>110</v>
      </c>
      <c r="AF1387" s="6">
        <v>67</v>
      </c>
      <c r="AG1387" s="6"/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/>
      <c r="AQ1387" s="8"/>
      <c r="AR1387" s="4"/>
      <c r="AS1387" s="8"/>
      <c r="AT1387" s="7"/>
      <c r="AU1387" s="7"/>
      <c r="AV1387" s="4" t="s">
        <v>100</v>
      </c>
      <c r="AW1387" s="8" t="s">
        <v>100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/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/>
      <c r="BJ1387" s="4">
        <v>4</v>
      </c>
      <c r="BK1387" s="8">
        <v>185.38</v>
      </c>
      <c r="BL1387" s="2" t="s">
        <v>1896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109</v>
      </c>
      <c r="BV1387" s="2" t="s">
        <v>97</v>
      </c>
      <c r="BW1387" s="2" t="s">
        <v>3091</v>
      </c>
      <c r="BX1387" s="2" t="s">
        <v>1635</v>
      </c>
      <c r="BY1387" s="2" t="s">
        <v>112</v>
      </c>
      <c r="BZ1387" s="2" t="s">
        <v>100</v>
      </c>
    </row>
    <row r="1388">
      <c r="A1388" s="2" t="s">
        <v>4431</v>
      </c>
      <c r="B1388" s="2" t="s">
        <v>87</v>
      </c>
      <c r="C1388" s="2" t="s">
        <v>4104</v>
      </c>
      <c r="D1388" s="2" t="s">
        <v>3079</v>
      </c>
      <c r="E1388" s="2" t="s">
        <v>3176</v>
      </c>
      <c r="F1388" s="2" t="s">
        <v>4105</v>
      </c>
      <c r="G1388" s="2" t="s">
        <v>4105</v>
      </c>
      <c r="H1388" s="2" t="s">
        <v>4105</v>
      </c>
      <c r="I1388" s="2" t="s">
        <v>4428</v>
      </c>
      <c r="J1388" s="2" t="s">
        <v>795</v>
      </c>
      <c r="K1388" s="2" t="s">
        <v>163</v>
      </c>
      <c r="L1388" s="3">
        <v>66.15</v>
      </c>
      <c r="M1388" s="3">
        <v>69.45</v>
      </c>
      <c r="N1388" s="3">
        <v>134.99</v>
      </c>
      <c r="O1388" s="2" t="s">
        <v>97</v>
      </c>
      <c r="P1388" s="2" t="s">
        <v>98</v>
      </c>
      <c r="Q1388" s="2" t="s">
        <v>99</v>
      </c>
      <c r="R1388" s="2" t="s">
        <v>100</v>
      </c>
      <c r="S1388" s="2" t="s">
        <v>4107</v>
      </c>
      <c r="T1388" s="2" t="s">
        <v>359</v>
      </c>
      <c r="U1388" s="2" t="s">
        <v>1508</v>
      </c>
      <c r="V1388" s="2" t="s">
        <v>734</v>
      </c>
      <c r="W1388" s="2" t="s">
        <v>105</v>
      </c>
      <c r="X1388" s="2" t="s">
        <v>976</v>
      </c>
      <c r="Y1388" s="2" t="s">
        <v>2504</v>
      </c>
      <c r="Z1388" s="4">
        <v>131</v>
      </c>
      <c r="AA1388" s="4">
        <f>=ROUNDDOWN(32.75,0)</f>
      </c>
      <c r="AB1388" s="5">
        <v>4</v>
      </c>
      <c r="AC1388" s="2" t="s">
        <v>559</v>
      </c>
      <c r="AD1388" s="4">
        <v>110</v>
      </c>
      <c r="AE1388" s="4">
        <v>110</v>
      </c>
      <c r="AF1388" s="6">
        <v>67</v>
      </c>
      <c r="AG1388" s="6"/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>
        <v>0</v>
      </c>
      <c r="AP1388" s="4"/>
      <c r="AQ1388" s="8"/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/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/>
      <c r="BJ1388" s="4">
        <v>2</v>
      </c>
      <c r="BK1388" s="8">
        <v>143.91</v>
      </c>
      <c r="BL1388" s="2" t="s">
        <v>3827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3091</v>
      </c>
      <c r="BX1388" s="2" t="s">
        <v>4011</v>
      </c>
      <c r="BY1388" s="2" t="s">
        <v>112</v>
      </c>
      <c r="BZ1388" s="2" t="s">
        <v>100</v>
      </c>
    </row>
    <row r="1389">
      <c r="A1389" s="2" t="s">
        <v>4432</v>
      </c>
      <c r="B1389" s="2" t="s">
        <v>87</v>
      </c>
      <c r="C1389" s="2" t="s">
        <v>4104</v>
      </c>
      <c r="D1389" s="2" t="s">
        <v>3079</v>
      </c>
      <c r="E1389" s="2" t="s">
        <v>3176</v>
      </c>
      <c r="F1389" s="2" t="s">
        <v>4433</v>
      </c>
      <c r="G1389" s="2" t="s">
        <v>4433</v>
      </c>
      <c r="H1389" s="2" t="s">
        <v>4433</v>
      </c>
      <c r="I1389" s="2" t="s">
        <v>4434</v>
      </c>
      <c r="J1389" s="2" t="s">
        <v>785</v>
      </c>
      <c r="K1389" s="2" t="s">
        <v>1263</v>
      </c>
      <c r="L1389" s="3">
        <v>58.57</v>
      </c>
      <c r="M1389" s="3">
        <v>61.5</v>
      </c>
      <c r="N1389" s="3">
        <v>129.99</v>
      </c>
      <c r="O1389" s="2" t="s">
        <v>473</v>
      </c>
      <c r="P1389" s="2" t="s">
        <v>447</v>
      </c>
      <c r="Q1389" s="2" t="s">
        <v>99</v>
      </c>
      <c r="R1389" s="2" t="s">
        <v>100</v>
      </c>
      <c r="S1389" s="2" t="s">
        <v>4435</v>
      </c>
      <c r="T1389" s="2" t="s">
        <v>359</v>
      </c>
      <c r="U1389" s="2" t="s">
        <v>1508</v>
      </c>
      <c r="V1389" s="2" t="s">
        <v>4187</v>
      </c>
      <c r="W1389" s="2" t="s">
        <v>1064</v>
      </c>
      <c r="X1389" s="2" t="s">
        <v>104</v>
      </c>
      <c r="Y1389" s="2" t="s">
        <v>4436</v>
      </c>
      <c r="Z1389" s="4">
        <v>55</v>
      </c>
      <c r="AA1389" s="4">
        <f>=ROUNDDOWN(14.8648648648649,0)</f>
      </c>
      <c r="AB1389" s="5">
        <v>3.7</v>
      </c>
      <c r="AC1389" s="2" t="s">
        <v>100</v>
      </c>
      <c r="AD1389" s="4"/>
      <c r="AE1389" s="4"/>
      <c r="AF1389" s="6">
        <v>69</v>
      </c>
      <c r="AG1389" s="6"/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>
        <v>0</v>
      </c>
      <c r="AP1389" s="4"/>
      <c r="AQ1389" s="8"/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/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/>
      <c r="BJ1389" s="4">
        <v>4</v>
      </c>
      <c r="BK1389" s="8">
        <v>261.37</v>
      </c>
      <c r="BL1389" s="2" t="s">
        <v>4437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3088</v>
      </c>
      <c r="BV1389" s="2" t="s">
        <v>97</v>
      </c>
      <c r="BW1389" s="2" t="s">
        <v>100</v>
      </c>
      <c r="BX1389" s="2" t="s">
        <v>100</v>
      </c>
      <c r="BY1389" s="2" t="s">
        <v>112</v>
      </c>
      <c r="BZ1389" s="2" t="s">
        <v>100</v>
      </c>
    </row>
    <row r="1390">
      <c r="A1390" s="2" t="s">
        <v>4438</v>
      </c>
      <c r="B1390" s="2" t="s">
        <v>87</v>
      </c>
      <c r="C1390" s="2" t="s">
        <v>4104</v>
      </c>
      <c r="D1390" s="2" t="s">
        <v>3079</v>
      </c>
      <c r="E1390" s="2" t="s">
        <v>3176</v>
      </c>
      <c r="F1390" s="2" t="s">
        <v>4433</v>
      </c>
      <c r="G1390" s="2" t="s">
        <v>4433</v>
      </c>
      <c r="H1390" s="2" t="s">
        <v>4433</v>
      </c>
      <c r="I1390" s="2" t="s">
        <v>4434</v>
      </c>
      <c r="J1390" s="2" t="s">
        <v>795</v>
      </c>
      <c r="K1390" s="2" t="s">
        <v>1263</v>
      </c>
      <c r="L1390" s="3">
        <v>71.57</v>
      </c>
      <c r="M1390" s="3">
        <v>75.15</v>
      </c>
      <c r="N1390" s="3">
        <v>159.99</v>
      </c>
      <c r="O1390" s="2" t="s">
        <v>473</v>
      </c>
      <c r="P1390" s="2" t="s">
        <v>447</v>
      </c>
      <c r="Q1390" s="2" t="s">
        <v>99</v>
      </c>
      <c r="R1390" s="2" t="s">
        <v>100</v>
      </c>
      <c r="S1390" s="2" t="s">
        <v>4435</v>
      </c>
      <c r="T1390" s="2" t="s">
        <v>359</v>
      </c>
      <c r="U1390" s="2" t="s">
        <v>1508</v>
      </c>
      <c r="V1390" s="2" t="s">
        <v>4187</v>
      </c>
      <c r="W1390" s="2" t="s">
        <v>1064</v>
      </c>
      <c r="X1390" s="2" t="s">
        <v>104</v>
      </c>
      <c r="Y1390" s="2" t="s">
        <v>4436</v>
      </c>
      <c r="Z1390" s="4">
        <v>81</v>
      </c>
      <c r="AA1390" s="4">
        <f>=ROUNDDOWN(90,0)</f>
      </c>
      <c r="AB1390" s="5">
        <v>0.9</v>
      </c>
      <c r="AC1390" s="2" t="s">
        <v>100</v>
      </c>
      <c r="AD1390" s="4"/>
      <c r="AE1390" s="4"/>
      <c r="AF1390" s="6">
        <v>69</v>
      </c>
      <c r="AG1390" s="6"/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>
        <v>0</v>
      </c>
      <c r="AP1390" s="4"/>
      <c r="AQ1390" s="8"/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/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/>
      <c r="BJ1390" s="4"/>
      <c r="BK1390" s="8"/>
      <c r="BL1390" s="2" t="s">
        <v>100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3088</v>
      </c>
      <c r="BV1390" s="2" t="s">
        <v>97</v>
      </c>
      <c r="BW1390" s="2" t="s">
        <v>100</v>
      </c>
      <c r="BX1390" s="2" t="s">
        <v>100</v>
      </c>
      <c r="BY1390" s="2" t="s">
        <v>112</v>
      </c>
      <c r="BZ1390" s="2" t="s">
        <v>100</v>
      </c>
    </row>
    <row r="1391">
      <c r="A1391" s="2" t="s">
        <v>4439</v>
      </c>
      <c r="B1391" s="2" t="s">
        <v>87</v>
      </c>
      <c r="C1391" s="2" t="s">
        <v>4104</v>
      </c>
      <c r="D1391" s="2" t="s">
        <v>3079</v>
      </c>
      <c r="E1391" s="2" t="s">
        <v>3176</v>
      </c>
      <c r="F1391" s="2" t="s">
        <v>4210</v>
      </c>
      <c r="G1391" s="2" t="s">
        <v>4210</v>
      </c>
      <c r="H1391" s="2" t="s">
        <v>4210</v>
      </c>
      <c r="I1391" s="2" t="s">
        <v>4440</v>
      </c>
      <c r="J1391" s="2" t="s">
        <v>785</v>
      </c>
      <c r="K1391" s="2" t="s">
        <v>96</v>
      </c>
      <c r="L1391" s="3">
        <v>51.3</v>
      </c>
      <c r="M1391" s="3">
        <v>53.86</v>
      </c>
      <c r="N1391" s="3">
        <v>109.99</v>
      </c>
      <c r="O1391" s="2" t="s">
        <v>97</v>
      </c>
      <c r="P1391" s="2" t="s">
        <v>447</v>
      </c>
      <c r="Q1391" s="2" t="s">
        <v>99</v>
      </c>
      <c r="R1391" s="2" t="s">
        <v>100</v>
      </c>
      <c r="S1391" s="2" t="s">
        <v>4212</v>
      </c>
      <c r="T1391" s="2" t="s">
        <v>359</v>
      </c>
      <c r="U1391" s="2" t="s">
        <v>1508</v>
      </c>
      <c r="V1391" s="2" t="s">
        <v>4142</v>
      </c>
      <c r="W1391" s="2" t="s">
        <v>1064</v>
      </c>
      <c r="X1391" s="2" t="s">
        <v>898</v>
      </c>
      <c r="Y1391" s="2" t="s">
        <v>4213</v>
      </c>
      <c r="Z1391" s="4">
        <v>100</v>
      </c>
      <c r="AA1391" s="4">
        <f>=ROUNDDOWN(33.3333333333333,0)</f>
      </c>
      <c r="AB1391" s="5">
        <v>3</v>
      </c>
      <c r="AC1391" s="2" t="s">
        <v>100</v>
      </c>
      <c r="AD1391" s="4"/>
      <c r="AE1391" s="4"/>
      <c r="AF1391" s="6">
        <v>69</v>
      </c>
      <c r="AG1391" s="6"/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>
        <v>0</v>
      </c>
      <c r="AP1391" s="4"/>
      <c r="AQ1391" s="8"/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/>
      <c r="BJ1391" s="4">
        <v>2</v>
      </c>
      <c r="BK1391" s="8">
        <v>113.77</v>
      </c>
      <c r="BL1391" s="2" t="s">
        <v>4304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4204</v>
      </c>
      <c r="BX1391" s="2" t="s">
        <v>4441</v>
      </c>
      <c r="BY1391" s="2" t="s">
        <v>112</v>
      </c>
      <c r="BZ1391" s="2" t="s">
        <v>100</v>
      </c>
    </row>
    <row r="1392">
      <c r="A1392" s="2" t="s">
        <v>4442</v>
      </c>
      <c r="B1392" s="2" t="s">
        <v>87</v>
      </c>
      <c r="C1392" s="2" t="s">
        <v>4104</v>
      </c>
      <c r="D1392" s="2" t="s">
        <v>3079</v>
      </c>
      <c r="E1392" s="2" t="s">
        <v>3176</v>
      </c>
      <c r="F1392" s="2" t="s">
        <v>4210</v>
      </c>
      <c r="G1392" s="2" t="s">
        <v>4210</v>
      </c>
      <c r="H1392" s="2" t="s">
        <v>4210</v>
      </c>
      <c r="I1392" s="2" t="s">
        <v>4440</v>
      </c>
      <c r="J1392" s="2" t="s">
        <v>795</v>
      </c>
      <c r="K1392" s="2" t="s">
        <v>96</v>
      </c>
      <c r="L1392" s="3">
        <v>65.55</v>
      </c>
      <c r="M1392" s="3">
        <v>68.83</v>
      </c>
      <c r="N1392" s="3">
        <v>139.99</v>
      </c>
      <c r="O1392" s="2" t="s">
        <v>97</v>
      </c>
      <c r="P1392" s="2" t="s">
        <v>447</v>
      </c>
      <c r="Q1392" s="2" t="s">
        <v>99</v>
      </c>
      <c r="R1392" s="2" t="s">
        <v>100</v>
      </c>
      <c r="S1392" s="2" t="s">
        <v>4212</v>
      </c>
      <c r="T1392" s="2" t="s">
        <v>359</v>
      </c>
      <c r="U1392" s="2" t="s">
        <v>1508</v>
      </c>
      <c r="V1392" s="2" t="s">
        <v>4142</v>
      </c>
      <c r="W1392" s="2" t="s">
        <v>1064</v>
      </c>
      <c r="X1392" s="2" t="s">
        <v>898</v>
      </c>
      <c r="Y1392" s="2" t="s">
        <v>4213</v>
      </c>
      <c r="Z1392" s="4">
        <v>96</v>
      </c>
      <c r="AA1392" s="4">
        <f>=ROUNDDOWN(32,0)</f>
      </c>
      <c r="AB1392" s="5">
        <v>3</v>
      </c>
      <c r="AC1392" s="2" t="s">
        <v>100</v>
      </c>
      <c r="AD1392" s="4"/>
      <c r="AE1392" s="4"/>
      <c r="AF1392" s="6">
        <v>69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>
        <v>0</v>
      </c>
      <c r="AP1392" s="4"/>
      <c r="AQ1392" s="8"/>
      <c r="AR1392" s="4"/>
      <c r="AS1392" s="8"/>
      <c r="AT1392" s="7"/>
      <c r="AU1392" s="7"/>
      <c r="AV1392" s="4" t="s">
        <v>100</v>
      </c>
      <c r="AW1392" s="8" t="s">
        <v>100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/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/>
      <c r="BJ1392" s="4"/>
      <c r="BK1392" s="8"/>
      <c r="BL1392" s="2" t="s">
        <v>100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109</v>
      </c>
      <c r="BV1392" s="2" t="s">
        <v>97</v>
      </c>
      <c r="BW1392" s="2" t="s">
        <v>4204</v>
      </c>
      <c r="BX1392" s="2" t="s">
        <v>4443</v>
      </c>
      <c r="BY1392" s="2" t="s">
        <v>112</v>
      </c>
      <c r="BZ1392" s="2" t="s">
        <v>100</v>
      </c>
    </row>
    <row r="1393">
      <c r="A1393" s="2" t="s">
        <v>4444</v>
      </c>
      <c r="B1393" s="2" t="s">
        <v>87</v>
      </c>
      <c r="C1393" s="2" t="s">
        <v>4104</v>
      </c>
      <c r="D1393" s="2" t="s">
        <v>3079</v>
      </c>
      <c r="E1393" s="2" t="s">
        <v>3176</v>
      </c>
      <c r="F1393" s="2" t="s">
        <v>4210</v>
      </c>
      <c r="G1393" s="2" t="s">
        <v>4210</v>
      </c>
      <c r="H1393" s="2" t="s">
        <v>4210</v>
      </c>
      <c r="I1393" s="2" t="s">
        <v>4440</v>
      </c>
      <c r="J1393" s="2" t="s">
        <v>785</v>
      </c>
      <c r="K1393" s="2" t="s">
        <v>1263</v>
      </c>
      <c r="L1393" s="3">
        <v>51.3</v>
      </c>
      <c r="M1393" s="3">
        <v>53.86</v>
      </c>
      <c r="N1393" s="3">
        <v>109.99</v>
      </c>
      <c r="O1393" s="2" t="s">
        <v>97</v>
      </c>
      <c r="P1393" s="2" t="s">
        <v>98</v>
      </c>
      <c r="Q1393" s="2" t="s">
        <v>99</v>
      </c>
      <c r="R1393" s="2" t="s">
        <v>100</v>
      </c>
      <c r="S1393" s="2" t="s">
        <v>4217</v>
      </c>
      <c r="T1393" s="2" t="s">
        <v>359</v>
      </c>
      <c r="U1393" s="2" t="s">
        <v>1508</v>
      </c>
      <c r="V1393" s="2" t="s">
        <v>4142</v>
      </c>
      <c r="W1393" s="2" t="s">
        <v>1064</v>
      </c>
      <c r="X1393" s="2" t="s">
        <v>898</v>
      </c>
      <c r="Y1393" s="2" t="s">
        <v>4445</v>
      </c>
      <c r="Z1393" s="4">
        <v>335</v>
      </c>
      <c r="AA1393" s="4">
        <f>=ROUNDDOWN(55.8333333333333,0)</f>
      </c>
      <c r="AB1393" s="5">
        <v>6</v>
      </c>
      <c r="AC1393" s="2" t="s">
        <v>1377</v>
      </c>
      <c r="AD1393" s="4">
        <v>30</v>
      </c>
      <c r="AE1393" s="4">
        <v>80</v>
      </c>
      <c r="AF1393" s="6">
        <v>69</v>
      </c>
      <c r="AG1393" s="6">
        <v>77</v>
      </c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>
        <v>0</v>
      </c>
      <c r="AP1393" s="4"/>
      <c r="AQ1393" s="8"/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/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/>
      <c r="BJ1393" s="4">
        <v>3</v>
      </c>
      <c r="BK1393" s="8">
        <v>168.55</v>
      </c>
      <c r="BL1393" s="2" t="s">
        <v>560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109</v>
      </c>
      <c r="BV1393" s="2" t="s">
        <v>97</v>
      </c>
      <c r="BW1393" s="2" t="s">
        <v>4204</v>
      </c>
      <c r="BX1393" s="2" t="s">
        <v>4446</v>
      </c>
      <c r="BY1393" s="2" t="s">
        <v>112</v>
      </c>
      <c r="BZ1393" s="2" t="s">
        <v>100</v>
      </c>
    </row>
    <row r="1394">
      <c r="A1394" s="2" t="s">
        <v>4447</v>
      </c>
      <c r="B1394" s="2" t="s">
        <v>87</v>
      </c>
      <c r="C1394" s="2" t="s">
        <v>4104</v>
      </c>
      <c r="D1394" s="2" t="s">
        <v>3079</v>
      </c>
      <c r="E1394" s="2" t="s">
        <v>3176</v>
      </c>
      <c r="F1394" s="2" t="s">
        <v>4210</v>
      </c>
      <c r="G1394" s="2" t="s">
        <v>4210</v>
      </c>
      <c r="H1394" s="2" t="s">
        <v>4210</v>
      </c>
      <c r="I1394" s="2" t="s">
        <v>4440</v>
      </c>
      <c r="J1394" s="2" t="s">
        <v>795</v>
      </c>
      <c r="K1394" s="2" t="s">
        <v>1263</v>
      </c>
      <c r="L1394" s="3">
        <v>65.55</v>
      </c>
      <c r="M1394" s="3">
        <v>68.83</v>
      </c>
      <c r="N1394" s="3">
        <v>139.99</v>
      </c>
      <c r="O1394" s="2" t="s">
        <v>97</v>
      </c>
      <c r="P1394" s="2" t="s">
        <v>98</v>
      </c>
      <c r="Q1394" s="2" t="s">
        <v>99</v>
      </c>
      <c r="R1394" s="2" t="s">
        <v>100</v>
      </c>
      <c r="S1394" s="2" t="s">
        <v>4217</v>
      </c>
      <c r="T1394" s="2" t="s">
        <v>359</v>
      </c>
      <c r="U1394" s="2" t="s">
        <v>1508</v>
      </c>
      <c r="V1394" s="2" t="s">
        <v>4142</v>
      </c>
      <c r="W1394" s="2" t="s">
        <v>1064</v>
      </c>
      <c r="X1394" s="2" t="s">
        <v>898</v>
      </c>
      <c r="Y1394" s="2" t="s">
        <v>4213</v>
      </c>
      <c r="Z1394" s="4">
        <v>552</v>
      </c>
      <c r="AA1394" s="4">
        <f>=ROUNDDOWN(55.2,0)</f>
      </c>
      <c r="AB1394" s="5">
        <v>10</v>
      </c>
      <c r="AC1394" s="2" t="s">
        <v>4448</v>
      </c>
      <c r="AD1394" s="4">
        <v>100</v>
      </c>
      <c r="AE1394" s="4">
        <v>100</v>
      </c>
      <c r="AF1394" s="6">
        <v>69</v>
      </c>
      <c r="AG1394" s="6">
        <v>77</v>
      </c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>
        <v>0</v>
      </c>
      <c r="AP1394" s="4"/>
      <c r="AQ1394" s="8"/>
      <c r="AR1394" s="4"/>
      <c r="AS1394" s="8"/>
      <c r="AT1394" s="7"/>
      <c r="AU1394" s="7"/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/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/>
      <c r="BJ1394" s="4">
        <v>5</v>
      </c>
      <c r="BK1394" s="8">
        <v>348.79</v>
      </c>
      <c r="BL1394" s="2" t="s">
        <v>4449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4204</v>
      </c>
      <c r="BX1394" s="2" t="s">
        <v>4450</v>
      </c>
      <c r="BY1394" s="2" t="s">
        <v>112</v>
      </c>
      <c r="BZ1394" s="2" t="s">
        <v>100</v>
      </c>
    </row>
    <row r="1395">
      <c r="A1395" s="2" t="s">
        <v>4451</v>
      </c>
      <c r="B1395" s="2" t="s">
        <v>87</v>
      </c>
      <c r="C1395" s="2" t="s">
        <v>4104</v>
      </c>
      <c r="D1395" s="2" t="s">
        <v>3079</v>
      </c>
      <c r="E1395" s="2" t="s">
        <v>3176</v>
      </c>
      <c r="F1395" s="2" t="s">
        <v>4210</v>
      </c>
      <c r="G1395" s="2" t="s">
        <v>4210</v>
      </c>
      <c r="H1395" s="2" t="s">
        <v>4210</v>
      </c>
      <c r="I1395" s="2" t="s">
        <v>4440</v>
      </c>
      <c r="J1395" s="2" t="s">
        <v>785</v>
      </c>
      <c r="K1395" s="2" t="s">
        <v>198</v>
      </c>
      <c r="L1395" s="3">
        <v>51.3</v>
      </c>
      <c r="M1395" s="3">
        <v>53.86</v>
      </c>
      <c r="N1395" s="3">
        <v>109.99</v>
      </c>
      <c r="O1395" s="2" t="s">
        <v>97</v>
      </c>
      <c r="P1395" s="2" t="s">
        <v>281</v>
      </c>
      <c r="Q1395" s="2" t="s">
        <v>99</v>
      </c>
      <c r="R1395" s="2" t="s">
        <v>100</v>
      </c>
      <c r="S1395" s="2" t="s">
        <v>4225</v>
      </c>
      <c r="T1395" s="2" t="s">
        <v>359</v>
      </c>
      <c r="U1395" s="2" t="s">
        <v>1508</v>
      </c>
      <c r="V1395" s="2" t="s">
        <v>4142</v>
      </c>
      <c r="W1395" s="2" t="s">
        <v>1064</v>
      </c>
      <c r="X1395" s="2" t="s">
        <v>898</v>
      </c>
      <c r="Y1395" s="2" t="s">
        <v>4226</v>
      </c>
      <c r="Z1395" s="4">
        <v>605</v>
      </c>
      <c r="AA1395" s="4">
        <f>=ROUNDDOWN(28.8095238095238,0)</f>
      </c>
      <c r="AB1395" s="5">
        <v>21</v>
      </c>
      <c r="AC1395" s="2" t="s">
        <v>400</v>
      </c>
      <c r="AD1395" s="4">
        <v>70</v>
      </c>
      <c r="AE1395" s="4">
        <v>610</v>
      </c>
      <c r="AF1395" s="6">
        <v>69</v>
      </c>
      <c r="AG1395" s="6">
        <v>77</v>
      </c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/>
      <c r="AQ1395" s="8"/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/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/>
      <c r="BJ1395" s="4">
        <v>10</v>
      </c>
      <c r="BK1395" s="8">
        <v>567.54</v>
      </c>
      <c r="BL1395" s="2" t="s">
        <v>4452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109</v>
      </c>
      <c r="BV1395" s="2" t="s">
        <v>97</v>
      </c>
      <c r="BW1395" s="2" t="s">
        <v>4453</v>
      </c>
      <c r="BX1395" s="2" t="s">
        <v>3358</v>
      </c>
      <c r="BY1395" s="2" t="s">
        <v>112</v>
      </c>
      <c r="BZ1395" s="2" t="s">
        <v>100</v>
      </c>
    </row>
    <row r="1396">
      <c r="A1396" s="2" t="s">
        <v>4454</v>
      </c>
      <c r="B1396" s="2" t="s">
        <v>87</v>
      </c>
      <c r="C1396" s="2" t="s">
        <v>4104</v>
      </c>
      <c r="D1396" s="2" t="s">
        <v>3079</v>
      </c>
      <c r="E1396" s="2" t="s">
        <v>3176</v>
      </c>
      <c r="F1396" s="2" t="s">
        <v>4210</v>
      </c>
      <c r="G1396" s="2" t="s">
        <v>4210</v>
      </c>
      <c r="H1396" s="2" t="s">
        <v>4210</v>
      </c>
      <c r="I1396" s="2" t="s">
        <v>4440</v>
      </c>
      <c r="J1396" s="2" t="s">
        <v>795</v>
      </c>
      <c r="K1396" s="2" t="s">
        <v>198</v>
      </c>
      <c r="L1396" s="3">
        <v>65.55</v>
      </c>
      <c r="M1396" s="3">
        <v>68.83</v>
      </c>
      <c r="N1396" s="3">
        <v>139.99</v>
      </c>
      <c r="O1396" s="2" t="s">
        <v>97</v>
      </c>
      <c r="P1396" s="2" t="s">
        <v>281</v>
      </c>
      <c r="Q1396" s="2" t="s">
        <v>99</v>
      </c>
      <c r="R1396" s="2" t="s">
        <v>100</v>
      </c>
      <c r="S1396" s="2" t="s">
        <v>4225</v>
      </c>
      <c r="T1396" s="2" t="s">
        <v>359</v>
      </c>
      <c r="U1396" s="2" t="s">
        <v>1508</v>
      </c>
      <c r="V1396" s="2" t="s">
        <v>4142</v>
      </c>
      <c r="W1396" s="2" t="s">
        <v>1064</v>
      </c>
      <c r="X1396" s="2" t="s">
        <v>898</v>
      </c>
      <c r="Y1396" s="2" t="s">
        <v>4226</v>
      </c>
      <c r="Z1396" s="4">
        <v>1087</v>
      </c>
      <c r="AA1396" s="4">
        <f>=ROUNDDOWN(57.2105263157895,0)</f>
      </c>
      <c r="AB1396" s="5">
        <v>19</v>
      </c>
      <c r="AC1396" s="2" t="s">
        <v>100</v>
      </c>
      <c r="AD1396" s="4"/>
      <c r="AE1396" s="4"/>
      <c r="AF1396" s="6">
        <v>69</v>
      </c>
      <c r="AG1396" s="6">
        <v>77</v>
      </c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>
        <v>0</v>
      </c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/>
      <c r="BJ1396" s="4">
        <v>4</v>
      </c>
      <c r="BK1396" s="8">
        <v>271.15</v>
      </c>
      <c r="BL1396" s="2" t="s">
        <v>725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2238</v>
      </c>
      <c r="BX1396" s="2" t="s">
        <v>2374</v>
      </c>
      <c r="BY1396" s="2" t="s">
        <v>112</v>
      </c>
      <c r="BZ1396" s="2" t="s">
        <v>100</v>
      </c>
    </row>
    <row r="1397">
      <c r="A1397" s="2" t="s">
        <v>4455</v>
      </c>
      <c r="B1397" s="2" t="s">
        <v>87</v>
      </c>
      <c r="C1397" s="2" t="s">
        <v>4104</v>
      </c>
      <c r="D1397" s="2" t="s">
        <v>3079</v>
      </c>
      <c r="E1397" s="2" t="s">
        <v>3176</v>
      </c>
      <c r="F1397" s="2" t="s">
        <v>4210</v>
      </c>
      <c r="G1397" s="2" t="s">
        <v>4210</v>
      </c>
      <c r="H1397" s="2" t="s">
        <v>4210</v>
      </c>
      <c r="I1397" s="2" t="s">
        <v>4440</v>
      </c>
      <c r="J1397" s="2" t="s">
        <v>785</v>
      </c>
      <c r="K1397" s="2" t="s">
        <v>4229</v>
      </c>
      <c r="L1397" s="3">
        <v>51.3</v>
      </c>
      <c r="M1397" s="3">
        <v>53.86</v>
      </c>
      <c r="N1397" s="3">
        <v>109.99</v>
      </c>
      <c r="O1397" s="2" t="s">
        <v>97</v>
      </c>
      <c r="P1397" s="2" t="s">
        <v>242</v>
      </c>
      <c r="Q1397" s="2" t="s">
        <v>99</v>
      </c>
      <c r="R1397" s="2" t="s">
        <v>100</v>
      </c>
      <c r="S1397" s="2" t="s">
        <v>4230</v>
      </c>
      <c r="T1397" s="2" t="s">
        <v>359</v>
      </c>
      <c r="U1397" s="2" t="s">
        <v>1508</v>
      </c>
      <c r="V1397" s="2" t="s">
        <v>4142</v>
      </c>
      <c r="W1397" s="2" t="s">
        <v>1064</v>
      </c>
      <c r="X1397" s="2" t="s">
        <v>898</v>
      </c>
      <c r="Y1397" s="2" t="s">
        <v>4231</v>
      </c>
      <c r="Z1397" s="4">
        <v>463</v>
      </c>
      <c r="AA1397" s="4">
        <f>=ROUNDDOWN(38.5833333333333,0)</f>
      </c>
      <c r="AB1397" s="5">
        <v>12</v>
      </c>
      <c r="AC1397" s="2" t="s">
        <v>429</v>
      </c>
      <c r="AD1397" s="4">
        <v>100</v>
      </c>
      <c r="AE1397" s="4">
        <v>150</v>
      </c>
      <c r="AF1397" s="6">
        <v>69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>
        <v>0</v>
      </c>
      <c r="AP1397" s="4"/>
      <c r="AQ1397" s="8"/>
      <c r="AR1397" s="4"/>
      <c r="AS1397" s="8"/>
      <c r="AT1397" s="7"/>
      <c r="AU1397" s="7"/>
      <c r="AV1397" s="4" t="s">
        <v>100</v>
      </c>
      <c r="AW1397" s="8" t="s">
        <v>100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/>
      <c r="BJ1397" s="4">
        <v>10</v>
      </c>
      <c r="BK1397" s="8">
        <v>533.72</v>
      </c>
      <c r="BL1397" s="2" t="s">
        <v>4456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1221</v>
      </c>
      <c r="BX1397" s="2" t="s">
        <v>100</v>
      </c>
      <c r="BY1397" s="2" t="s">
        <v>112</v>
      </c>
      <c r="BZ1397" s="2" t="s">
        <v>100</v>
      </c>
    </row>
    <row r="1398">
      <c r="A1398" s="2" t="s">
        <v>4457</v>
      </c>
      <c r="B1398" s="2" t="s">
        <v>87</v>
      </c>
      <c r="C1398" s="2" t="s">
        <v>4104</v>
      </c>
      <c r="D1398" s="2" t="s">
        <v>3079</v>
      </c>
      <c r="E1398" s="2" t="s">
        <v>3176</v>
      </c>
      <c r="F1398" s="2" t="s">
        <v>4210</v>
      </c>
      <c r="G1398" s="2" t="s">
        <v>4210</v>
      </c>
      <c r="H1398" s="2" t="s">
        <v>4210</v>
      </c>
      <c r="I1398" s="2" t="s">
        <v>4440</v>
      </c>
      <c r="J1398" s="2" t="s">
        <v>795</v>
      </c>
      <c r="K1398" s="2" t="s">
        <v>4229</v>
      </c>
      <c r="L1398" s="3">
        <v>65.55</v>
      </c>
      <c r="M1398" s="3">
        <v>68.83</v>
      </c>
      <c r="N1398" s="3">
        <v>139.99</v>
      </c>
      <c r="O1398" s="2" t="s">
        <v>97</v>
      </c>
      <c r="P1398" s="2" t="s">
        <v>242</v>
      </c>
      <c r="Q1398" s="2" t="s">
        <v>99</v>
      </c>
      <c r="R1398" s="2" t="s">
        <v>100</v>
      </c>
      <c r="S1398" s="2" t="s">
        <v>4230</v>
      </c>
      <c r="T1398" s="2" t="s">
        <v>359</v>
      </c>
      <c r="U1398" s="2" t="s">
        <v>1508</v>
      </c>
      <c r="V1398" s="2" t="s">
        <v>4142</v>
      </c>
      <c r="W1398" s="2" t="s">
        <v>1064</v>
      </c>
      <c r="X1398" s="2" t="s">
        <v>898</v>
      </c>
      <c r="Y1398" s="2" t="s">
        <v>4231</v>
      </c>
      <c r="Z1398" s="4">
        <v>500</v>
      </c>
      <c r="AA1398" s="4">
        <f>=ROUNDDOWN(45.4545454545455,0)</f>
      </c>
      <c r="AB1398" s="5">
        <v>11</v>
      </c>
      <c r="AC1398" s="2" t="s">
        <v>2555</v>
      </c>
      <c r="AD1398" s="4">
        <v>50</v>
      </c>
      <c r="AE1398" s="4">
        <v>50</v>
      </c>
      <c r="AF1398" s="6">
        <v>69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>
        <v>0</v>
      </c>
      <c r="AP1398" s="4"/>
      <c r="AQ1398" s="8"/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/>
      <c r="BJ1398" s="4">
        <v>7</v>
      </c>
      <c r="BK1398" s="8">
        <v>452.33</v>
      </c>
      <c r="BL1398" s="2" t="s">
        <v>4458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1221</v>
      </c>
      <c r="BX1398" s="2" t="s">
        <v>100</v>
      </c>
      <c r="BY1398" s="2" t="s">
        <v>112</v>
      </c>
      <c r="BZ1398" s="2" t="s">
        <v>100</v>
      </c>
    </row>
    <row r="1399">
      <c r="A1399" s="2" t="s">
        <v>4459</v>
      </c>
      <c r="B1399" s="2" t="s">
        <v>87</v>
      </c>
      <c r="C1399" s="2" t="s">
        <v>4104</v>
      </c>
      <c r="D1399" s="2" t="s">
        <v>3079</v>
      </c>
      <c r="E1399" s="2" t="s">
        <v>3176</v>
      </c>
      <c r="F1399" s="2" t="s">
        <v>4236</v>
      </c>
      <c r="G1399" s="2" t="s">
        <v>4236</v>
      </c>
      <c r="H1399" s="2" t="s">
        <v>4236</v>
      </c>
      <c r="I1399" s="2" t="s">
        <v>4460</v>
      </c>
      <c r="J1399" s="2" t="s">
        <v>785</v>
      </c>
      <c r="K1399" s="2" t="s">
        <v>340</v>
      </c>
      <c r="L1399" s="3">
        <v>55</v>
      </c>
      <c r="M1399" s="3">
        <v>57.75</v>
      </c>
      <c r="N1399" s="3">
        <v>109.99</v>
      </c>
      <c r="O1399" s="2" t="s">
        <v>97</v>
      </c>
      <c r="P1399" s="2" t="s">
        <v>242</v>
      </c>
      <c r="Q1399" s="2" t="s">
        <v>99</v>
      </c>
      <c r="R1399" s="2" t="s">
        <v>100</v>
      </c>
      <c r="S1399" s="2" t="s">
        <v>4237</v>
      </c>
      <c r="T1399" s="2" t="s">
        <v>359</v>
      </c>
      <c r="U1399" s="2" t="s">
        <v>1508</v>
      </c>
      <c r="V1399" s="2" t="s">
        <v>645</v>
      </c>
      <c r="W1399" s="2" t="s">
        <v>3803</v>
      </c>
      <c r="X1399" s="2" t="s">
        <v>976</v>
      </c>
      <c r="Y1399" s="2" t="s">
        <v>4146</v>
      </c>
      <c r="Z1399" s="4">
        <v>400</v>
      </c>
      <c r="AA1399" s="4">
        <f>=ROUNDDOWN(23.5294117647059,0)</f>
      </c>
      <c r="AB1399" s="5">
        <v>17</v>
      </c>
      <c r="AC1399" s="2" t="s">
        <v>680</v>
      </c>
      <c r="AD1399" s="4">
        <v>100</v>
      </c>
      <c r="AE1399" s="4">
        <v>570</v>
      </c>
      <c r="AF1399" s="6">
        <v>67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/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/>
      <c r="BJ1399" s="4">
        <v>16</v>
      </c>
      <c r="BK1399" s="8">
        <v>968.06</v>
      </c>
      <c r="BL1399" s="2" t="s">
        <v>4183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270</v>
      </c>
      <c r="BX1399" s="2" t="s">
        <v>2853</v>
      </c>
      <c r="BY1399" s="2" t="s">
        <v>112</v>
      </c>
      <c r="BZ1399" s="2" t="s">
        <v>100</v>
      </c>
    </row>
    <row r="1400">
      <c r="A1400" s="2" t="s">
        <v>4461</v>
      </c>
      <c r="B1400" s="2" t="s">
        <v>87</v>
      </c>
      <c r="C1400" s="2" t="s">
        <v>4104</v>
      </c>
      <c r="D1400" s="2" t="s">
        <v>3079</v>
      </c>
      <c r="E1400" s="2" t="s">
        <v>3176</v>
      </c>
      <c r="F1400" s="2" t="s">
        <v>4236</v>
      </c>
      <c r="G1400" s="2" t="s">
        <v>4236</v>
      </c>
      <c r="H1400" s="2" t="s">
        <v>4236</v>
      </c>
      <c r="I1400" s="2" t="s">
        <v>4460</v>
      </c>
      <c r="J1400" s="2" t="s">
        <v>795</v>
      </c>
      <c r="K1400" s="2" t="s">
        <v>340</v>
      </c>
      <c r="L1400" s="3">
        <v>70</v>
      </c>
      <c r="M1400" s="3">
        <v>73.5</v>
      </c>
      <c r="N1400" s="3">
        <v>139.99</v>
      </c>
      <c r="O1400" s="2" t="s">
        <v>97</v>
      </c>
      <c r="P1400" s="2" t="s">
        <v>242</v>
      </c>
      <c r="Q1400" s="2" t="s">
        <v>99</v>
      </c>
      <c r="R1400" s="2" t="s">
        <v>100</v>
      </c>
      <c r="S1400" s="2" t="s">
        <v>4237</v>
      </c>
      <c r="T1400" s="2" t="s">
        <v>359</v>
      </c>
      <c r="U1400" s="2" t="s">
        <v>1508</v>
      </c>
      <c r="V1400" s="2" t="s">
        <v>645</v>
      </c>
      <c r="W1400" s="2" t="s">
        <v>3803</v>
      </c>
      <c r="X1400" s="2" t="s">
        <v>976</v>
      </c>
      <c r="Y1400" s="2" t="s">
        <v>4146</v>
      </c>
      <c r="Z1400" s="4">
        <v>216</v>
      </c>
      <c r="AA1400" s="4">
        <f>=ROUNDDOWN(19.6363636363636,0)</f>
      </c>
      <c r="AB1400" s="5">
        <v>11</v>
      </c>
      <c r="AC1400" s="2" t="s">
        <v>680</v>
      </c>
      <c r="AD1400" s="4">
        <v>153</v>
      </c>
      <c r="AE1400" s="4">
        <v>465</v>
      </c>
      <c r="AF1400" s="6">
        <v>67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>
        <v>0</v>
      </c>
      <c r="AP1400" s="4"/>
      <c r="AQ1400" s="8"/>
      <c r="AR1400" s="4"/>
      <c r="AS1400" s="8"/>
      <c r="AT1400" s="7"/>
      <c r="AU1400" s="7"/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/>
      <c r="BJ1400" s="4">
        <v>7</v>
      </c>
      <c r="BK1400" s="8">
        <v>533.45</v>
      </c>
      <c r="BL1400" s="2" t="s">
        <v>4452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109</v>
      </c>
      <c r="BV1400" s="2" t="s">
        <v>97</v>
      </c>
      <c r="BW1400" s="2" t="s">
        <v>270</v>
      </c>
      <c r="BX1400" s="2" t="s">
        <v>4462</v>
      </c>
      <c r="BY1400" s="2" t="s">
        <v>112</v>
      </c>
      <c r="BZ1400" s="2" t="s">
        <v>100</v>
      </c>
    </row>
    <row r="1401">
      <c r="A1401" s="2" t="s">
        <v>4463</v>
      </c>
      <c r="B1401" s="2" t="s">
        <v>87</v>
      </c>
      <c r="C1401" s="2" t="s">
        <v>4104</v>
      </c>
      <c r="D1401" s="2" t="s">
        <v>3079</v>
      </c>
      <c r="E1401" s="2" t="s">
        <v>3176</v>
      </c>
      <c r="F1401" s="2" t="s">
        <v>4236</v>
      </c>
      <c r="G1401" s="2" t="s">
        <v>4236</v>
      </c>
      <c r="H1401" s="2" t="s">
        <v>4236</v>
      </c>
      <c r="I1401" s="2" t="s">
        <v>4460</v>
      </c>
      <c r="J1401" s="2" t="s">
        <v>785</v>
      </c>
      <c r="K1401" s="2" t="s">
        <v>96</v>
      </c>
      <c r="L1401" s="3">
        <v>55</v>
      </c>
      <c r="M1401" s="3">
        <v>57.75</v>
      </c>
      <c r="N1401" s="3">
        <v>109.99</v>
      </c>
      <c r="O1401" s="2" t="s">
        <v>97</v>
      </c>
      <c r="P1401" s="2" t="s">
        <v>447</v>
      </c>
      <c r="Q1401" s="2" t="s">
        <v>99</v>
      </c>
      <c r="R1401" s="2" t="s">
        <v>100</v>
      </c>
      <c r="S1401" s="2" t="s">
        <v>4241</v>
      </c>
      <c r="T1401" s="2" t="s">
        <v>359</v>
      </c>
      <c r="U1401" s="2" t="s">
        <v>1508</v>
      </c>
      <c r="V1401" s="2" t="s">
        <v>645</v>
      </c>
      <c r="W1401" s="2" t="s">
        <v>3803</v>
      </c>
      <c r="X1401" s="2" t="s">
        <v>976</v>
      </c>
      <c r="Y1401" s="2" t="s">
        <v>4464</v>
      </c>
      <c r="Z1401" s="4">
        <v>93</v>
      </c>
      <c r="AA1401" s="4">
        <f>=ROUNDDOWN(11.625,0)</f>
      </c>
      <c r="AB1401" s="5">
        <v>8</v>
      </c>
      <c r="AC1401" s="2" t="s">
        <v>100</v>
      </c>
      <c r="AD1401" s="4"/>
      <c r="AE1401" s="4"/>
      <c r="AF1401" s="6">
        <v>67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/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/>
      <c r="BJ1401" s="4">
        <v>8</v>
      </c>
      <c r="BK1401" s="8">
        <v>488.96</v>
      </c>
      <c r="BL1401" s="2" t="s">
        <v>736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3088</v>
      </c>
      <c r="BV1401" s="2" t="s">
        <v>97</v>
      </c>
      <c r="BW1401" s="2" t="s">
        <v>100</v>
      </c>
      <c r="BX1401" s="2" t="s">
        <v>100</v>
      </c>
      <c r="BY1401" s="2" t="s">
        <v>112</v>
      </c>
      <c r="BZ1401" s="2" t="s">
        <v>100</v>
      </c>
    </row>
    <row r="1402">
      <c r="A1402" s="2" t="s">
        <v>4465</v>
      </c>
      <c r="B1402" s="2" t="s">
        <v>87</v>
      </c>
      <c r="C1402" s="2" t="s">
        <v>4104</v>
      </c>
      <c r="D1402" s="2" t="s">
        <v>3079</v>
      </c>
      <c r="E1402" s="2" t="s">
        <v>3176</v>
      </c>
      <c r="F1402" s="2" t="s">
        <v>4236</v>
      </c>
      <c r="G1402" s="2" t="s">
        <v>4236</v>
      </c>
      <c r="H1402" s="2" t="s">
        <v>4236</v>
      </c>
      <c r="I1402" s="2" t="s">
        <v>4460</v>
      </c>
      <c r="J1402" s="2" t="s">
        <v>795</v>
      </c>
      <c r="K1402" s="2" t="s">
        <v>96</v>
      </c>
      <c r="L1402" s="3">
        <v>70</v>
      </c>
      <c r="M1402" s="3">
        <v>73.5</v>
      </c>
      <c r="N1402" s="3">
        <v>139.99</v>
      </c>
      <c r="O1402" s="2" t="s">
        <v>97</v>
      </c>
      <c r="P1402" s="2" t="s">
        <v>447</v>
      </c>
      <c r="Q1402" s="2" t="s">
        <v>99</v>
      </c>
      <c r="R1402" s="2" t="s">
        <v>100</v>
      </c>
      <c r="S1402" s="2" t="s">
        <v>4241</v>
      </c>
      <c r="T1402" s="2" t="s">
        <v>359</v>
      </c>
      <c r="U1402" s="2" t="s">
        <v>1508</v>
      </c>
      <c r="V1402" s="2" t="s">
        <v>645</v>
      </c>
      <c r="W1402" s="2" t="s">
        <v>3803</v>
      </c>
      <c r="X1402" s="2" t="s">
        <v>976</v>
      </c>
      <c r="Y1402" s="2" t="s">
        <v>4466</v>
      </c>
      <c r="Z1402" s="4">
        <v>65</v>
      </c>
      <c r="AA1402" s="4">
        <f>=ROUNDDOWN(16.25,0)</f>
      </c>
      <c r="AB1402" s="5">
        <v>4</v>
      </c>
      <c r="AC1402" s="2" t="s">
        <v>100</v>
      </c>
      <c r="AD1402" s="4"/>
      <c r="AE1402" s="4"/>
      <c r="AF1402" s="6">
        <v>67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/>
      <c r="AQ1402" s="8"/>
      <c r="AR1402" s="4"/>
      <c r="AS1402" s="8"/>
      <c r="AT1402" s="7"/>
      <c r="AU1402" s="7"/>
      <c r="AV1402" s="4" t="s">
        <v>100</v>
      </c>
      <c r="AW1402" s="8" t="s">
        <v>100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/>
      <c r="BC1402" s="4" t="s">
        <v>100</v>
      </c>
      <c r="BD1402" s="8" t="s">
        <v>100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/>
      <c r="BJ1402" s="4">
        <v>2</v>
      </c>
      <c r="BK1402" s="8">
        <v>88.86</v>
      </c>
      <c r="BL1402" s="2" t="s">
        <v>625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3088</v>
      </c>
      <c r="BV1402" s="2" t="s">
        <v>97</v>
      </c>
      <c r="BW1402" s="2" t="s">
        <v>100</v>
      </c>
      <c r="BX1402" s="2" t="s">
        <v>100</v>
      </c>
      <c r="BY1402" s="2" t="s">
        <v>112</v>
      </c>
      <c r="BZ1402" s="2" t="s">
        <v>100</v>
      </c>
    </row>
    <row r="1403">
      <c r="A1403" s="2" t="s">
        <v>4467</v>
      </c>
      <c r="B1403" s="2" t="s">
        <v>87</v>
      </c>
      <c r="C1403" s="2" t="s">
        <v>4104</v>
      </c>
      <c r="D1403" s="2" t="s">
        <v>3079</v>
      </c>
      <c r="E1403" s="2" t="s">
        <v>3176</v>
      </c>
      <c r="F1403" s="2" t="s">
        <v>4236</v>
      </c>
      <c r="G1403" s="2" t="s">
        <v>4236</v>
      </c>
      <c r="H1403" s="2" t="s">
        <v>4236</v>
      </c>
      <c r="I1403" s="2" t="s">
        <v>4460</v>
      </c>
      <c r="J1403" s="2" t="s">
        <v>785</v>
      </c>
      <c r="K1403" s="2" t="s">
        <v>1263</v>
      </c>
      <c r="L1403" s="3">
        <v>55</v>
      </c>
      <c r="M1403" s="3">
        <v>57.74</v>
      </c>
      <c r="N1403" s="3">
        <v>109.99</v>
      </c>
      <c r="O1403" s="2" t="s">
        <v>97</v>
      </c>
      <c r="P1403" s="2" t="s">
        <v>98</v>
      </c>
      <c r="Q1403" s="2" t="s">
        <v>99</v>
      </c>
      <c r="R1403" s="2" t="s">
        <v>100</v>
      </c>
      <c r="S1403" s="2" t="s">
        <v>4246</v>
      </c>
      <c r="T1403" s="2" t="s">
        <v>359</v>
      </c>
      <c r="U1403" s="2" t="s">
        <v>1508</v>
      </c>
      <c r="V1403" s="2" t="s">
        <v>645</v>
      </c>
      <c r="W1403" s="2" t="s">
        <v>3803</v>
      </c>
      <c r="X1403" s="2" t="s">
        <v>976</v>
      </c>
      <c r="Y1403" s="2" t="s">
        <v>4247</v>
      </c>
      <c r="Z1403" s="4">
        <v>281</v>
      </c>
      <c r="AA1403" s="4">
        <f>=ROUNDDOWN(46.8333333333333,0)</f>
      </c>
      <c r="AB1403" s="5">
        <v>6</v>
      </c>
      <c r="AC1403" s="2" t="s">
        <v>100</v>
      </c>
      <c r="AD1403" s="4"/>
      <c r="AE1403" s="4"/>
      <c r="AF1403" s="6">
        <v>67</v>
      </c>
      <c r="AG1403" s="6"/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/>
      <c r="AQ1403" s="8"/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/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/>
      <c r="BJ1403" s="4">
        <v>7</v>
      </c>
      <c r="BK1403" s="8">
        <v>420.66</v>
      </c>
      <c r="BL1403" s="2" t="s">
        <v>4468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3088</v>
      </c>
      <c r="BV1403" s="2" t="s">
        <v>97</v>
      </c>
      <c r="BW1403" s="2" t="s">
        <v>100</v>
      </c>
      <c r="BX1403" s="2" t="s">
        <v>100</v>
      </c>
      <c r="BY1403" s="2" t="s">
        <v>112</v>
      </c>
      <c r="BZ1403" s="2" t="s">
        <v>100</v>
      </c>
    </row>
    <row r="1404">
      <c r="A1404" s="2" t="s">
        <v>4469</v>
      </c>
      <c r="B1404" s="2" t="s">
        <v>87</v>
      </c>
      <c r="C1404" s="2" t="s">
        <v>4104</v>
      </c>
      <c r="D1404" s="2" t="s">
        <v>3079</v>
      </c>
      <c r="E1404" s="2" t="s">
        <v>3176</v>
      </c>
      <c r="F1404" s="2" t="s">
        <v>4236</v>
      </c>
      <c r="G1404" s="2" t="s">
        <v>4236</v>
      </c>
      <c r="H1404" s="2" t="s">
        <v>4236</v>
      </c>
      <c r="I1404" s="2" t="s">
        <v>4460</v>
      </c>
      <c r="J1404" s="2" t="s">
        <v>795</v>
      </c>
      <c r="K1404" s="2" t="s">
        <v>1263</v>
      </c>
      <c r="L1404" s="3">
        <v>70</v>
      </c>
      <c r="M1404" s="3">
        <v>73.49</v>
      </c>
      <c r="N1404" s="3">
        <v>139.99</v>
      </c>
      <c r="O1404" s="2" t="s">
        <v>97</v>
      </c>
      <c r="P1404" s="2" t="s">
        <v>98</v>
      </c>
      <c r="Q1404" s="2" t="s">
        <v>99</v>
      </c>
      <c r="R1404" s="2" t="s">
        <v>100</v>
      </c>
      <c r="S1404" s="2" t="s">
        <v>4246</v>
      </c>
      <c r="T1404" s="2" t="s">
        <v>359</v>
      </c>
      <c r="U1404" s="2" t="s">
        <v>1508</v>
      </c>
      <c r="V1404" s="2" t="s">
        <v>645</v>
      </c>
      <c r="W1404" s="2" t="s">
        <v>3803</v>
      </c>
      <c r="X1404" s="2" t="s">
        <v>976</v>
      </c>
      <c r="Y1404" s="2" t="s">
        <v>4247</v>
      </c>
      <c r="Z1404" s="4">
        <v>226</v>
      </c>
      <c r="AA1404" s="4">
        <f>=ROUNDDOWN(45.2,0)</f>
      </c>
      <c r="AB1404" s="5">
        <v>5</v>
      </c>
      <c r="AC1404" s="2" t="s">
        <v>100</v>
      </c>
      <c r="AD1404" s="4"/>
      <c r="AE1404" s="4"/>
      <c r="AF1404" s="6">
        <v>67</v>
      </c>
      <c r="AG1404" s="6"/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/>
      <c r="AQ1404" s="8"/>
      <c r="AR1404" s="4"/>
      <c r="AS1404" s="8"/>
      <c r="AT1404" s="7"/>
      <c r="AU1404" s="7"/>
      <c r="AV1404" s="4" t="s">
        <v>100</v>
      </c>
      <c r="AW1404" s="8" t="s">
        <v>100</v>
      </c>
      <c r="AX1404" s="4" t="s">
        <v>100</v>
      </c>
      <c r="AY1404" s="8" t="s">
        <v>100</v>
      </c>
      <c r="AZ1404" s="7" t="s">
        <v>100</v>
      </c>
      <c r="BA1404" s="7" t="s">
        <v>100</v>
      </c>
      <c r="BB1404" s="7"/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/>
      <c r="BJ1404" s="4">
        <v>2</v>
      </c>
      <c r="BK1404" s="8">
        <v>158.74</v>
      </c>
      <c r="BL1404" s="2" t="s">
        <v>4470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3088</v>
      </c>
      <c r="BV1404" s="2" t="s">
        <v>97</v>
      </c>
      <c r="BW1404" s="2" t="s">
        <v>100</v>
      </c>
      <c r="BX1404" s="2" t="s">
        <v>100</v>
      </c>
      <c r="BY1404" s="2" t="s">
        <v>112</v>
      </c>
      <c r="BZ1404" s="2" t="s">
        <v>100</v>
      </c>
    </row>
    <row r="1405">
      <c r="A1405" s="2" t="s">
        <v>4471</v>
      </c>
      <c r="B1405" s="2" t="s">
        <v>87</v>
      </c>
      <c r="C1405" s="2" t="s">
        <v>4104</v>
      </c>
      <c r="D1405" s="2" t="s">
        <v>3079</v>
      </c>
      <c r="E1405" s="2" t="s">
        <v>3176</v>
      </c>
      <c r="F1405" s="2" t="s">
        <v>4236</v>
      </c>
      <c r="G1405" s="2" t="s">
        <v>4236</v>
      </c>
      <c r="H1405" s="2" t="s">
        <v>4236</v>
      </c>
      <c r="I1405" s="2" t="s">
        <v>4460</v>
      </c>
      <c r="J1405" s="2" t="s">
        <v>785</v>
      </c>
      <c r="K1405" s="2" t="s">
        <v>198</v>
      </c>
      <c r="L1405" s="3">
        <v>55</v>
      </c>
      <c r="M1405" s="3">
        <v>57.74</v>
      </c>
      <c r="N1405" s="3">
        <v>109.99</v>
      </c>
      <c r="O1405" s="2" t="s">
        <v>97</v>
      </c>
      <c r="P1405" s="2" t="s">
        <v>447</v>
      </c>
      <c r="Q1405" s="2" t="s">
        <v>99</v>
      </c>
      <c r="R1405" s="2" t="s">
        <v>100</v>
      </c>
      <c r="S1405" s="2" t="s">
        <v>4250</v>
      </c>
      <c r="T1405" s="2" t="s">
        <v>359</v>
      </c>
      <c r="U1405" s="2" t="s">
        <v>1508</v>
      </c>
      <c r="V1405" s="2" t="s">
        <v>645</v>
      </c>
      <c r="W1405" s="2" t="s">
        <v>3803</v>
      </c>
      <c r="X1405" s="2" t="s">
        <v>976</v>
      </c>
      <c r="Y1405" s="2" t="s">
        <v>4247</v>
      </c>
      <c r="Z1405" s="4">
        <v>132</v>
      </c>
      <c r="AA1405" s="4">
        <f>=ROUNDDOWN(18.8571428571429,0)</f>
      </c>
      <c r="AB1405" s="5">
        <v>7</v>
      </c>
      <c r="AC1405" s="2" t="s">
        <v>680</v>
      </c>
      <c r="AD1405" s="4">
        <v>176</v>
      </c>
      <c r="AE1405" s="4">
        <v>176</v>
      </c>
      <c r="AF1405" s="6">
        <v>67</v>
      </c>
      <c r="AG1405" s="6"/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 t="s">
        <v>100</v>
      </c>
      <c r="AW1405" s="8" t="s">
        <v>100</v>
      </c>
      <c r="AX1405" s="4" t="s">
        <v>100</v>
      </c>
      <c r="AY1405" s="8" t="s">
        <v>100</v>
      </c>
      <c r="AZ1405" s="7" t="s">
        <v>100</v>
      </c>
      <c r="BA1405" s="7" t="s">
        <v>100</v>
      </c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/>
      <c r="BJ1405" s="4">
        <v>2</v>
      </c>
      <c r="BK1405" s="8">
        <v>124.72</v>
      </c>
      <c r="BL1405" s="2" t="s">
        <v>441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3088</v>
      </c>
      <c r="BV1405" s="2" t="s">
        <v>97</v>
      </c>
      <c r="BW1405" s="2" t="s">
        <v>100</v>
      </c>
      <c r="BX1405" s="2" t="s">
        <v>100</v>
      </c>
      <c r="BY1405" s="2" t="s">
        <v>112</v>
      </c>
      <c r="BZ1405" s="2" t="s">
        <v>100</v>
      </c>
    </row>
    <row r="1406">
      <c r="A1406" s="2" t="s">
        <v>4472</v>
      </c>
      <c r="B1406" s="2" t="s">
        <v>87</v>
      </c>
      <c r="C1406" s="2" t="s">
        <v>4104</v>
      </c>
      <c r="D1406" s="2" t="s">
        <v>3079</v>
      </c>
      <c r="E1406" s="2" t="s">
        <v>3176</v>
      </c>
      <c r="F1406" s="2" t="s">
        <v>4236</v>
      </c>
      <c r="G1406" s="2" t="s">
        <v>4236</v>
      </c>
      <c r="H1406" s="2" t="s">
        <v>4236</v>
      </c>
      <c r="I1406" s="2" t="s">
        <v>4460</v>
      </c>
      <c r="J1406" s="2" t="s">
        <v>795</v>
      </c>
      <c r="K1406" s="2" t="s">
        <v>198</v>
      </c>
      <c r="L1406" s="3">
        <v>70</v>
      </c>
      <c r="M1406" s="3">
        <v>73.49</v>
      </c>
      <c r="N1406" s="3">
        <v>139.99</v>
      </c>
      <c r="O1406" s="2" t="s">
        <v>97</v>
      </c>
      <c r="P1406" s="2" t="s">
        <v>447</v>
      </c>
      <c r="Q1406" s="2" t="s">
        <v>99</v>
      </c>
      <c r="R1406" s="2" t="s">
        <v>100</v>
      </c>
      <c r="S1406" s="2" t="s">
        <v>4250</v>
      </c>
      <c r="T1406" s="2" t="s">
        <v>359</v>
      </c>
      <c r="U1406" s="2" t="s">
        <v>1508</v>
      </c>
      <c r="V1406" s="2" t="s">
        <v>645</v>
      </c>
      <c r="W1406" s="2" t="s">
        <v>3803</v>
      </c>
      <c r="X1406" s="2" t="s">
        <v>976</v>
      </c>
      <c r="Y1406" s="2" t="s">
        <v>4247</v>
      </c>
      <c r="Z1406" s="4">
        <v>145</v>
      </c>
      <c r="AA1406" s="4">
        <f>=ROUNDDOWN(29,0)</f>
      </c>
      <c r="AB1406" s="5">
        <v>5</v>
      </c>
      <c r="AC1406" s="2" t="s">
        <v>680</v>
      </c>
      <c r="AD1406" s="4">
        <v>130</v>
      </c>
      <c r="AE1406" s="4">
        <v>130</v>
      </c>
      <c r="AF1406" s="6">
        <v>67</v>
      </c>
      <c r="AG1406" s="6"/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 t="s">
        <v>100</v>
      </c>
      <c r="AW1406" s="8" t="s">
        <v>100</v>
      </c>
      <c r="AX1406" s="4" t="s">
        <v>100</v>
      </c>
      <c r="AY1406" s="8" t="s">
        <v>100</v>
      </c>
      <c r="AZ1406" s="7" t="s">
        <v>100</v>
      </c>
      <c r="BA1406" s="7" t="s">
        <v>100</v>
      </c>
      <c r="BB1406" s="7"/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/>
      <c r="BJ1406" s="4">
        <v>7</v>
      </c>
      <c r="BK1406" s="8">
        <v>443.7</v>
      </c>
      <c r="BL1406" s="2" t="s">
        <v>4473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3088</v>
      </c>
      <c r="BV1406" s="2" t="s">
        <v>97</v>
      </c>
      <c r="BW1406" s="2" t="s">
        <v>100</v>
      </c>
      <c r="BX1406" s="2" t="s">
        <v>100</v>
      </c>
      <c r="BY1406" s="2" t="s">
        <v>112</v>
      </c>
      <c r="BZ1406" s="2" t="s">
        <v>100</v>
      </c>
    </row>
    <row r="1407">
      <c r="A1407" s="2" t="s">
        <v>4474</v>
      </c>
      <c r="B1407" s="2" t="s">
        <v>87</v>
      </c>
      <c r="C1407" s="2" t="s">
        <v>4104</v>
      </c>
      <c r="D1407" s="2" t="s">
        <v>3079</v>
      </c>
      <c r="E1407" s="2" t="s">
        <v>3176</v>
      </c>
      <c r="F1407" s="2" t="s">
        <v>4253</v>
      </c>
      <c r="G1407" s="2" t="s">
        <v>4253</v>
      </c>
      <c r="H1407" s="2" t="s">
        <v>4253</v>
      </c>
      <c r="I1407" s="2" t="s">
        <v>4475</v>
      </c>
      <c r="J1407" s="2" t="s">
        <v>785</v>
      </c>
      <c r="K1407" s="2" t="s">
        <v>2860</v>
      </c>
      <c r="L1407" s="3">
        <v>58.8</v>
      </c>
      <c r="M1407" s="3">
        <v>61.73</v>
      </c>
      <c r="N1407" s="3">
        <v>119.99</v>
      </c>
      <c r="O1407" s="2" t="s">
        <v>1715</v>
      </c>
      <c r="P1407" s="2" t="s">
        <v>447</v>
      </c>
      <c r="Q1407" s="2" t="s">
        <v>99</v>
      </c>
      <c r="R1407" s="2" t="s">
        <v>100</v>
      </c>
      <c r="S1407" s="2" t="s">
        <v>4255</v>
      </c>
      <c r="T1407" s="2" t="s">
        <v>359</v>
      </c>
      <c r="U1407" s="2" t="s">
        <v>1508</v>
      </c>
      <c r="V1407" s="2" t="s">
        <v>805</v>
      </c>
      <c r="W1407" s="2" t="s">
        <v>3803</v>
      </c>
      <c r="X1407" s="2" t="s">
        <v>976</v>
      </c>
      <c r="Y1407" s="2" t="s">
        <v>4256</v>
      </c>
      <c r="Z1407" s="4">
        <v>48</v>
      </c>
      <c r="AA1407" s="4">
        <f>=ROUNDDOWN(24,0)</f>
      </c>
      <c r="AB1407" s="5">
        <v>2</v>
      </c>
      <c r="AC1407" s="2" t="s">
        <v>100</v>
      </c>
      <c r="AD1407" s="4"/>
      <c r="AE1407" s="4"/>
      <c r="AF1407" s="6">
        <v>67</v>
      </c>
      <c r="AG1407" s="6"/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>
        <v>0</v>
      </c>
      <c r="AP1407" s="4"/>
      <c r="AQ1407" s="8"/>
      <c r="AR1407" s="4"/>
      <c r="AS1407" s="8"/>
      <c r="AT1407" s="7"/>
      <c r="AU1407" s="7"/>
      <c r="AV1407" s="4"/>
      <c r="AW1407" s="8"/>
      <c r="AX1407" s="4"/>
      <c r="AY1407" s="8"/>
      <c r="AZ1407" s="7"/>
      <c r="BA1407" s="7"/>
      <c r="BB1407" s="7"/>
      <c r="BC1407" s="4"/>
      <c r="BD1407" s="8"/>
      <c r="BE1407" s="4"/>
      <c r="BF1407" s="8"/>
      <c r="BG1407" s="7"/>
      <c r="BH1407" s="7"/>
      <c r="BI1407" s="7"/>
      <c r="BJ1407" s="4">
        <v>2</v>
      </c>
      <c r="BK1407" s="8">
        <v>139.82</v>
      </c>
      <c r="BL1407" s="2" t="s">
        <v>2891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3088</v>
      </c>
      <c r="BV1407" s="2" t="s">
        <v>97</v>
      </c>
      <c r="BW1407" s="2" t="s">
        <v>100</v>
      </c>
      <c r="BX1407" s="2" t="s">
        <v>100</v>
      </c>
      <c r="BY1407" s="2" t="s">
        <v>112</v>
      </c>
      <c r="BZ1407" s="2" t="s">
        <v>100</v>
      </c>
    </row>
    <row r="1408">
      <c r="A1408" s="2" t="s">
        <v>4476</v>
      </c>
      <c r="B1408" s="2" t="s">
        <v>87</v>
      </c>
      <c r="C1408" s="2" t="s">
        <v>4104</v>
      </c>
      <c r="D1408" s="2" t="s">
        <v>3079</v>
      </c>
      <c r="E1408" s="2" t="s">
        <v>3176</v>
      </c>
      <c r="F1408" s="2" t="s">
        <v>4258</v>
      </c>
      <c r="G1408" s="2" t="s">
        <v>4258</v>
      </c>
      <c r="H1408" s="2" t="s">
        <v>4258</v>
      </c>
      <c r="I1408" s="2" t="s">
        <v>4477</v>
      </c>
      <c r="J1408" s="2" t="s">
        <v>785</v>
      </c>
      <c r="K1408" s="2" t="s">
        <v>521</v>
      </c>
      <c r="L1408" s="3">
        <v>64.79</v>
      </c>
      <c r="M1408" s="3">
        <v>68.03</v>
      </c>
      <c r="N1408" s="3">
        <v>131.99</v>
      </c>
      <c r="O1408" s="2" t="s">
        <v>97</v>
      </c>
      <c r="P1408" s="2" t="s">
        <v>383</v>
      </c>
      <c r="Q1408" s="2" t="s">
        <v>99</v>
      </c>
      <c r="R1408" s="2" t="s">
        <v>100</v>
      </c>
      <c r="S1408" s="2" t="s">
        <v>4260</v>
      </c>
      <c r="T1408" s="2" t="s">
        <v>359</v>
      </c>
      <c r="U1408" s="2" t="s">
        <v>1508</v>
      </c>
      <c r="V1408" s="2" t="s">
        <v>4142</v>
      </c>
      <c r="W1408" s="2" t="s">
        <v>1064</v>
      </c>
      <c r="X1408" s="2" t="s">
        <v>4187</v>
      </c>
      <c r="Y1408" s="2" t="s">
        <v>4478</v>
      </c>
      <c r="Z1408" s="4">
        <v>125</v>
      </c>
      <c r="AA1408" s="4">
        <f>=ROUNDDOWN(20.8333333333333,0)</f>
      </c>
      <c r="AB1408" s="5">
        <v>6</v>
      </c>
      <c r="AC1408" s="2" t="s">
        <v>680</v>
      </c>
      <c r="AD1408" s="4">
        <v>60</v>
      </c>
      <c r="AE1408" s="4">
        <v>130</v>
      </c>
      <c r="AF1408" s="6">
        <v>67</v>
      </c>
      <c r="AG1408" s="6"/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>
        <v>0</v>
      </c>
      <c r="AP1408" s="4"/>
      <c r="AQ1408" s="8"/>
      <c r="AR1408" s="4"/>
      <c r="AS1408" s="8"/>
      <c r="AT1408" s="7"/>
      <c r="AU1408" s="7"/>
      <c r="AV1408" s="4" t="s">
        <v>100</v>
      </c>
      <c r="AW1408" s="8" t="s">
        <v>100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/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/>
      <c r="BJ1408" s="4">
        <v>2</v>
      </c>
      <c r="BK1408" s="8">
        <v>148.3</v>
      </c>
      <c r="BL1408" s="2" t="s">
        <v>4304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270</v>
      </c>
      <c r="BX1408" s="2" t="s">
        <v>4479</v>
      </c>
      <c r="BY1408" s="2" t="s">
        <v>112</v>
      </c>
      <c r="BZ1408" s="2" t="s">
        <v>100</v>
      </c>
    </row>
    <row r="1409">
      <c r="A1409" s="2" t="s">
        <v>4480</v>
      </c>
      <c r="B1409" s="2" t="s">
        <v>87</v>
      </c>
      <c r="C1409" s="2" t="s">
        <v>4104</v>
      </c>
      <c r="D1409" s="2" t="s">
        <v>3079</v>
      </c>
      <c r="E1409" s="2" t="s">
        <v>3176</v>
      </c>
      <c r="F1409" s="2" t="s">
        <v>4258</v>
      </c>
      <c r="G1409" s="2" t="s">
        <v>4258</v>
      </c>
      <c r="H1409" s="2" t="s">
        <v>4258</v>
      </c>
      <c r="I1409" s="2" t="s">
        <v>4477</v>
      </c>
      <c r="J1409" s="2" t="s">
        <v>795</v>
      </c>
      <c r="K1409" s="2" t="s">
        <v>521</v>
      </c>
      <c r="L1409" s="3">
        <v>79.38</v>
      </c>
      <c r="M1409" s="3">
        <v>83.35</v>
      </c>
      <c r="N1409" s="3">
        <v>161.99</v>
      </c>
      <c r="O1409" s="2" t="s">
        <v>97</v>
      </c>
      <c r="P1409" s="2" t="s">
        <v>383</v>
      </c>
      <c r="Q1409" s="2" t="s">
        <v>99</v>
      </c>
      <c r="R1409" s="2" t="s">
        <v>100</v>
      </c>
      <c r="S1409" s="2" t="s">
        <v>4260</v>
      </c>
      <c r="T1409" s="2" t="s">
        <v>359</v>
      </c>
      <c r="U1409" s="2" t="s">
        <v>1508</v>
      </c>
      <c r="V1409" s="2" t="s">
        <v>4142</v>
      </c>
      <c r="W1409" s="2" t="s">
        <v>1064</v>
      </c>
      <c r="X1409" s="2" t="s">
        <v>4187</v>
      </c>
      <c r="Y1409" s="2" t="s">
        <v>4478</v>
      </c>
      <c r="Z1409" s="4">
        <v>123</v>
      </c>
      <c r="AA1409" s="4">
        <f>=ROUNDDOWN(17.5714285714286,0)</f>
      </c>
      <c r="AB1409" s="5">
        <v>7</v>
      </c>
      <c r="AC1409" s="2" t="s">
        <v>680</v>
      </c>
      <c r="AD1409" s="4">
        <v>70</v>
      </c>
      <c r="AE1409" s="4">
        <v>90</v>
      </c>
      <c r="AF1409" s="6">
        <v>67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/>
      <c r="AQ1409" s="8"/>
      <c r="AR1409" s="4"/>
      <c r="AS1409" s="8"/>
      <c r="AT1409" s="7"/>
      <c r="AU1409" s="7"/>
      <c r="AV1409" s="4" t="s">
        <v>100</v>
      </c>
      <c r="AW1409" s="8" t="s">
        <v>100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/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/>
      <c r="BJ1409" s="4">
        <v>3</v>
      </c>
      <c r="BK1409" s="8">
        <v>272.6</v>
      </c>
      <c r="BL1409" s="2" t="s">
        <v>3284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270</v>
      </c>
      <c r="BX1409" s="2" t="s">
        <v>4481</v>
      </c>
      <c r="BY1409" s="2" t="s">
        <v>112</v>
      </c>
      <c r="BZ1409" s="2" t="s">
        <v>100</v>
      </c>
    </row>
    <row r="1410">
      <c r="A1410" s="2" t="s">
        <v>4482</v>
      </c>
      <c r="B1410" s="2" t="s">
        <v>87</v>
      </c>
      <c r="C1410" s="2" t="s">
        <v>4104</v>
      </c>
      <c r="D1410" s="2" t="s">
        <v>3079</v>
      </c>
      <c r="E1410" s="2" t="s">
        <v>3176</v>
      </c>
      <c r="F1410" s="2" t="s">
        <v>4139</v>
      </c>
      <c r="G1410" s="2" t="s">
        <v>4139</v>
      </c>
      <c r="H1410" s="2" t="s">
        <v>4139</v>
      </c>
      <c r="I1410" s="2" t="s">
        <v>4483</v>
      </c>
      <c r="J1410" s="2" t="s">
        <v>785</v>
      </c>
      <c r="K1410" s="2" t="s">
        <v>4148</v>
      </c>
      <c r="L1410" s="3">
        <v>51.3</v>
      </c>
      <c r="M1410" s="3">
        <v>53.86</v>
      </c>
      <c r="N1410" s="3">
        <v>109.99</v>
      </c>
      <c r="O1410" s="2" t="s">
        <v>97</v>
      </c>
      <c r="P1410" s="2" t="s">
        <v>447</v>
      </c>
      <c r="Q1410" s="2" t="s">
        <v>99</v>
      </c>
      <c r="R1410" s="2" t="s">
        <v>100</v>
      </c>
      <c r="S1410" s="2" t="s">
        <v>4149</v>
      </c>
      <c r="T1410" s="2" t="s">
        <v>359</v>
      </c>
      <c r="U1410" s="2" t="s">
        <v>1508</v>
      </c>
      <c r="V1410" s="2" t="s">
        <v>4142</v>
      </c>
      <c r="W1410" s="2" t="s">
        <v>1064</v>
      </c>
      <c r="X1410" s="2" t="s">
        <v>788</v>
      </c>
      <c r="Y1410" s="2" t="s">
        <v>4150</v>
      </c>
      <c r="Z1410" s="4">
        <v>105</v>
      </c>
      <c r="AA1410" s="4">
        <f>=ROUNDDOWN(35,0)</f>
      </c>
      <c r="AB1410" s="5">
        <v>3</v>
      </c>
      <c r="AC1410" s="2" t="s">
        <v>100</v>
      </c>
      <c r="AD1410" s="4"/>
      <c r="AE1410" s="4"/>
      <c r="AF1410" s="6">
        <v>66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/>
      <c r="AQ1410" s="8"/>
      <c r="AR1410" s="4"/>
      <c r="AS1410" s="8"/>
      <c r="AT1410" s="7"/>
      <c r="AU1410" s="7"/>
      <c r="AV1410" s="4" t="s">
        <v>100</v>
      </c>
      <c r="AW1410" s="8" t="s">
        <v>100</v>
      </c>
      <c r="AX1410" s="4" t="s">
        <v>100</v>
      </c>
      <c r="AY1410" s="8" t="s">
        <v>100</v>
      </c>
      <c r="AZ1410" s="7" t="s">
        <v>100</v>
      </c>
      <c r="BA1410" s="7" t="s">
        <v>100</v>
      </c>
      <c r="BB1410" s="7"/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/>
      <c r="BJ1410" s="4">
        <v>3</v>
      </c>
      <c r="BK1410" s="8">
        <v>173.2</v>
      </c>
      <c r="BL1410" s="2" t="s">
        <v>560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3088</v>
      </c>
      <c r="BV1410" s="2" t="s">
        <v>97</v>
      </c>
      <c r="BW1410" s="2" t="s">
        <v>100</v>
      </c>
      <c r="BX1410" s="2" t="s">
        <v>100</v>
      </c>
      <c r="BY1410" s="2" t="s">
        <v>112</v>
      </c>
      <c r="BZ1410" s="2" t="s">
        <v>100</v>
      </c>
    </row>
    <row r="1411">
      <c r="A1411" s="2" t="s">
        <v>4484</v>
      </c>
      <c r="B1411" s="2" t="s">
        <v>87</v>
      </c>
      <c r="C1411" s="2" t="s">
        <v>4104</v>
      </c>
      <c r="D1411" s="2" t="s">
        <v>3079</v>
      </c>
      <c r="E1411" s="2" t="s">
        <v>3176</v>
      </c>
      <c r="F1411" s="2" t="s">
        <v>4139</v>
      </c>
      <c r="G1411" s="2" t="s">
        <v>4139</v>
      </c>
      <c r="H1411" s="2" t="s">
        <v>4139</v>
      </c>
      <c r="I1411" s="2" t="s">
        <v>4483</v>
      </c>
      <c r="J1411" s="2" t="s">
        <v>795</v>
      </c>
      <c r="K1411" s="2" t="s">
        <v>4148</v>
      </c>
      <c r="L1411" s="3">
        <v>65.55</v>
      </c>
      <c r="M1411" s="3">
        <v>68.83</v>
      </c>
      <c r="N1411" s="3">
        <v>139.99</v>
      </c>
      <c r="O1411" s="2" t="s">
        <v>97</v>
      </c>
      <c r="P1411" s="2" t="s">
        <v>447</v>
      </c>
      <c r="Q1411" s="2" t="s">
        <v>99</v>
      </c>
      <c r="R1411" s="2" t="s">
        <v>100</v>
      </c>
      <c r="S1411" s="2" t="s">
        <v>4149</v>
      </c>
      <c r="T1411" s="2" t="s">
        <v>359</v>
      </c>
      <c r="U1411" s="2" t="s">
        <v>1508</v>
      </c>
      <c r="V1411" s="2" t="s">
        <v>4142</v>
      </c>
      <c r="W1411" s="2" t="s">
        <v>1064</v>
      </c>
      <c r="X1411" s="2" t="s">
        <v>788</v>
      </c>
      <c r="Y1411" s="2" t="s">
        <v>4150</v>
      </c>
      <c r="Z1411" s="4">
        <v>162</v>
      </c>
      <c r="AA1411" s="4">
        <f>=ROUNDDOWN(40.5,0)</f>
      </c>
      <c r="AB1411" s="5">
        <v>4</v>
      </c>
      <c r="AC1411" s="2" t="s">
        <v>100</v>
      </c>
      <c r="AD1411" s="4"/>
      <c r="AE1411" s="4"/>
      <c r="AF1411" s="6">
        <v>66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>
        <v>0</v>
      </c>
      <c r="AP1411" s="4"/>
      <c r="AQ1411" s="8"/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/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/>
      <c r="BJ1411" s="4"/>
      <c r="BK1411" s="8"/>
      <c r="BL1411" s="2" t="s">
        <v>100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3088</v>
      </c>
      <c r="BV1411" s="2" t="s">
        <v>97</v>
      </c>
      <c r="BW1411" s="2" t="s">
        <v>100</v>
      </c>
      <c r="BX1411" s="2" t="s">
        <v>100</v>
      </c>
      <c r="BY1411" s="2" t="s">
        <v>112</v>
      </c>
      <c r="BZ1411" s="2" t="s">
        <v>100</v>
      </c>
    </row>
    <row r="1412">
      <c r="A1412" s="2" t="s">
        <v>4485</v>
      </c>
      <c r="B1412" s="2" t="s">
        <v>87</v>
      </c>
      <c r="C1412" s="2" t="s">
        <v>4104</v>
      </c>
      <c r="D1412" s="2" t="s">
        <v>3079</v>
      </c>
      <c r="E1412" s="2" t="s">
        <v>3176</v>
      </c>
      <c r="F1412" s="2" t="s">
        <v>4139</v>
      </c>
      <c r="G1412" s="2" t="s">
        <v>4139</v>
      </c>
      <c r="H1412" s="2" t="s">
        <v>4139</v>
      </c>
      <c r="I1412" s="2" t="s">
        <v>4483</v>
      </c>
      <c r="J1412" s="2" t="s">
        <v>785</v>
      </c>
      <c r="K1412" s="2" t="s">
        <v>1263</v>
      </c>
      <c r="L1412" s="3">
        <v>51.3</v>
      </c>
      <c r="M1412" s="3">
        <v>53.86</v>
      </c>
      <c r="N1412" s="3">
        <v>109.99</v>
      </c>
      <c r="O1412" s="2" t="s">
        <v>97</v>
      </c>
      <c r="P1412" s="2" t="s">
        <v>98</v>
      </c>
      <c r="Q1412" s="2" t="s">
        <v>99</v>
      </c>
      <c r="R1412" s="2" t="s">
        <v>100</v>
      </c>
      <c r="S1412" s="2" t="s">
        <v>4153</v>
      </c>
      <c r="T1412" s="2" t="s">
        <v>359</v>
      </c>
      <c r="U1412" s="2" t="s">
        <v>1508</v>
      </c>
      <c r="V1412" s="2" t="s">
        <v>4142</v>
      </c>
      <c r="W1412" s="2" t="s">
        <v>1064</v>
      </c>
      <c r="X1412" s="2" t="s">
        <v>788</v>
      </c>
      <c r="Y1412" s="2" t="s">
        <v>4154</v>
      </c>
      <c r="Z1412" s="4">
        <v>106</v>
      </c>
      <c r="AA1412" s="4">
        <f>=ROUNDDOWN(53,0)</f>
      </c>
      <c r="AB1412" s="5">
        <v>2</v>
      </c>
      <c r="AC1412" s="2" t="s">
        <v>680</v>
      </c>
      <c r="AD1412" s="4">
        <v>20</v>
      </c>
      <c r="AE1412" s="4">
        <v>20</v>
      </c>
      <c r="AF1412" s="6">
        <v>66</v>
      </c>
      <c r="AG1412" s="6"/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/>
      <c r="AQ1412" s="8"/>
      <c r="AR1412" s="4"/>
      <c r="AS1412" s="8"/>
      <c r="AT1412" s="7"/>
      <c r="AU1412" s="7"/>
      <c r="AV1412" s="4" t="s">
        <v>100</v>
      </c>
      <c r="AW1412" s="8" t="s">
        <v>100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/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/>
      <c r="BJ1412" s="4">
        <v>1</v>
      </c>
      <c r="BK1412" s="8">
        <v>60.34</v>
      </c>
      <c r="BL1412" s="2" t="s">
        <v>441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3088</v>
      </c>
      <c r="BV1412" s="2" t="s">
        <v>97</v>
      </c>
      <c r="BW1412" s="2" t="s">
        <v>100</v>
      </c>
      <c r="BX1412" s="2" t="s">
        <v>100</v>
      </c>
      <c r="BY1412" s="2" t="s">
        <v>112</v>
      </c>
      <c r="BZ1412" s="2" t="s">
        <v>100</v>
      </c>
    </row>
    <row r="1413">
      <c r="A1413" s="2" t="s">
        <v>4486</v>
      </c>
      <c r="B1413" s="2" t="s">
        <v>87</v>
      </c>
      <c r="C1413" s="2" t="s">
        <v>4104</v>
      </c>
      <c r="D1413" s="2" t="s">
        <v>3079</v>
      </c>
      <c r="E1413" s="2" t="s">
        <v>3176</v>
      </c>
      <c r="F1413" s="2" t="s">
        <v>4139</v>
      </c>
      <c r="G1413" s="2" t="s">
        <v>4139</v>
      </c>
      <c r="H1413" s="2" t="s">
        <v>4139</v>
      </c>
      <c r="I1413" s="2" t="s">
        <v>4483</v>
      </c>
      <c r="J1413" s="2" t="s">
        <v>795</v>
      </c>
      <c r="K1413" s="2" t="s">
        <v>1263</v>
      </c>
      <c r="L1413" s="3">
        <v>65.55</v>
      </c>
      <c r="M1413" s="3">
        <v>68.83</v>
      </c>
      <c r="N1413" s="3">
        <v>139.99</v>
      </c>
      <c r="O1413" s="2" t="s">
        <v>97</v>
      </c>
      <c r="P1413" s="2" t="s">
        <v>98</v>
      </c>
      <c r="Q1413" s="2" t="s">
        <v>99</v>
      </c>
      <c r="R1413" s="2" t="s">
        <v>100</v>
      </c>
      <c r="S1413" s="2" t="s">
        <v>4153</v>
      </c>
      <c r="T1413" s="2" t="s">
        <v>359</v>
      </c>
      <c r="U1413" s="2" t="s">
        <v>1508</v>
      </c>
      <c r="V1413" s="2" t="s">
        <v>4142</v>
      </c>
      <c r="W1413" s="2" t="s">
        <v>1064</v>
      </c>
      <c r="X1413" s="2" t="s">
        <v>788</v>
      </c>
      <c r="Y1413" s="2" t="s">
        <v>4154</v>
      </c>
      <c r="Z1413" s="4">
        <v>137</v>
      </c>
      <c r="AA1413" s="4">
        <f>=ROUNDDOWN(34.25,0)</f>
      </c>
      <c r="AB1413" s="5">
        <v>4</v>
      </c>
      <c r="AC1413" s="2" t="s">
        <v>680</v>
      </c>
      <c r="AD1413" s="4">
        <v>60</v>
      </c>
      <c r="AE1413" s="4">
        <v>60</v>
      </c>
      <c r="AF1413" s="6">
        <v>66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/>
      <c r="AQ1413" s="8"/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/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/>
      <c r="BJ1413" s="4">
        <v>2</v>
      </c>
      <c r="BK1413" s="8">
        <v>145.48</v>
      </c>
      <c r="BL1413" s="2" t="s">
        <v>813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3088</v>
      </c>
      <c r="BV1413" s="2" t="s">
        <v>97</v>
      </c>
      <c r="BW1413" s="2" t="s">
        <v>100</v>
      </c>
      <c r="BX1413" s="2" t="s">
        <v>100</v>
      </c>
      <c r="BY1413" s="2" t="s">
        <v>112</v>
      </c>
      <c r="BZ1413" s="2" t="s">
        <v>100</v>
      </c>
    </row>
    <row r="1414">
      <c r="A1414" s="2" t="s">
        <v>4487</v>
      </c>
      <c r="B1414" s="2" t="s">
        <v>87</v>
      </c>
      <c r="C1414" s="2" t="s">
        <v>4104</v>
      </c>
      <c r="D1414" s="2" t="s">
        <v>3079</v>
      </c>
      <c r="E1414" s="2" t="s">
        <v>3176</v>
      </c>
      <c r="F1414" s="2" t="s">
        <v>4139</v>
      </c>
      <c r="G1414" s="2" t="s">
        <v>4139</v>
      </c>
      <c r="H1414" s="2" t="s">
        <v>4139</v>
      </c>
      <c r="I1414" s="2" t="s">
        <v>4483</v>
      </c>
      <c r="J1414" s="2" t="s">
        <v>785</v>
      </c>
      <c r="K1414" s="2" t="s">
        <v>163</v>
      </c>
      <c r="L1414" s="3">
        <v>51.3</v>
      </c>
      <c r="M1414" s="3">
        <v>53.86</v>
      </c>
      <c r="N1414" s="3">
        <v>109.99</v>
      </c>
      <c r="O1414" s="2" t="s">
        <v>97</v>
      </c>
      <c r="P1414" s="2" t="s">
        <v>383</v>
      </c>
      <c r="Q1414" s="2" t="s">
        <v>99</v>
      </c>
      <c r="R1414" s="2" t="s">
        <v>100</v>
      </c>
      <c r="S1414" s="2" t="s">
        <v>4141</v>
      </c>
      <c r="T1414" s="2" t="s">
        <v>359</v>
      </c>
      <c r="U1414" s="2" t="s">
        <v>1508</v>
      </c>
      <c r="V1414" s="2" t="s">
        <v>4142</v>
      </c>
      <c r="W1414" s="2" t="s">
        <v>1064</v>
      </c>
      <c r="X1414" s="2" t="s">
        <v>788</v>
      </c>
      <c r="Y1414" s="2" t="s">
        <v>3161</v>
      </c>
      <c r="Z1414" s="4">
        <v>191</v>
      </c>
      <c r="AA1414" s="4">
        <f>=ROUNDDOWN(27.2857142857143,0)</f>
      </c>
      <c r="AB1414" s="5">
        <v>7</v>
      </c>
      <c r="AC1414" s="2" t="s">
        <v>553</v>
      </c>
      <c r="AD1414" s="4">
        <v>118</v>
      </c>
      <c r="AE1414" s="4">
        <v>168</v>
      </c>
      <c r="AF1414" s="6">
        <v>66</v>
      </c>
      <c r="AG1414" s="6">
        <v>74</v>
      </c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>
        <v>0</v>
      </c>
      <c r="AP1414" s="4"/>
      <c r="AQ1414" s="8"/>
      <c r="AR1414" s="4"/>
      <c r="AS1414" s="8"/>
      <c r="AT1414" s="7"/>
      <c r="AU1414" s="7"/>
      <c r="AV1414" s="4" t="s">
        <v>100</v>
      </c>
      <c r="AW1414" s="8" t="s">
        <v>100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/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/>
      <c r="BJ1414" s="4">
        <v>3</v>
      </c>
      <c r="BK1414" s="8">
        <v>174.85</v>
      </c>
      <c r="BL1414" s="2" t="s">
        <v>169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3091</v>
      </c>
      <c r="BX1414" s="2" t="s">
        <v>3312</v>
      </c>
      <c r="BY1414" s="2" t="s">
        <v>112</v>
      </c>
      <c r="BZ1414" s="2" t="s">
        <v>100</v>
      </c>
    </row>
    <row r="1415">
      <c r="A1415" s="2" t="s">
        <v>4488</v>
      </c>
      <c r="B1415" s="2" t="s">
        <v>87</v>
      </c>
      <c r="C1415" s="2" t="s">
        <v>4104</v>
      </c>
      <c r="D1415" s="2" t="s">
        <v>3079</v>
      </c>
      <c r="E1415" s="2" t="s">
        <v>3176</v>
      </c>
      <c r="F1415" s="2" t="s">
        <v>4139</v>
      </c>
      <c r="G1415" s="2" t="s">
        <v>4139</v>
      </c>
      <c r="H1415" s="2" t="s">
        <v>4139</v>
      </c>
      <c r="I1415" s="2" t="s">
        <v>4483</v>
      </c>
      <c r="J1415" s="2" t="s">
        <v>795</v>
      </c>
      <c r="K1415" s="2" t="s">
        <v>163</v>
      </c>
      <c r="L1415" s="3">
        <v>65.55</v>
      </c>
      <c r="M1415" s="3">
        <v>68.83</v>
      </c>
      <c r="N1415" s="3">
        <v>139.99</v>
      </c>
      <c r="O1415" s="2" t="s">
        <v>97</v>
      </c>
      <c r="P1415" s="2" t="s">
        <v>383</v>
      </c>
      <c r="Q1415" s="2" t="s">
        <v>99</v>
      </c>
      <c r="R1415" s="2" t="s">
        <v>100</v>
      </c>
      <c r="S1415" s="2" t="s">
        <v>4141</v>
      </c>
      <c r="T1415" s="2" t="s">
        <v>359</v>
      </c>
      <c r="U1415" s="2" t="s">
        <v>1508</v>
      </c>
      <c r="V1415" s="2" t="s">
        <v>4142</v>
      </c>
      <c r="W1415" s="2" t="s">
        <v>1064</v>
      </c>
      <c r="X1415" s="2" t="s">
        <v>788</v>
      </c>
      <c r="Y1415" s="2" t="s">
        <v>3161</v>
      </c>
      <c r="Z1415" s="4">
        <v>317</v>
      </c>
      <c r="AA1415" s="4">
        <f>=ROUNDDOWN(31.7,0)</f>
      </c>
      <c r="AB1415" s="5">
        <v>10</v>
      </c>
      <c r="AC1415" s="2" t="s">
        <v>553</v>
      </c>
      <c r="AD1415" s="4">
        <v>150</v>
      </c>
      <c r="AE1415" s="4">
        <v>230</v>
      </c>
      <c r="AF1415" s="6">
        <v>66</v>
      </c>
      <c r="AG1415" s="6">
        <v>74</v>
      </c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/>
      <c r="AQ1415" s="8"/>
      <c r="AR1415" s="4"/>
      <c r="AS1415" s="8"/>
      <c r="AT1415" s="7"/>
      <c r="AU1415" s="7"/>
      <c r="AV1415" s="4" t="s">
        <v>100</v>
      </c>
      <c r="AW1415" s="8" t="s">
        <v>100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/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/>
      <c r="BJ1415" s="4">
        <v>5</v>
      </c>
      <c r="BK1415" s="8">
        <v>333.42</v>
      </c>
      <c r="BL1415" s="2" t="s">
        <v>333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3091</v>
      </c>
      <c r="BX1415" s="2" t="s">
        <v>4270</v>
      </c>
      <c r="BY1415" s="2" t="s">
        <v>112</v>
      </c>
      <c r="BZ1415" s="2" t="s">
        <v>100</v>
      </c>
    </row>
    <row r="1416">
      <c r="A1416" s="2" t="s">
        <v>4489</v>
      </c>
      <c r="B1416" s="2" t="s">
        <v>87</v>
      </c>
      <c r="C1416" s="2" t="s">
        <v>4104</v>
      </c>
      <c r="D1416" s="2" t="s">
        <v>3079</v>
      </c>
      <c r="E1416" s="2" t="s">
        <v>3176</v>
      </c>
      <c r="F1416" s="2" t="s">
        <v>4139</v>
      </c>
      <c r="G1416" s="2" t="s">
        <v>4139</v>
      </c>
      <c r="H1416" s="2" t="s">
        <v>4139</v>
      </c>
      <c r="I1416" s="2" t="s">
        <v>4483</v>
      </c>
      <c r="J1416" s="2" t="s">
        <v>785</v>
      </c>
      <c r="K1416" s="2" t="s">
        <v>175</v>
      </c>
      <c r="L1416" s="3">
        <v>51.3</v>
      </c>
      <c r="M1416" s="3">
        <v>53.86</v>
      </c>
      <c r="N1416" s="3">
        <v>109.99</v>
      </c>
      <c r="O1416" s="2" t="s">
        <v>97</v>
      </c>
      <c r="P1416" s="2" t="s">
        <v>242</v>
      </c>
      <c r="Q1416" s="2" t="s">
        <v>99</v>
      </c>
      <c r="R1416" s="2" t="s">
        <v>100</v>
      </c>
      <c r="S1416" s="2" t="s">
        <v>4157</v>
      </c>
      <c r="T1416" s="2" t="s">
        <v>359</v>
      </c>
      <c r="U1416" s="2" t="s">
        <v>1508</v>
      </c>
      <c r="V1416" s="2" t="s">
        <v>4142</v>
      </c>
      <c r="W1416" s="2" t="s">
        <v>1064</v>
      </c>
      <c r="X1416" s="2" t="s">
        <v>788</v>
      </c>
      <c r="Y1416" s="2" t="s">
        <v>4490</v>
      </c>
      <c r="Z1416" s="4">
        <v>325</v>
      </c>
      <c r="AA1416" s="4">
        <f>=ROUNDDOWN(54.1666666666667,0)</f>
      </c>
      <c r="AB1416" s="5">
        <v>6</v>
      </c>
      <c r="AC1416" s="2" t="s">
        <v>559</v>
      </c>
      <c r="AD1416" s="4">
        <v>130</v>
      </c>
      <c r="AE1416" s="4">
        <v>260</v>
      </c>
      <c r="AF1416" s="6">
        <v>66</v>
      </c>
      <c r="AG1416" s="6">
        <v>74</v>
      </c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>
        <v>0</v>
      </c>
      <c r="AP1416" s="4"/>
      <c r="AQ1416" s="8"/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/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/>
      <c r="BJ1416" s="4">
        <v>2</v>
      </c>
      <c r="BK1416" s="8">
        <v>119.54</v>
      </c>
      <c r="BL1416" s="2" t="s">
        <v>200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270</v>
      </c>
      <c r="BX1416" s="2" t="s">
        <v>1794</v>
      </c>
      <c r="BY1416" s="2" t="s">
        <v>112</v>
      </c>
      <c r="BZ1416" s="2" t="s">
        <v>100</v>
      </c>
    </row>
    <row r="1417">
      <c r="A1417" s="2" t="s">
        <v>4491</v>
      </c>
      <c r="B1417" s="2" t="s">
        <v>87</v>
      </c>
      <c r="C1417" s="2" t="s">
        <v>4104</v>
      </c>
      <c r="D1417" s="2" t="s">
        <v>3079</v>
      </c>
      <c r="E1417" s="2" t="s">
        <v>3176</v>
      </c>
      <c r="F1417" s="2" t="s">
        <v>4139</v>
      </c>
      <c r="G1417" s="2" t="s">
        <v>4139</v>
      </c>
      <c r="H1417" s="2" t="s">
        <v>4139</v>
      </c>
      <c r="I1417" s="2" t="s">
        <v>4483</v>
      </c>
      <c r="J1417" s="2" t="s">
        <v>795</v>
      </c>
      <c r="K1417" s="2" t="s">
        <v>175</v>
      </c>
      <c r="L1417" s="3">
        <v>65.55</v>
      </c>
      <c r="M1417" s="3">
        <v>68.83</v>
      </c>
      <c r="N1417" s="3">
        <v>139.99</v>
      </c>
      <c r="O1417" s="2" t="s">
        <v>97</v>
      </c>
      <c r="P1417" s="2" t="s">
        <v>242</v>
      </c>
      <c r="Q1417" s="2" t="s">
        <v>99</v>
      </c>
      <c r="R1417" s="2" t="s">
        <v>100</v>
      </c>
      <c r="S1417" s="2" t="s">
        <v>4157</v>
      </c>
      <c r="T1417" s="2" t="s">
        <v>359</v>
      </c>
      <c r="U1417" s="2" t="s">
        <v>1508</v>
      </c>
      <c r="V1417" s="2" t="s">
        <v>4142</v>
      </c>
      <c r="W1417" s="2" t="s">
        <v>1064</v>
      </c>
      <c r="X1417" s="2" t="s">
        <v>788</v>
      </c>
      <c r="Y1417" s="2" t="s">
        <v>4490</v>
      </c>
      <c r="Z1417" s="4">
        <v>470</v>
      </c>
      <c r="AA1417" s="4">
        <f>=ROUNDDOWN(67.1428571428571,0)</f>
      </c>
      <c r="AB1417" s="5">
        <v>7</v>
      </c>
      <c r="AC1417" s="2" t="s">
        <v>553</v>
      </c>
      <c r="AD1417" s="4">
        <v>70</v>
      </c>
      <c r="AE1417" s="4">
        <v>260</v>
      </c>
      <c r="AF1417" s="6">
        <v>66</v>
      </c>
      <c r="AG1417" s="6">
        <v>74</v>
      </c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>
        <v>0</v>
      </c>
      <c r="AP1417" s="4"/>
      <c r="AQ1417" s="8"/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/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/>
      <c r="BJ1417" s="4">
        <v>3</v>
      </c>
      <c r="BK1417" s="8">
        <v>229.67</v>
      </c>
      <c r="BL1417" s="2" t="s">
        <v>1643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270</v>
      </c>
      <c r="BX1417" s="2" t="s">
        <v>3767</v>
      </c>
      <c r="BY1417" s="2" t="s">
        <v>112</v>
      </c>
      <c r="BZ1417" s="2" t="s">
        <v>100</v>
      </c>
    </row>
    <row r="1418">
      <c r="A1418" s="2" t="s">
        <v>4492</v>
      </c>
      <c r="B1418" s="2" t="s">
        <v>87</v>
      </c>
      <c r="C1418" s="2" t="s">
        <v>4104</v>
      </c>
      <c r="D1418" s="2" t="s">
        <v>3079</v>
      </c>
      <c r="E1418" s="2" t="s">
        <v>3176</v>
      </c>
      <c r="F1418" s="2" t="s">
        <v>4266</v>
      </c>
      <c r="G1418" s="2" t="s">
        <v>4266</v>
      </c>
      <c r="H1418" s="2" t="s">
        <v>4266</v>
      </c>
      <c r="I1418" s="2" t="s">
        <v>4493</v>
      </c>
      <c r="J1418" s="2" t="s">
        <v>785</v>
      </c>
      <c r="K1418" s="2" t="s">
        <v>1263</v>
      </c>
      <c r="L1418" s="3">
        <v>49.35</v>
      </c>
      <c r="M1418" s="3">
        <v>51.81</v>
      </c>
      <c r="N1418" s="3">
        <v>104.99</v>
      </c>
      <c r="O1418" s="2" t="s">
        <v>1715</v>
      </c>
      <c r="P1418" s="2" t="s">
        <v>447</v>
      </c>
      <c r="Q1418" s="2" t="s">
        <v>99</v>
      </c>
      <c r="R1418" s="2" t="s">
        <v>100</v>
      </c>
      <c r="S1418" s="2" t="s">
        <v>4268</v>
      </c>
      <c r="T1418" s="2" t="s">
        <v>359</v>
      </c>
      <c r="U1418" s="2" t="s">
        <v>1508</v>
      </c>
      <c r="V1418" s="2" t="s">
        <v>103</v>
      </c>
      <c r="W1418" s="2" t="s">
        <v>646</v>
      </c>
      <c r="X1418" s="2" t="s">
        <v>788</v>
      </c>
      <c r="Y1418" s="2" t="s">
        <v>3106</v>
      </c>
      <c r="Z1418" s="4">
        <v>121</v>
      </c>
      <c r="AA1418" s="4">
        <f>=ROUNDDOWN(121,0)</f>
      </c>
      <c r="AB1418" s="5">
        <v>1</v>
      </c>
      <c r="AC1418" s="2" t="s">
        <v>100</v>
      </c>
      <c r="AD1418" s="4"/>
      <c r="AE1418" s="4"/>
      <c r="AF1418" s="6">
        <v>67</v>
      </c>
      <c r="AG1418" s="6"/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>
        <v>0</v>
      </c>
      <c r="AP1418" s="4"/>
      <c r="AQ1418" s="8"/>
      <c r="AR1418" s="4"/>
      <c r="AS1418" s="8"/>
      <c r="AT1418" s="7"/>
      <c r="AU1418" s="7"/>
      <c r="AV1418" s="4" t="s">
        <v>100</v>
      </c>
      <c r="AW1418" s="8" t="s">
        <v>100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/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/>
      <c r="BJ1418" s="4"/>
      <c r="BK1418" s="8"/>
      <c r="BL1418" s="2" t="s">
        <v>100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3091</v>
      </c>
      <c r="BX1418" s="2" t="s">
        <v>4494</v>
      </c>
      <c r="BY1418" s="2" t="s">
        <v>112</v>
      </c>
      <c r="BZ1418" s="2" t="s">
        <v>100</v>
      </c>
    </row>
    <row r="1419">
      <c r="A1419" s="2" t="s">
        <v>4495</v>
      </c>
      <c r="B1419" s="2" t="s">
        <v>87</v>
      </c>
      <c r="C1419" s="2" t="s">
        <v>4104</v>
      </c>
      <c r="D1419" s="2" t="s">
        <v>3079</v>
      </c>
      <c r="E1419" s="2" t="s">
        <v>3176</v>
      </c>
      <c r="F1419" s="2" t="s">
        <v>4266</v>
      </c>
      <c r="G1419" s="2" t="s">
        <v>4266</v>
      </c>
      <c r="H1419" s="2" t="s">
        <v>4266</v>
      </c>
      <c r="I1419" s="2" t="s">
        <v>4493</v>
      </c>
      <c r="J1419" s="2" t="s">
        <v>795</v>
      </c>
      <c r="K1419" s="2" t="s">
        <v>1263</v>
      </c>
      <c r="L1419" s="3">
        <v>66.15</v>
      </c>
      <c r="M1419" s="3">
        <v>69.45</v>
      </c>
      <c r="N1419" s="3">
        <v>134.99</v>
      </c>
      <c r="O1419" s="2" t="s">
        <v>1715</v>
      </c>
      <c r="P1419" s="2" t="s">
        <v>447</v>
      </c>
      <c r="Q1419" s="2" t="s">
        <v>99</v>
      </c>
      <c r="R1419" s="2" t="s">
        <v>100</v>
      </c>
      <c r="S1419" s="2" t="s">
        <v>4268</v>
      </c>
      <c r="T1419" s="2" t="s">
        <v>359</v>
      </c>
      <c r="U1419" s="2" t="s">
        <v>1508</v>
      </c>
      <c r="V1419" s="2" t="s">
        <v>103</v>
      </c>
      <c r="W1419" s="2" t="s">
        <v>646</v>
      </c>
      <c r="X1419" s="2" t="s">
        <v>788</v>
      </c>
      <c r="Y1419" s="2" t="s">
        <v>3106</v>
      </c>
      <c r="Z1419" s="4">
        <v>109</v>
      </c>
      <c r="AA1419" s="4">
        <f>=ROUNDDOWN(545,0)</f>
      </c>
      <c r="AB1419" s="5">
        <v>0.2</v>
      </c>
      <c r="AC1419" s="2" t="s">
        <v>100</v>
      </c>
      <c r="AD1419" s="4"/>
      <c r="AE1419" s="4"/>
      <c r="AF1419" s="6">
        <v>67</v>
      </c>
      <c r="AG1419" s="6"/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>
        <v>0</v>
      </c>
      <c r="AP1419" s="4"/>
      <c r="AQ1419" s="8"/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/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/>
      <c r="BJ1419" s="4"/>
      <c r="BK1419" s="8"/>
      <c r="BL1419" s="2" t="s">
        <v>100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3091</v>
      </c>
      <c r="BX1419" s="2" t="s">
        <v>4496</v>
      </c>
      <c r="BY1419" s="2" t="s">
        <v>112</v>
      </c>
      <c r="BZ1419" s="2" t="s">
        <v>100</v>
      </c>
    </row>
    <row r="1420">
      <c r="A1420" s="2" t="s">
        <v>4497</v>
      </c>
      <c r="B1420" s="2" t="s">
        <v>87</v>
      </c>
      <c r="C1420" s="2" t="s">
        <v>4104</v>
      </c>
      <c r="D1420" s="2" t="s">
        <v>3079</v>
      </c>
      <c r="E1420" s="2" t="s">
        <v>3176</v>
      </c>
      <c r="F1420" s="2" t="s">
        <v>4272</v>
      </c>
      <c r="G1420" s="2" t="s">
        <v>4272</v>
      </c>
      <c r="H1420" s="2" t="s">
        <v>4272</v>
      </c>
      <c r="I1420" s="2" t="s">
        <v>4498</v>
      </c>
      <c r="J1420" s="2" t="s">
        <v>785</v>
      </c>
      <c r="K1420" s="2" t="s">
        <v>4274</v>
      </c>
      <c r="L1420" s="3">
        <v>43.2</v>
      </c>
      <c r="M1420" s="3">
        <v>45.36</v>
      </c>
      <c r="N1420" s="3">
        <v>84.99</v>
      </c>
      <c r="O1420" s="2" t="s">
        <v>97</v>
      </c>
      <c r="P1420" s="2" t="s">
        <v>98</v>
      </c>
      <c r="Q1420" s="2" t="s">
        <v>99</v>
      </c>
      <c r="R1420" s="2" t="s">
        <v>100</v>
      </c>
      <c r="S1420" s="2" t="s">
        <v>4275</v>
      </c>
      <c r="T1420" s="2" t="s">
        <v>359</v>
      </c>
      <c r="U1420" s="2" t="s">
        <v>1508</v>
      </c>
      <c r="V1420" s="2" t="s">
        <v>4187</v>
      </c>
      <c r="W1420" s="2" t="s">
        <v>105</v>
      </c>
      <c r="X1420" s="2" t="s">
        <v>4187</v>
      </c>
      <c r="Y1420" s="2" t="s">
        <v>4276</v>
      </c>
      <c r="Z1420" s="4">
        <v>203</v>
      </c>
      <c r="AA1420" s="4">
        <f>=ROUNDDOWN(33.8333333333333,0)</f>
      </c>
      <c r="AB1420" s="5">
        <v>6</v>
      </c>
      <c r="AC1420" s="2" t="s">
        <v>593</v>
      </c>
      <c r="AD1420" s="4">
        <v>50</v>
      </c>
      <c r="AE1420" s="4">
        <v>130</v>
      </c>
      <c r="AF1420" s="6">
        <v>66</v>
      </c>
      <c r="AG1420" s="6"/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>
        <v>0</v>
      </c>
      <c r="AP1420" s="4"/>
      <c r="AQ1420" s="8"/>
      <c r="AR1420" s="4"/>
      <c r="AS1420" s="8"/>
      <c r="AT1420" s="7"/>
      <c r="AU1420" s="7"/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/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/>
      <c r="BJ1420" s="4">
        <v>2</v>
      </c>
      <c r="BK1420" s="8">
        <v>99.54</v>
      </c>
      <c r="BL1420" s="2" t="s">
        <v>391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270</v>
      </c>
      <c r="BX1420" s="2" t="s">
        <v>1275</v>
      </c>
      <c r="BY1420" s="2" t="s">
        <v>112</v>
      </c>
      <c r="BZ1420" s="2" t="s">
        <v>100</v>
      </c>
    </row>
    <row r="1421">
      <c r="A1421" s="2" t="s">
        <v>4499</v>
      </c>
      <c r="B1421" s="2" t="s">
        <v>87</v>
      </c>
      <c r="C1421" s="2" t="s">
        <v>4104</v>
      </c>
      <c r="D1421" s="2" t="s">
        <v>3079</v>
      </c>
      <c r="E1421" s="2" t="s">
        <v>3176</v>
      </c>
      <c r="F1421" s="2" t="s">
        <v>4272</v>
      </c>
      <c r="G1421" s="2" t="s">
        <v>4272</v>
      </c>
      <c r="H1421" s="2" t="s">
        <v>4272</v>
      </c>
      <c r="I1421" s="2" t="s">
        <v>4498</v>
      </c>
      <c r="J1421" s="2" t="s">
        <v>795</v>
      </c>
      <c r="K1421" s="2" t="s">
        <v>4274</v>
      </c>
      <c r="L1421" s="3">
        <v>57.33</v>
      </c>
      <c r="M1421" s="3">
        <v>60.2</v>
      </c>
      <c r="N1421" s="3">
        <v>114.99</v>
      </c>
      <c r="O1421" s="2" t="s">
        <v>97</v>
      </c>
      <c r="P1421" s="2" t="s">
        <v>98</v>
      </c>
      <c r="Q1421" s="2" t="s">
        <v>99</v>
      </c>
      <c r="R1421" s="2" t="s">
        <v>100</v>
      </c>
      <c r="S1421" s="2" t="s">
        <v>4275</v>
      </c>
      <c r="T1421" s="2" t="s">
        <v>359</v>
      </c>
      <c r="U1421" s="2" t="s">
        <v>1508</v>
      </c>
      <c r="V1421" s="2" t="s">
        <v>4187</v>
      </c>
      <c r="W1421" s="2" t="s">
        <v>105</v>
      </c>
      <c r="X1421" s="2" t="s">
        <v>4187</v>
      </c>
      <c r="Y1421" s="2" t="s">
        <v>4276</v>
      </c>
      <c r="Z1421" s="4">
        <v>70</v>
      </c>
      <c r="AA1421" s="4">
        <f>=ROUNDDOWN(11.6666666666667,0)</f>
      </c>
      <c r="AB1421" s="5">
        <v>6</v>
      </c>
      <c r="AC1421" s="2" t="s">
        <v>790</v>
      </c>
      <c r="AD1421" s="4">
        <v>100</v>
      </c>
      <c r="AE1421" s="4">
        <v>240</v>
      </c>
      <c r="AF1421" s="6">
        <v>66</v>
      </c>
      <c r="AG1421" s="6"/>
      <c r="AH1421" s="7">
        <v>1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>
        <v>0</v>
      </c>
      <c r="AP1421" s="4"/>
      <c r="AQ1421" s="8"/>
      <c r="AR1421" s="4"/>
      <c r="AS1421" s="8"/>
      <c r="AT1421" s="7"/>
      <c r="AU1421" s="7"/>
      <c r="AV1421" s="4" t="s">
        <v>100</v>
      </c>
      <c r="AW1421" s="8" t="s">
        <v>100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/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/>
      <c r="BJ1421" s="4">
        <v>6</v>
      </c>
      <c r="BK1421" s="8">
        <v>402.45</v>
      </c>
      <c r="BL1421" s="2" t="s">
        <v>1963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270</v>
      </c>
      <c r="BX1421" s="2" t="s">
        <v>4500</v>
      </c>
      <c r="BY1421" s="2" t="s">
        <v>112</v>
      </c>
      <c r="BZ1421" s="2" t="s">
        <v>100</v>
      </c>
    </row>
    <row r="1422">
      <c r="A1422" s="2" t="s">
        <v>4501</v>
      </c>
      <c r="B1422" s="2" t="s">
        <v>87</v>
      </c>
      <c r="C1422" s="2" t="s">
        <v>4104</v>
      </c>
      <c r="D1422" s="2" t="s">
        <v>3079</v>
      </c>
      <c r="E1422" s="2" t="s">
        <v>3176</v>
      </c>
      <c r="F1422" s="2" t="s">
        <v>4272</v>
      </c>
      <c r="G1422" s="2" t="s">
        <v>4272</v>
      </c>
      <c r="H1422" s="2" t="s">
        <v>4272</v>
      </c>
      <c r="I1422" s="2" t="s">
        <v>4498</v>
      </c>
      <c r="J1422" s="2" t="s">
        <v>785</v>
      </c>
      <c r="K1422" s="2" t="s">
        <v>4280</v>
      </c>
      <c r="L1422" s="3">
        <v>43.2</v>
      </c>
      <c r="M1422" s="3">
        <v>45.36</v>
      </c>
      <c r="N1422" s="3">
        <v>84.99</v>
      </c>
      <c r="O1422" s="2" t="s">
        <v>97</v>
      </c>
      <c r="P1422" s="2" t="s">
        <v>383</v>
      </c>
      <c r="Q1422" s="2" t="s">
        <v>99</v>
      </c>
      <c r="R1422" s="2" t="s">
        <v>100</v>
      </c>
      <c r="S1422" s="2" t="s">
        <v>4281</v>
      </c>
      <c r="T1422" s="2" t="s">
        <v>359</v>
      </c>
      <c r="U1422" s="2" t="s">
        <v>1508</v>
      </c>
      <c r="V1422" s="2" t="s">
        <v>4187</v>
      </c>
      <c r="W1422" s="2" t="s">
        <v>105</v>
      </c>
      <c r="X1422" s="2" t="s">
        <v>4199</v>
      </c>
      <c r="Y1422" s="2" t="s">
        <v>4282</v>
      </c>
      <c r="Z1422" s="4">
        <v>273</v>
      </c>
      <c r="AA1422" s="4">
        <f>=ROUNDDOWN(27.3,0)</f>
      </c>
      <c r="AB1422" s="5">
        <v>10</v>
      </c>
      <c r="AC1422" s="2" t="s">
        <v>3400</v>
      </c>
      <c r="AD1422" s="4">
        <v>80</v>
      </c>
      <c r="AE1422" s="4">
        <v>230</v>
      </c>
      <c r="AF1422" s="6">
        <v>66</v>
      </c>
      <c r="AG1422" s="6">
        <v>49</v>
      </c>
      <c r="AH1422" s="7">
        <v>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>
        <v>0</v>
      </c>
      <c r="AP1422" s="4"/>
      <c r="AQ1422" s="8"/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/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/>
      <c r="BJ1422" s="4">
        <v>8</v>
      </c>
      <c r="BK1422" s="8">
        <v>385.79</v>
      </c>
      <c r="BL1422" s="2" t="s">
        <v>1485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4114</v>
      </c>
      <c r="BX1422" s="2" t="s">
        <v>106</v>
      </c>
      <c r="BY1422" s="2" t="s">
        <v>112</v>
      </c>
      <c r="BZ1422" s="2" t="s">
        <v>100</v>
      </c>
    </row>
    <row r="1423">
      <c r="A1423" s="2" t="s">
        <v>4502</v>
      </c>
      <c r="B1423" s="2" t="s">
        <v>87</v>
      </c>
      <c r="C1423" s="2" t="s">
        <v>4104</v>
      </c>
      <c r="D1423" s="2" t="s">
        <v>3079</v>
      </c>
      <c r="E1423" s="2" t="s">
        <v>3176</v>
      </c>
      <c r="F1423" s="2" t="s">
        <v>4272</v>
      </c>
      <c r="G1423" s="2" t="s">
        <v>4272</v>
      </c>
      <c r="H1423" s="2" t="s">
        <v>4272</v>
      </c>
      <c r="I1423" s="2" t="s">
        <v>4498</v>
      </c>
      <c r="J1423" s="2" t="s">
        <v>795</v>
      </c>
      <c r="K1423" s="2" t="s">
        <v>4280</v>
      </c>
      <c r="L1423" s="3">
        <v>57.33</v>
      </c>
      <c r="M1423" s="3">
        <v>60.2</v>
      </c>
      <c r="N1423" s="3">
        <v>114.99</v>
      </c>
      <c r="O1423" s="2" t="s">
        <v>97</v>
      </c>
      <c r="P1423" s="2" t="s">
        <v>383</v>
      </c>
      <c r="Q1423" s="2" t="s">
        <v>99</v>
      </c>
      <c r="R1423" s="2" t="s">
        <v>100</v>
      </c>
      <c r="S1423" s="2" t="s">
        <v>4281</v>
      </c>
      <c r="T1423" s="2" t="s">
        <v>359</v>
      </c>
      <c r="U1423" s="2" t="s">
        <v>1508</v>
      </c>
      <c r="V1423" s="2" t="s">
        <v>4187</v>
      </c>
      <c r="W1423" s="2" t="s">
        <v>105</v>
      </c>
      <c r="X1423" s="2" t="s">
        <v>4199</v>
      </c>
      <c r="Y1423" s="2" t="s">
        <v>4282</v>
      </c>
      <c r="Z1423" s="4">
        <v>194</v>
      </c>
      <c r="AA1423" s="4">
        <f>=ROUNDDOWN(27.7142857142857,0)</f>
      </c>
      <c r="AB1423" s="5">
        <v>7</v>
      </c>
      <c r="AC1423" s="2" t="s">
        <v>3400</v>
      </c>
      <c r="AD1423" s="4">
        <v>40</v>
      </c>
      <c r="AE1423" s="4">
        <v>240</v>
      </c>
      <c r="AF1423" s="6">
        <v>66</v>
      </c>
      <c r="AG1423" s="6">
        <v>49</v>
      </c>
      <c r="AH1423" s="7">
        <v>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>
        <v>0</v>
      </c>
      <c r="AP1423" s="4"/>
      <c r="AQ1423" s="8"/>
      <c r="AR1423" s="4"/>
      <c r="AS1423" s="8"/>
      <c r="AT1423" s="7"/>
      <c r="AU1423" s="7"/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/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/>
      <c r="BJ1423" s="4">
        <v>6</v>
      </c>
      <c r="BK1423" s="8">
        <v>377.97</v>
      </c>
      <c r="BL1423" s="2" t="s">
        <v>3132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4114</v>
      </c>
      <c r="BX1423" s="2" t="s">
        <v>2422</v>
      </c>
      <c r="BY1423" s="2" t="s">
        <v>112</v>
      </c>
      <c r="BZ1423" s="2" t="s">
        <v>100</v>
      </c>
    </row>
    <row r="1424">
      <c r="A1424" s="2" t="s">
        <v>4503</v>
      </c>
      <c r="B1424" s="2" t="s">
        <v>87</v>
      </c>
      <c r="C1424" s="2" t="s">
        <v>4104</v>
      </c>
      <c r="D1424" s="2" t="s">
        <v>3079</v>
      </c>
      <c r="E1424" s="2" t="s">
        <v>3176</v>
      </c>
      <c r="F1424" s="2" t="s">
        <v>4118</v>
      </c>
      <c r="G1424" s="2" t="s">
        <v>4118</v>
      </c>
      <c r="H1424" s="2" t="s">
        <v>4118</v>
      </c>
      <c r="I1424" s="2" t="s">
        <v>4504</v>
      </c>
      <c r="J1424" s="2" t="s">
        <v>785</v>
      </c>
      <c r="K1424" s="2" t="s">
        <v>4120</v>
      </c>
      <c r="L1424" s="3">
        <v>44.16</v>
      </c>
      <c r="M1424" s="3">
        <v>46.37</v>
      </c>
      <c r="N1424" s="3">
        <v>84.99</v>
      </c>
      <c r="O1424" s="2" t="s">
        <v>97</v>
      </c>
      <c r="P1424" s="2" t="s">
        <v>98</v>
      </c>
      <c r="Q1424" s="2" t="s">
        <v>99</v>
      </c>
      <c r="R1424" s="2" t="s">
        <v>100</v>
      </c>
      <c r="S1424" s="2" t="s">
        <v>4121</v>
      </c>
      <c r="T1424" s="2" t="s">
        <v>359</v>
      </c>
      <c r="U1424" s="2" t="s">
        <v>1508</v>
      </c>
      <c r="V1424" s="2" t="s">
        <v>734</v>
      </c>
      <c r="W1424" s="2" t="s">
        <v>2101</v>
      </c>
      <c r="X1424" s="2" t="s">
        <v>898</v>
      </c>
      <c r="Y1424" s="2" t="s">
        <v>4122</v>
      </c>
      <c r="Z1424" s="4">
        <v>106</v>
      </c>
      <c r="AA1424" s="4">
        <f>=ROUNDDOWN(21.2,0)</f>
      </c>
      <c r="AB1424" s="5">
        <v>5</v>
      </c>
      <c r="AC1424" s="2" t="s">
        <v>4123</v>
      </c>
      <c r="AD1424" s="4">
        <v>115</v>
      </c>
      <c r="AE1424" s="4">
        <v>115</v>
      </c>
      <c r="AF1424" s="6">
        <v>67</v>
      </c>
      <c r="AG1424" s="6"/>
      <c r="AH1424" s="7">
        <v>1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>
        <v>0</v>
      </c>
      <c r="AP1424" s="4"/>
      <c r="AQ1424" s="8"/>
      <c r="AR1424" s="4"/>
      <c r="AS1424" s="8"/>
      <c r="AT1424" s="7"/>
      <c r="AU1424" s="7"/>
      <c r="AV1424" s="4" t="s">
        <v>100</v>
      </c>
      <c r="AW1424" s="8" t="s">
        <v>100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/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/>
      <c r="BJ1424" s="4">
        <v>5</v>
      </c>
      <c r="BK1424" s="8">
        <v>220.54</v>
      </c>
      <c r="BL1424" s="2" t="s">
        <v>2606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270</v>
      </c>
      <c r="BX1424" s="2" t="s">
        <v>4505</v>
      </c>
      <c r="BY1424" s="2" t="s">
        <v>112</v>
      </c>
      <c r="BZ1424" s="2" t="s">
        <v>100</v>
      </c>
    </row>
    <row r="1425">
      <c r="A1425" s="2" t="s">
        <v>4506</v>
      </c>
      <c r="B1425" s="2" t="s">
        <v>87</v>
      </c>
      <c r="C1425" s="2" t="s">
        <v>4104</v>
      </c>
      <c r="D1425" s="2" t="s">
        <v>3079</v>
      </c>
      <c r="E1425" s="2" t="s">
        <v>3176</v>
      </c>
      <c r="F1425" s="2" t="s">
        <v>4118</v>
      </c>
      <c r="G1425" s="2" t="s">
        <v>4118</v>
      </c>
      <c r="H1425" s="2" t="s">
        <v>4118</v>
      </c>
      <c r="I1425" s="2" t="s">
        <v>4504</v>
      </c>
      <c r="J1425" s="2" t="s">
        <v>795</v>
      </c>
      <c r="K1425" s="2" t="s">
        <v>4120</v>
      </c>
      <c r="L1425" s="3">
        <v>58.6</v>
      </c>
      <c r="M1425" s="3">
        <v>61.53</v>
      </c>
      <c r="N1425" s="3">
        <v>114.99</v>
      </c>
      <c r="O1425" s="2" t="s">
        <v>97</v>
      </c>
      <c r="P1425" s="2" t="s">
        <v>98</v>
      </c>
      <c r="Q1425" s="2" t="s">
        <v>99</v>
      </c>
      <c r="R1425" s="2" t="s">
        <v>100</v>
      </c>
      <c r="S1425" s="2" t="s">
        <v>4121</v>
      </c>
      <c r="T1425" s="2" t="s">
        <v>359</v>
      </c>
      <c r="U1425" s="2" t="s">
        <v>1508</v>
      </c>
      <c r="V1425" s="2" t="s">
        <v>734</v>
      </c>
      <c r="W1425" s="2" t="s">
        <v>2101</v>
      </c>
      <c r="X1425" s="2" t="s">
        <v>898</v>
      </c>
      <c r="Y1425" s="2" t="s">
        <v>4122</v>
      </c>
      <c r="Z1425" s="4">
        <v>75</v>
      </c>
      <c r="AA1425" s="4">
        <f>=ROUNDDOWN(9.375,0)</f>
      </c>
      <c r="AB1425" s="5">
        <v>8</v>
      </c>
      <c r="AC1425" s="2" t="s">
        <v>4123</v>
      </c>
      <c r="AD1425" s="4">
        <v>95</v>
      </c>
      <c r="AE1425" s="4">
        <v>345</v>
      </c>
      <c r="AF1425" s="6">
        <v>67</v>
      </c>
      <c r="AG1425" s="6"/>
      <c r="AH1425" s="7">
        <v>1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</v>
      </c>
      <c r="AP1425" s="4"/>
      <c r="AQ1425" s="8"/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/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/>
      <c r="BJ1425" s="4">
        <v>2</v>
      </c>
      <c r="BK1425" s="8">
        <v>132</v>
      </c>
      <c r="BL1425" s="2" t="s">
        <v>2799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270</v>
      </c>
      <c r="BX1425" s="2" t="s">
        <v>1024</v>
      </c>
      <c r="BY1425" s="2" t="s">
        <v>112</v>
      </c>
      <c r="BZ1425" s="2" t="s">
        <v>100</v>
      </c>
    </row>
    <row r="1426">
      <c r="A1426" s="2" t="s">
        <v>4507</v>
      </c>
      <c r="B1426" s="2" t="s">
        <v>87</v>
      </c>
      <c r="C1426" s="2" t="s">
        <v>4104</v>
      </c>
      <c r="D1426" s="2" t="s">
        <v>3079</v>
      </c>
      <c r="E1426" s="2" t="s">
        <v>3176</v>
      </c>
      <c r="F1426" s="2" t="s">
        <v>4118</v>
      </c>
      <c r="G1426" s="2" t="s">
        <v>4118</v>
      </c>
      <c r="H1426" s="2" t="s">
        <v>4118</v>
      </c>
      <c r="I1426" s="2" t="s">
        <v>4504</v>
      </c>
      <c r="J1426" s="2" t="s">
        <v>785</v>
      </c>
      <c r="K1426" s="2" t="s">
        <v>4128</v>
      </c>
      <c r="L1426" s="3">
        <v>44.16</v>
      </c>
      <c r="M1426" s="3">
        <v>46.37</v>
      </c>
      <c r="N1426" s="3">
        <v>84.99</v>
      </c>
      <c r="O1426" s="2" t="s">
        <v>97</v>
      </c>
      <c r="P1426" s="2" t="s">
        <v>281</v>
      </c>
      <c r="Q1426" s="2" t="s">
        <v>99</v>
      </c>
      <c r="R1426" s="2" t="s">
        <v>100</v>
      </c>
      <c r="S1426" s="2" t="s">
        <v>4129</v>
      </c>
      <c r="T1426" s="2" t="s">
        <v>359</v>
      </c>
      <c r="U1426" s="2" t="s">
        <v>1508</v>
      </c>
      <c r="V1426" s="2" t="s">
        <v>734</v>
      </c>
      <c r="W1426" s="2" t="s">
        <v>2101</v>
      </c>
      <c r="X1426" s="2" t="s">
        <v>898</v>
      </c>
      <c r="Y1426" s="2" t="s">
        <v>585</v>
      </c>
      <c r="Z1426" s="4">
        <v>3202</v>
      </c>
      <c r="AA1426" s="4">
        <f>=ROUNDDOWN(133.416666666667,0)</f>
      </c>
      <c r="AB1426" s="5">
        <v>24</v>
      </c>
      <c r="AC1426" s="2" t="s">
        <v>100</v>
      </c>
      <c r="AD1426" s="4"/>
      <c r="AE1426" s="4"/>
      <c r="AF1426" s="6">
        <v>67</v>
      </c>
      <c r="AG1426" s="6"/>
      <c r="AH1426" s="7">
        <v>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</v>
      </c>
      <c r="AP1426" s="4"/>
      <c r="AQ1426" s="8"/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/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/>
      <c r="BJ1426" s="4">
        <v>15</v>
      </c>
      <c r="BK1426" s="8">
        <v>717.54</v>
      </c>
      <c r="BL1426" s="2" t="s">
        <v>4508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3490</v>
      </c>
      <c r="BX1426" s="2" t="s">
        <v>2936</v>
      </c>
      <c r="BY1426" s="2" t="s">
        <v>112</v>
      </c>
      <c r="BZ1426" s="2" t="s">
        <v>100</v>
      </c>
    </row>
    <row r="1427">
      <c r="A1427" s="2" t="s">
        <v>4509</v>
      </c>
      <c r="B1427" s="2" t="s">
        <v>87</v>
      </c>
      <c r="C1427" s="2" t="s">
        <v>4104</v>
      </c>
      <c r="D1427" s="2" t="s">
        <v>3079</v>
      </c>
      <c r="E1427" s="2" t="s">
        <v>3176</v>
      </c>
      <c r="F1427" s="2" t="s">
        <v>4118</v>
      </c>
      <c r="G1427" s="2" t="s">
        <v>4118</v>
      </c>
      <c r="H1427" s="2" t="s">
        <v>4118</v>
      </c>
      <c r="I1427" s="2" t="s">
        <v>4504</v>
      </c>
      <c r="J1427" s="2" t="s">
        <v>795</v>
      </c>
      <c r="K1427" s="2" t="s">
        <v>4128</v>
      </c>
      <c r="L1427" s="3">
        <v>58.6</v>
      </c>
      <c r="M1427" s="3">
        <v>61.53</v>
      </c>
      <c r="N1427" s="3">
        <v>114.99</v>
      </c>
      <c r="O1427" s="2" t="s">
        <v>97</v>
      </c>
      <c r="P1427" s="2" t="s">
        <v>281</v>
      </c>
      <c r="Q1427" s="2" t="s">
        <v>99</v>
      </c>
      <c r="R1427" s="2" t="s">
        <v>100</v>
      </c>
      <c r="S1427" s="2" t="s">
        <v>4129</v>
      </c>
      <c r="T1427" s="2" t="s">
        <v>359</v>
      </c>
      <c r="U1427" s="2" t="s">
        <v>1508</v>
      </c>
      <c r="V1427" s="2" t="s">
        <v>734</v>
      </c>
      <c r="W1427" s="2" t="s">
        <v>2101</v>
      </c>
      <c r="X1427" s="2" t="s">
        <v>898</v>
      </c>
      <c r="Y1427" s="2" t="s">
        <v>585</v>
      </c>
      <c r="Z1427" s="4">
        <v>3786</v>
      </c>
      <c r="AA1427" s="4">
        <f>=ROUNDDOWN(172.090909090909,0)</f>
      </c>
      <c r="AB1427" s="5">
        <v>22</v>
      </c>
      <c r="AC1427" s="2" t="s">
        <v>100</v>
      </c>
      <c r="AD1427" s="4"/>
      <c r="AE1427" s="4"/>
      <c r="AF1427" s="6">
        <v>67</v>
      </c>
      <c r="AG1427" s="6"/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/>
      <c r="AQ1427" s="8"/>
      <c r="AR1427" s="4"/>
      <c r="AS1427" s="8"/>
      <c r="AT1427" s="7"/>
      <c r="AU1427" s="7"/>
      <c r="AV1427" s="4" t="s">
        <v>100</v>
      </c>
      <c r="AW1427" s="8" t="s">
        <v>100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/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/>
      <c r="BJ1427" s="4">
        <v>7</v>
      </c>
      <c r="BK1427" s="8">
        <v>415.41</v>
      </c>
      <c r="BL1427" s="2" t="s">
        <v>4304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3914</v>
      </c>
      <c r="BX1427" s="2" t="s">
        <v>2443</v>
      </c>
      <c r="BY1427" s="2" t="s">
        <v>112</v>
      </c>
      <c r="BZ1427" s="2" t="s">
        <v>100</v>
      </c>
    </row>
    <row r="1428">
      <c r="A1428" s="2" t="s">
        <v>4510</v>
      </c>
      <c r="B1428" s="2" t="s">
        <v>87</v>
      </c>
      <c r="C1428" s="2" t="s">
        <v>4104</v>
      </c>
      <c r="D1428" s="2" t="s">
        <v>3079</v>
      </c>
      <c r="E1428" s="2" t="s">
        <v>3176</v>
      </c>
      <c r="F1428" s="2" t="s">
        <v>1837</v>
      </c>
      <c r="G1428" s="2" t="s">
        <v>1837</v>
      </c>
      <c r="H1428" s="2" t="s">
        <v>1837</v>
      </c>
      <c r="I1428" s="2" t="s">
        <v>4511</v>
      </c>
      <c r="J1428" s="2" t="s">
        <v>785</v>
      </c>
      <c r="K1428" s="2" t="s">
        <v>163</v>
      </c>
      <c r="L1428" s="3">
        <v>52.8</v>
      </c>
      <c r="M1428" s="3">
        <v>55.44</v>
      </c>
      <c r="N1428" s="3">
        <v>109.99</v>
      </c>
      <c r="O1428" s="2" t="s">
        <v>1715</v>
      </c>
      <c r="P1428" s="2" t="s">
        <v>447</v>
      </c>
      <c r="Q1428" s="2" t="s">
        <v>99</v>
      </c>
      <c r="R1428" s="2" t="s">
        <v>100</v>
      </c>
      <c r="S1428" s="2" t="s">
        <v>4287</v>
      </c>
      <c r="T1428" s="2" t="s">
        <v>100</v>
      </c>
      <c r="U1428" s="2" t="s">
        <v>1508</v>
      </c>
      <c r="V1428" s="2" t="s">
        <v>4187</v>
      </c>
      <c r="W1428" s="2" t="s">
        <v>2101</v>
      </c>
      <c r="X1428" s="2" t="s">
        <v>976</v>
      </c>
      <c r="Y1428" s="2" t="s">
        <v>4288</v>
      </c>
      <c r="Z1428" s="4">
        <v>145</v>
      </c>
      <c r="AA1428" s="4">
        <f>=ROUNDDOWN(103.571428571429,0)</f>
      </c>
      <c r="AB1428" s="5">
        <v>1.4</v>
      </c>
      <c r="AC1428" s="2" t="s">
        <v>100</v>
      </c>
      <c r="AD1428" s="4"/>
      <c r="AE1428" s="4"/>
      <c r="AF1428" s="6">
        <v>67</v>
      </c>
      <c r="AG1428" s="6"/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>
        <v>0</v>
      </c>
      <c r="AP1428" s="4"/>
      <c r="AQ1428" s="8"/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/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/>
      <c r="BJ1428" s="4">
        <v>1</v>
      </c>
      <c r="BK1428" s="8">
        <v>35.93</v>
      </c>
      <c r="BL1428" s="2" t="s">
        <v>2115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3088</v>
      </c>
      <c r="BV1428" s="2" t="s">
        <v>97</v>
      </c>
      <c r="BW1428" s="2" t="s">
        <v>100</v>
      </c>
      <c r="BX1428" s="2" t="s">
        <v>100</v>
      </c>
      <c r="BY1428" s="2" t="s">
        <v>112</v>
      </c>
      <c r="BZ1428" s="2" t="s">
        <v>100</v>
      </c>
    </row>
    <row r="1429">
      <c r="A1429" s="2" t="s">
        <v>4512</v>
      </c>
      <c r="B1429" s="2" t="s">
        <v>87</v>
      </c>
      <c r="C1429" s="2" t="s">
        <v>4104</v>
      </c>
      <c r="D1429" s="2" t="s">
        <v>3079</v>
      </c>
      <c r="E1429" s="2" t="s">
        <v>3176</v>
      </c>
      <c r="F1429" s="2" t="s">
        <v>1837</v>
      </c>
      <c r="G1429" s="2" t="s">
        <v>1837</v>
      </c>
      <c r="H1429" s="2" t="s">
        <v>1837</v>
      </c>
      <c r="I1429" s="2" t="s">
        <v>4511</v>
      </c>
      <c r="J1429" s="2" t="s">
        <v>795</v>
      </c>
      <c r="K1429" s="2" t="s">
        <v>163</v>
      </c>
      <c r="L1429" s="3">
        <v>67.2</v>
      </c>
      <c r="M1429" s="3">
        <v>70.56</v>
      </c>
      <c r="N1429" s="3">
        <v>139.99</v>
      </c>
      <c r="O1429" s="2" t="s">
        <v>1715</v>
      </c>
      <c r="P1429" s="2" t="s">
        <v>447</v>
      </c>
      <c r="Q1429" s="2" t="s">
        <v>99</v>
      </c>
      <c r="R1429" s="2" t="s">
        <v>100</v>
      </c>
      <c r="S1429" s="2" t="s">
        <v>4287</v>
      </c>
      <c r="T1429" s="2" t="s">
        <v>100</v>
      </c>
      <c r="U1429" s="2" t="s">
        <v>1508</v>
      </c>
      <c r="V1429" s="2" t="s">
        <v>4187</v>
      </c>
      <c r="W1429" s="2" t="s">
        <v>2101</v>
      </c>
      <c r="X1429" s="2" t="s">
        <v>976</v>
      </c>
      <c r="Y1429" s="2" t="s">
        <v>4288</v>
      </c>
      <c r="Z1429" s="4">
        <v>370</v>
      </c>
      <c r="AA1429" s="4">
        <f>=ROUNDDOWN(370,0)</f>
      </c>
      <c r="AB1429" s="5">
        <v>1</v>
      </c>
      <c r="AC1429" s="2" t="s">
        <v>100</v>
      </c>
      <c r="AD1429" s="4"/>
      <c r="AE1429" s="4"/>
      <c r="AF1429" s="6">
        <v>67</v>
      </c>
      <c r="AG1429" s="6"/>
      <c r="AH1429" s="7">
        <v>1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>
        <v>0</v>
      </c>
      <c r="AP1429" s="4"/>
      <c r="AQ1429" s="8"/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/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/>
      <c r="BJ1429" s="4"/>
      <c r="BK1429" s="8"/>
      <c r="BL1429" s="2" t="s">
        <v>100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3088</v>
      </c>
      <c r="BV1429" s="2" t="s">
        <v>97</v>
      </c>
      <c r="BW1429" s="2" t="s">
        <v>100</v>
      </c>
      <c r="BX1429" s="2" t="s">
        <v>100</v>
      </c>
      <c r="BY1429" s="2" t="s">
        <v>112</v>
      </c>
      <c r="BZ1429" s="2" t="s">
        <v>100</v>
      </c>
    </row>
    <row r="1430">
      <c r="A1430" s="2" t="s">
        <v>4513</v>
      </c>
      <c r="B1430" s="2" t="s">
        <v>87</v>
      </c>
      <c r="C1430" s="2" t="s">
        <v>4104</v>
      </c>
      <c r="D1430" s="2" t="s">
        <v>3079</v>
      </c>
      <c r="E1430" s="2" t="s">
        <v>3176</v>
      </c>
      <c r="F1430" s="2" t="s">
        <v>4291</v>
      </c>
      <c r="G1430" s="2" t="s">
        <v>4291</v>
      </c>
      <c r="H1430" s="2" t="s">
        <v>4291</v>
      </c>
      <c r="I1430" s="2" t="s">
        <v>4514</v>
      </c>
      <c r="J1430" s="2" t="s">
        <v>785</v>
      </c>
      <c r="K1430" s="2" t="s">
        <v>4293</v>
      </c>
      <c r="L1430" s="3">
        <v>45.71</v>
      </c>
      <c r="M1430" s="3">
        <v>48</v>
      </c>
      <c r="N1430" s="3">
        <v>99.99</v>
      </c>
      <c r="O1430" s="2" t="s">
        <v>97</v>
      </c>
      <c r="P1430" s="2" t="s">
        <v>1216</v>
      </c>
      <c r="Q1430" s="2" t="s">
        <v>99</v>
      </c>
      <c r="R1430" s="2" t="s">
        <v>100</v>
      </c>
      <c r="S1430" s="2" t="s">
        <v>4294</v>
      </c>
      <c r="T1430" s="2" t="s">
        <v>359</v>
      </c>
      <c r="U1430" s="2" t="s">
        <v>1508</v>
      </c>
      <c r="V1430" s="2" t="s">
        <v>805</v>
      </c>
      <c r="W1430" s="2" t="s">
        <v>4199</v>
      </c>
      <c r="X1430" s="2" t="s">
        <v>976</v>
      </c>
      <c r="Y1430" s="2" t="s">
        <v>3810</v>
      </c>
      <c r="Z1430" s="4">
        <v>186</v>
      </c>
      <c r="AA1430" s="4">
        <f>=ROUNDDOWN(206.666666666667,0)</f>
      </c>
      <c r="AB1430" s="5">
        <v>0.9</v>
      </c>
      <c r="AC1430" s="2" t="s">
        <v>100</v>
      </c>
      <c r="AD1430" s="4"/>
      <c r="AE1430" s="4"/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>
        <v>0</v>
      </c>
      <c r="AP1430" s="4"/>
      <c r="AQ1430" s="8"/>
      <c r="AR1430" s="4"/>
      <c r="AS1430" s="8"/>
      <c r="AT1430" s="7"/>
      <c r="AU1430" s="7"/>
      <c r="AV1430" s="4" t="s">
        <v>100</v>
      </c>
      <c r="AW1430" s="8" t="s">
        <v>100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/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/>
      <c r="BJ1430" s="4">
        <v>1</v>
      </c>
      <c r="BK1430" s="8">
        <v>51.84</v>
      </c>
      <c r="BL1430" s="2" t="s">
        <v>441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1221</v>
      </c>
      <c r="BX1430" s="2" t="s">
        <v>100</v>
      </c>
      <c r="BY1430" s="2" t="s">
        <v>112</v>
      </c>
      <c r="BZ1430" s="2" t="s">
        <v>100</v>
      </c>
    </row>
    <row r="1431">
      <c r="A1431" s="2" t="s">
        <v>4515</v>
      </c>
      <c r="B1431" s="2" t="s">
        <v>87</v>
      </c>
      <c r="C1431" s="2" t="s">
        <v>4104</v>
      </c>
      <c r="D1431" s="2" t="s">
        <v>3079</v>
      </c>
      <c r="E1431" s="2" t="s">
        <v>3176</v>
      </c>
      <c r="F1431" s="2" t="s">
        <v>4291</v>
      </c>
      <c r="G1431" s="2" t="s">
        <v>4291</v>
      </c>
      <c r="H1431" s="2" t="s">
        <v>4291</v>
      </c>
      <c r="I1431" s="2" t="s">
        <v>4514</v>
      </c>
      <c r="J1431" s="2" t="s">
        <v>795</v>
      </c>
      <c r="K1431" s="2" t="s">
        <v>4293</v>
      </c>
      <c r="L1431" s="3">
        <v>54.85</v>
      </c>
      <c r="M1431" s="3">
        <v>57.59</v>
      </c>
      <c r="N1431" s="3">
        <v>119.99</v>
      </c>
      <c r="O1431" s="2" t="s">
        <v>97</v>
      </c>
      <c r="P1431" s="2" t="s">
        <v>1216</v>
      </c>
      <c r="Q1431" s="2" t="s">
        <v>99</v>
      </c>
      <c r="R1431" s="2" t="s">
        <v>100</v>
      </c>
      <c r="S1431" s="2" t="s">
        <v>4294</v>
      </c>
      <c r="T1431" s="2" t="s">
        <v>359</v>
      </c>
      <c r="U1431" s="2" t="s">
        <v>1508</v>
      </c>
      <c r="V1431" s="2" t="s">
        <v>805</v>
      </c>
      <c r="W1431" s="2" t="s">
        <v>4199</v>
      </c>
      <c r="X1431" s="2" t="s">
        <v>976</v>
      </c>
      <c r="Y1431" s="2" t="s">
        <v>3810</v>
      </c>
      <c r="Z1431" s="4">
        <v>177</v>
      </c>
      <c r="AA1431" s="4">
        <f>=ROUNDDOWN(590,0)</f>
      </c>
      <c r="AB1431" s="5">
        <v>0.3</v>
      </c>
      <c r="AC1431" s="2" t="s">
        <v>100</v>
      </c>
      <c r="AD1431" s="4"/>
      <c r="AE1431" s="4"/>
      <c r="AF1431" s="6">
        <v>65</v>
      </c>
      <c r="AG1431" s="6"/>
      <c r="AH1431" s="7">
        <v>1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>
        <v>0</v>
      </c>
      <c r="AP1431" s="4"/>
      <c r="AQ1431" s="8"/>
      <c r="AR1431" s="4"/>
      <c r="AS1431" s="8"/>
      <c r="AT1431" s="7"/>
      <c r="AU1431" s="7"/>
      <c r="AV1431" s="4" t="s">
        <v>100</v>
      </c>
      <c r="AW1431" s="8" t="s">
        <v>100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/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/>
      <c r="BJ1431" s="4"/>
      <c r="BK1431" s="8"/>
      <c r="BL1431" s="2" t="s">
        <v>100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1221</v>
      </c>
      <c r="BX1431" s="2" t="s">
        <v>100</v>
      </c>
      <c r="BY1431" s="2" t="s">
        <v>112</v>
      </c>
      <c r="BZ1431" s="2" t="s">
        <v>100</v>
      </c>
    </row>
    <row r="1432">
      <c r="A1432" s="2" t="s">
        <v>4516</v>
      </c>
      <c r="B1432" s="2" t="s">
        <v>87</v>
      </c>
      <c r="C1432" s="2" t="s">
        <v>4104</v>
      </c>
      <c r="D1432" s="2" t="s">
        <v>3079</v>
      </c>
      <c r="E1432" s="2" t="s">
        <v>3176</v>
      </c>
      <c r="F1432" s="2" t="s">
        <v>4291</v>
      </c>
      <c r="G1432" s="2" t="s">
        <v>4291</v>
      </c>
      <c r="H1432" s="2" t="s">
        <v>4291</v>
      </c>
      <c r="I1432" s="2" t="s">
        <v>4514</v>
      </c>
      <c r="J1432" s="2" t="s">
        <v>785</v>
      </c>
      <c r="K1432" s="2" t="s">
        <v>175</v>
      </c>
      <c r="L1432" s="3">
        <v>45.71</v>
      </c>
      <c r="M1432" s="3">
        <v>48</v>
      </c>
      <c r="N1432" s="3">
        <v>99.99</v>
      </c>
      <c r="O1432" s="2" t="s">
        <v>97</v>
      </c>
      <c r="P1432" s="2" t="s">
        <v>1216</v>
      </c>
      <c r="Q1432" s="2" t="s">
        <v>99</v>
      </c>
      <c r="R1432" s="2" t="s">
        <v>100</v>
      </c>
      <c r="S1432" s="2" t="s">
        <v>4297</v>
      </c>
      <c r="T1432" s="2" t="s">
        <v>359</v>
      </c>
      <c r="U1432" s="2" t="s">
        <v>1508</v>
      </c>
      <c r="V1432" s="2" t="s">
        <v>805</v>
      </c>
      <c r="W1432" s="2" t="s">
        <v>4199</v>
      </c>
      <c r="X1432" s="2" t="s">
        <v>976</v>
      </c>
      <c r="Y1432" s="2" t="s">
        <v>3810</v>
      </c>
      <c r="Z1432" s="4">
        <v>196</v>
      </c>
      <c r="AA1432" s="4">
        <f>=ROUNDDOWN(280,0)</f>
      </c>
      <c r="AB1432" s="5">
        <v>0.7</v>
      </c>
      <c r="AC1432" s="2" t="s">
        <v>100</v>
      </c>
      <c r="AD1432" s="4"/>
      <c r="AE1432" s="4"/>
      <c r="AF1432" s="6">
        <v>65</v>
      </c>
      <c r="AG1432" s="6"/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/>
      <c r="AQ1432" s="8"/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/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/>
      <c r="BJ1432" s="4"/>
      <c r="BK1432" s="8"/>
      <c r="BL1432" s="2" t="s">
        <v>100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1221</v>
      </c>
      <c r="BX1432" s="2" t="s">
        <v>100</v>
      </c>
      <c r="BY1432" s="2" t="s">
        <v>112</v>
      </c>
      <c r="BZ1432" s="2" t="s">
        <v>100</v>
      </c>
    </row>
    <row r="1433">
      <c r="A1433" s="2" t="s">
        <v>4517</v>
      </c>
      <c r="B1433" s="2" t="s">
        <v>87</v>
      </c>
      <c r="C1433" s="2" t="s">
        <v>4104</v>
      </c>
      <c r="D1433" s="2" t="s">
        <v>3079</v>
      </c>
      <c r="E1433" s="2" t="s">
        <v>3176</v>
      </c>
      <c r="F1433" s="2" t="s">
        <v>4291</v>
      </c>
      <c r="G1433" s="2" t="s">
        <v>4291</v>
      </c>
      <c r="H1433" s="2" t="s">
        <v>4291</v>
      </c>
      <c r="I1433" s="2" t="s">
        <v>4514</v>
      </c>
      <c r="J1433" s="2" t="s">
        <v>795</v>
      </c>
      <c r="K1433" s="2" t="s">
        <v>175</v>
      </c>
      <c r="L1433" s="3">
        <v>54.85</v>
      </c>
      <c r="M1433" s="3">
        <v>57.59</v>
      </c>
      <c r="N1433" s="3">
        <v>119.99</v>
      </c>
      <c r="O1433" s="2" t="s">
        <v>97</v>
      </c>
      <c r="P1433" s="2" t="s">
        <v>1216</v>
      </c>
      <c r="Q1433" s="2" t="s">
        <v>99</v>
      </c>
      <c r="R1433" s="2" t="s">
        <v>100</v>
      </c>
      <c r="S1433" s="2" t="s">
        <v>4297</v>
      </c>
      <c r="T1433" s="2" t="s">
        <v>359</v>
      </c>
      <c r="U1433" s="2" t="s">
        <v>1508</v>
      </c>
      <c r="V1433" s="2" t="s">
        <v>805</v>
      </c>
      <c r="W1433" s="2" t="s">
        <v>4199</v>
      </c>
      <c r="X1433" s="2" t="s">
        <v>976</v>
      </c>
      <c r="Y1433" s="2" t="s">
        <v>3810</v>
      </c>
      <c r="Z1433" s="4">
        <v>178</v>
      </c>
      <c r="AA1433" s="4">
        <f>=ROUNDDOWN(98.8888888888889,0)</f>
      </c>
      <c r="AB1433" s="5">
        <v>1.8</v>
      </c>
      <c r="AC1433" s="2" t="s">
        <v>100</v>
      </c>
      <c r="AD1433" s="4"/>
      <c r="AE1433" s="4"/>
      <c r="AF1433" s="6">
        <v>65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/>
      <c r="AQ1433" s="8"/>
      <c r="AR1433" s="4"/>
      <c r="AS1433" s="8"/>
      <c r="AT1433" s="7"/>
      <c r="AU1433" s="7"/>
      <c r="AV1433" s="4" t="s">
        <v>100</v>
      </c>
      <c r="AW1433" s="8" t="s">
        <v>100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/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/>
      <c r="BJ1433" s="4">
        <v>2</v>
      </c>
      <c r="BK1433" s="8">
        <v>125.28</v>
      </c>
      <c r="BL1433" s="2" t="s">
        <v>4518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1221</v>
      </c>
      <c r="BX1433" s="2" t="s">
        <v>100</v>
      </c>
      <c r="BY1433" s="2" t="s">
        <v>112</v>
      </c>
      <c r="BZ1433" s="2" t="s">
        <v>100</v>
      </c>
    </row>
    <row r="1434">
      <c r="A1434" s="2" t="s">
        <v>4519</v>
      </c>
      <c r="B1434" s="2" t="s">
        <v>87</v>
      </c>
      <c r="C1434" s="2" t="s">
        <v>4104</v>
      </c>
      <c r="D1434" s="2" t="s">
        <v>3079</v>
      </c>
      <c r="E1434" s="2" t="s">
        <v>3176</v>
      </c>
      <c r="F1434" s="2" t="s">
        <v>4300</v>
      </c>
      <c r="G1434" s="2" t="s">
        <v>4300</v>
      </c>
      <c r="H1434" s="2" t="s">
        <v>4300</v>
      </c>
      <c r="I1434" s="2" t="s">
        <v>4520</v>
      </c>
      <c r="J1434" s="2" t="s">
        <v>785</v>
      </c>
      <c r="K1434" s="2" t="s">
        <v>4302</v>
      </c>
      <c r="L1434" s="3">
        <v>53.9</v>
      </c>
      <c r="M1434" s="3">
        <v>56.6</v>
      </c>
      <c r="N1434" s="3">
        <v>109.99</v>
      </c>
      <c r="O1434" s="2" t="s">
        <v>97</v>
      </c>
      <c r="P1434" s="2" t="s">
        <v>98</v>
      </c>
      <c r="Q1434" s="2" t="s">
        <v>99</v>
      </c>
      <c r="R1434" s="2" t="s">
        <v>100</v>
      </c>
      <c r="S1434" s="2" t="s">
        <v>4303</v>
      </c>
      <c r="T1434" s="2" t="s">
        <v>359</v>
      </c>
      <c r="U1434" s="2" t="s">
        <v>1508</v>
      </c>
      <c r="V1434" s="2" t="s">
        <v>1265</v>
      </c>
      <c r="W1434" s="2" t="s">
        <v>646</v>
      </c>
      <c r="X1434" s="2" t="s">
        <v>976</v>
      </c>
      <c r="Y1434" s="2" t="s">
        <v>1290</v>
      </c>
      <c r="Z1434" s="4">
        <v>74</v>
      </c>
      <c r="AA1434" s="4">
        <f>=ROUNDDOWN(18.5,0)</f>
      </c>
      <c r="AB1434" s="5">
        <v>4</v>
      </c>
      <c r="AC1434" s="2" t="s">
        <v>1377</v>
      </c>
      <c r="AD1434" s="4">
        <v>90</v>
      </c>
      <c r="AE1434" s="4">
        <v>90</v>
      </c>
      <c r="AF1434" s="6">
        <v>67</v>
      </c>
      <c r="AG1434" s="6"/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/>
      <c r="AQ1434" s="8"/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/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/>
      <c r="BJ1434" s="4">
        <v>5</v>
      </c>
      <c r="BK1434" s="8">
        <v>312.98</v>
      </c>
      <c r="BL1434" s="2" t="s">
        <v>4521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3088</v>
      </c>
      <c r="BV1434" s="2" t="s">
        <v>97</v>
      </c>
      <c r="BW1434" s="2" t="s">
        <v>100</v>
      </c>
      <c r="BX1434" s="2" t="s">
        <v>100</v>
      </c>
      <c r="BY1434" s="2" t="s">
        <v>112</v>
      </c>
      <c r="BZ1434" s="2" t="s">
        <v>100</v>
      </c>
    </row>
    <row r="1435">
      <c r="A1435" s="2" t="s">
        <v>4522</v>
      </c>
      <c r="B1435" s="2" t="s">
        <v>87</v>
      </c>
      <c r="C1435" s="2" t="s">
        <v>4104</v>
      </c>
      <c r="D1435" s="2" t="s">
        <v>3079</v>
      </c>
      <c r="E1435" s="2" t="s">
        <v>3176</v>
      </c>
      <c r="F1435" s="2" t="s">
        <v>4300</v>
      </c>
      <c r="G1435" s="2" t="s">
        <v>4300</v>
      </c>
      <c r="H1435" s="2" t="s">
        <v>4300</v>
      </c>
      <c r="I1435" s="2" t="s">
        <v>4520</v>
      </c>
      <c r="J1435" s="2" t="s">
        <v>795</v>
      </c>
      <c r="K1435" s="2" t="s">
        <v>4302</v>
      </c>
      <c r="L1435" s="3">
        <v>67.2</v>
      </c>
      <c r="M1435" s="3">
        <v>70.56</v>
      </c>
      <c r="N1435" s="3">
        <v>139.99</v>
      </c>
      <c r="O1435" s="2" t="s">
        <v>97</v>
      </c>
      <c r="P1435" s="2" t="s">
        <v>98</v>
      </c>
      <c r="Q1435" s="2" t="s">
        <v>99</v>
      </c>
      <c r="R1435" s="2" t="s">
        <v>100</v>
      </c>
      <c r="S1435" s="2" t="s">
        <v>4303</v>
      </c>
      <c r="T1435" s="2" t="s">
        <v>359</v>
      </c>
      <c r="U1435" s="2" t="s">
        <v>1508</v>
      </c>
      <c r="V1435" s="2" t="s">
        <v>1265</v>
      </c>
      <c r="W1435" s="2" t="s">
        <v>646</v>
      </c>
      <c r="X1435" s="2" t="s">
        <v>976</v>
      </c>
      <c r="Y1435" s="2" t="s">
        <v>1290</v>
      </c>
      <c r="Z1435" s="4">
        <v>77</v>
      </c>
      <c r="AA1435" s="4">
        <f>=ROUNDDOWN(19.25,0)</f>
      </c>
      <c r="AB1435" s="5">
        <v>4</v>
      </c>
      <c r="AC1435" s="2" t="s">
        <v>1377</v>
      </c>
      <c r="AD1435" s="4">
        <v>95</v>
      </c>
      <c r="AE1435" s="4">
        <v>95</v>
      </c>
      <c r="AF1435" s="6">
        <v>67</v>
      </c>
      <c r="AG1435" s="6"/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/>
      <c r="AQ1435" s="8"/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/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/>
      <c r="BJ1435" s="4">
        <v>3</v>
      </c>
      <c r="BK1435" s="8">
        <v>226.49</v>
      </c>
      <c r="BL1435" s="2" t="s">
        <v>1490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3088</v>
      </c>
      <c r="BV1435" s="2" t="s">
        <v>97</v>
      </c>
      <c r="BW1435" s="2" t="s">
        <v>100</v>
      </c>
      <c r="BX1435" s="2" t="s">
        <v>100</v>
      </c>
      <c r="BY1435" s="2" t="s">
        <v>112</v>
      </c>
      <c r="BZ1435" s="2" t="s">
        <v>100</v>
      </c>
    </row>
    <row r="1436">
      <c r="A1436" s="2" t="s">
        <v>4523</v>
      </c>
      <c r="B1436" s="2" t="s">
        <v>87</v>
      </c>
      <c r="C1436" s="2" t="s">
        <v>4104</v>
      </c>
      <c r="D1436" s="2" t="s">
        <v>3365</v>
      </c>
      <c r="E1436" s="2" t="s">
        <v>4524</v>
      </c>
      <c r="F1436" s="2" t="s">
        <v>1524</v>
      </c>
      <c r="G1436" s="2" t="s">
        <v>1524</v>
      </c>
      <c r="H1436" s="2" t="s">
        <v>1524</v>
      </c>
      <c r="I1436" s="2" t="s">
        <v>4525</v>
      </c>
      <c r="J1436" s="2" t="s">
        <v>4526</v>
      </c>
      <c r="K1436" s="2" t="s">
        <v>163</v>
      </c>
      <c r="L1436" s="3">
        <v>14.85</v>
      </c>
      <c r="M1436" s="3">
        <v>15.59</v>
      </c>
      <c r="N1436" s="3">
        <v>32.99</v>
      </c>
      <c r="O1436" s="2" t="s">
        <v>97</v>
      </c>
      <c r="P1436" s="2" t="s">
        <v>242</v>
      </c>
      <c r="Q1436" s="2" t="s">
        <v>99</v>
      </c>
      <c r="R1436" s="2" t="s">
        <v>100</v>
      </c>
      <c r="S1436" s="2" t="s">
        <v>4527</v>
      </c>
      <c r="T1436" s="2" t="s">
        <v>359</v>
      </c>
      <c r="U1436" s="2" t="s">
        <v>3325</v>
      </c>
      <c r="V1436" s="2" t="s">
        <v>645</v>
      </c>
      <c r="W1436" s="2" t="s">
        <v>976</v>
      </c>
      <c r="X1436" s="2" t="s">
        <v>2101</v>
      </c>
      <c r="Y1436" s="2" t="s">
        <v>3161</v>
      </c>
      <c r="Z1436" s="4">
        <v>794</v>
      </c>
      <c r="AA1436" s="4">
        <f>=ROUNDDOWN(15.88,0)</f>
      </c>
      <c r="AB1436" s="5">
        <v>50</v>
      </c>
      <c r="AC1436" s="2" t="s">
        <v>680</v>
      </c>
      <c r="AD1436" s="4">
        <v>300</v>
      </c>
      <c r="AE1436" s="4">
        <v>850</v>
      </c>
      <c r="AF1436" s="6">
        <v>66</v>
      </c>
      <c r="AG1436" s="6"/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>
        <v>0</v>
      </c>
      <c r="AP1436" s="4">
        <v>2</v>
      </c>
      <c r="AQ1436" s="8">
        <v>31.12</v>
      </c>
      <c r="AR1436" s="4"/>
      <c r="AS1436" s="8"/>
      <c r="AT1436" s="7"/>
      <c r="AU1436" s="7"/>
      <c r="AV1436" s="4">
        <v>2</v>
      </c>
      <c r="AW1436" s="8">
        <v>31.12</v>
      </c>
      <c r="AX1436" s="4"/>
      <c r="AY1436" s="8"/>
      <c r="AZ1436" s="7"/>
      <c r="BA1436" s="7"/>
      <c r="BB1436" s="7">
        <v>1</v>
      </c>
      <c r="BC1436" s="4">
        <v>2</v>
      </c>
      <c r="BD1436" s="8">
        <v>31.12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>
        <v>1</v>
      </c>
      <c r="BJ1436" s="4">
        <v>18</v>
      </c>
      <c r="BK1436" s="8">
        <v>296.12</v>
      </c>
      <c r="BL1436" s="2" t="s">
        <v>4528</v>
      </c>
      <c r="BM1436" s="7">
        <v>0.1111</v>
      </c>
      <c r="BN1436" s="7">
        <v>0.1051</v>
      </c>
      <c r="BO1436" s="4">
        <v>2</v>
      </c>
      <c r="BP1436" s="8">
        <v>31.12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3091</v>
      </c>
      <c r="BX1436" s="2" t="s">
        <v>1635</v>
      </c>
      <c r="BY1436" s="2" t="s">
        <v>112</v>
      </c>
      <c r="BZ1436" s="2" t="s">
        <v>100</v>
      </c>
    </row>
    <row r="1437">
      <c r="A1437" s="2" t="s">
        <v>4529</v>
      </c>
      <c r="B1437" s="2" t="s">
        <v>87</v>
      </c>
      <c r="C1437" s="2" t="s">
        <v>4104</v>
      </c>
      <c r="D1437" s="2" t="s">
        <v>3365</v>
      </c>
      <c r="E1437" s="2" t="s">
        <v>4524</v>
      </c>
      <c r="F1437" s="2" t="s">
        <v>1524</v>
      </c>
      <c r="G1437" s="2" t="s">
        <v>1524</v>
      </c>
      <c r="H1437" s="2" t="s">
        <v>1524</v>
      </c>
      <c r="I1437" s="2" t="s">
        <v>4525</v>
      </c>
      <c r="J1437" s="2" t="s">
        <v>4526</v>
      </c>
      <c r="K1437" s="2" t="s">
        <v>185</v>
      </c>
      <c r="L1437" s="3">
        <v>14.85</v>
      </c>
      <c r="M1437" s="3">
        <v>15.59</v>
      </c>
      <c r="N1437" s="3">
        <v>32.99</v>
      </c>
      <c r="O1437" s="2" t="s">
        <v>97</v>
      </c>
      <c r="P1437" s="2" t="s">
        <v>242</v>
      </c>
      <c r="Q1437" s="2" t="s">
        <v>99</v>
      </c>
      <c r="R1437" s="2" t="s">
        <v>100</v>
      </c>
      <c r="S1437" s="2" t="s">
        <v>4530</v>
      </c>
      <c r="T1437" s="2" t="s">
        <v>100</v>
      </c>
      <c r="U1437" s="2" t="s">
        <v>100</v>
      </c>
      <c r="V1437" s="2" t="s">
        <v>645</v>
      </c>
      <c r="W1437" s="2" t="s">
        <v>976</v>
      </c>
      <c r="X1437" s="2" t="s">
        <v>2101</v>
      </c>
      <c r="Y1437" s="2" t="s">
        <v>131</v>
      </c>
      <c r="Z1437" s="4">
        <v>1504</v>
      </c>
      <c r="AA1437" s="4">
        <f>=ROUNDDOWN(32.695652173913,0)</f>
      </c>
      <c r="AB1437" s="5">
        <v>46</v>
      </c>
      <c r="AC1437" s="2" t="s">
        <v>100</v>
      </c>
      <c r="AD1437" s="4"/>
      <c r="AE1437" s="4"/>
      <c r="AF1437" s="6">
        <v>65</v>
      </c>
      <c r="AG1437" s="6"/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>
        <v>0</v>
      </c>
      <c r="AP1437" s="4"/>
      <c r="AQ1437" s="8"/>
      <c r="AR1437" s="4"/>
      <c r="AS1437" s="8"/>
      <c r="AT1437" s="7"/>
      <c r="AU1437" s="7"/>
      <c r="AV1437" s="4"/>
      <c r="AW1437" s="8"/>
      <c r="AX1437" s="4"/>
      <c r="AY1437" s="8"/>
      <c r="AZ1437" s="7"/>
      <c r="BA1437" s="7"/>
      <c r="BB1437" s="7"/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/>
      <c r="BJ1437" s="4">
        <v>25</v>
      </c>
      <c r="BK1437" s="8">
        <v>380.86</v>
      </c>
      <c r="BL1437" s="2" t="s">
        <v>4452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723</v>
      </c>
      <c r="BX1437" s="2" t="s">
        <v>454</v>
      </c>
      <c r="BY1437" s="2" t="s">
        <v>112</v>
      </c>
      <c r="BZ1437" s="2" t="s">
        <v>100</v>
      </c>
    </row>
    <row r="1438">
      <c r="A1438" s="2" t="s">
        <v>4531</v>
      </c>
      <c r="B1438" s="2" t="s">
        <v>87</v>
      </c>
      <c r="C1438" s="2" t="s">
        <v>4104</v>
      </c>
      <c r="D1438" s="2" t="s">
        <v>3365</v>
      </c>
      <c r="E1438" s="2" t="s">
        <v>4524</v>
      </c>
      <c r="F1438" s="2" t="s">
        <v>1524</v>
      </c>
      <c r="G1438" s="2" t="s">
        <v>1524</v>
      </c>
      <c r="H1438" s="2" t="s">
        <v>1524</v>
      </c>
      <c r="I1438" s="2" t="s">
        <v>4525</v>
      </c>
      <c r="J1438" s="2" t="s">
        <v>4526</v>
      </c>
      <c r="K1438" s="2" t="s">
        <v>146</v>
      </c>
      <c r="L1438" s="3">
        <v>14.85</v>
      </c>
      <c r="M1438" s="3">
        <v>15.59</v>
      </c>
      <c r="N1438" s="3">
        <v>32.99</v>
      </c>
      <c r="O1438" s="2" t="s">
        <v>97</v>
      </c>
      <c r="P1438" s="2" t="s">
        <v>98</v>
      </c>
      <c r="Q1438" s="2" t="s">
        <v>99</v>
      </c>
      <c r="R1438" s="2" t="s">
        <v>100</v>
      </c>
      <c r="S1438" s="2" t="s">
        <v>4532</v>
      </c>
      <c r="T1438" s="2" t="s">
        <v>100</v>
      </c>
      <c r="U1438" s="2" t="s">
        <v>100</v>
      </c>
      <c r="V1438" s="2" t="s">
        <v>645</v>
      </c>
      <c r="W1438" s="2" t="s">
        <v>976</v>
      </c>
      <c r="X1438" s="2" t="s">
        <v>2101</v>
      </c>
      <c r="Y1438" s="2" t="s">
        <v>4533</v>
      </c>
      <c r="Z1438" s="4">
        <v>787</v>
      </c>
      <c r="AA1438" s="4">
        <f>=ROUNDDOWN(35.7727272727273,0)</f>
      </c>
      <c r="AB1438" s="5">
        <v>22</v>
      </c>
      <c r="AC1438" s="2" t="s">
        <v>100</v>
      </c>
      <c r="AD1438" s="4"/>
      <c r="AE1438" s="4"/>
      <c r="AF1438" s="6">
        <v>64</v>
      </c>
      <c r="AG1438" s="6"/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>
        <v>0</v>
      </c>
      <c r="AP1438" s="4"/>
      <c r="AQ1438" s="8"/>
      <c r="AR1438" s="4"/>
      <c r="AS1438" s="8"/>
      <c r="AT1438" s="7"/>
      <c r="AU1438" s="7"/>
      <c r="AV1438" s="4"/>
      <c r="AW1438" s="8"/>
      <c r="AX1438" s="4"/>
      <c r="AY1438" s="8"/>
      <c r="AZ1438" s="7"/>
      <c r="BA1438" s="7"/>
      <c r="BB1438" s="7"/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/>
      <c r="BJ1438" s="4">
        <v>9</v>
      </c>
      <c r="BK1438" s="8">
        <v>139.76</v>
      </c>
      <c r="BL1438" s="2" t="s">
        <v>776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3091</v>
      </c>
      <c r="BX1438" s="2" t="s">
        <v>3975</v>
      </c>
      <c r="BY1438" s="2" t="s">
        <v>112</v>
      </c>
      <c r="BZ1438" s="2" t="s">
        <v>100</v>
      </c>
    </row>
    <row r="1439">
      <c r="A1439" s="2" t="s">
        <v>4534</v>
      </c>
      <c r="B1439" s="2" t="s">
        <v>87</v>
      </c>
      <c r="C1439" s="2" t="s">
        <v>4104</v>
      </c>
      <c r="D1439" s="2" t="s">
        <v>3365</v>
      </c>
      <c r="E1439" s="2" t="s">
        <v>4524</v>
      </c>
      <c r="F1439" s="2" t="s">
        <v>1524</v>
      </c>
      <c r="G1439" s="2" t="s">
        <v>1524</v>
      </c>
      <c r="H1439" s="2" t="s">
        <v>1524</v>
      </c>
      <c r="I1439" s="2" t="s">
        <v>4525</v>
      </c>
      <c r="J1439" s="2" t="s">
        <v>4526</v>
      </c>
      <c r="K1439" s="2" t="s">
        <v>175</v>
      </c>
      <c r="L1439" s="3">
        <v>14.85</v>
      </c>
      <c r="M1439" s="3">
        <v>15.59</v>
      </c>
      <c r="N1439" s="3">
        <v>32.99</v>
      </c>
      <c r="O1439" s="2" t="s">
        <v>97</v>
      </c>
      <c r="P1439" s="2" t="s">
        <v>242</v>
      </c>
      <c r="Q1439" s="2" t="s">
        <v>99</v>
      </c>
      <c r="R1439" s="2" t="s">
        <v>100</v>
      </c>
      <c r="S1439" s="2" t="s">
        <v>4535</v>
      </c>
      <c r="T1439" s="2" t="s">
        <v>100</v>
      </c>
      <c r="U1439" s="2" t="s">
        <v>100</v>
      </c>
      <c r="V1439" s="2" t="s">
        <v>645</v>
      </c>
      <c r="W1439" s="2" t="s">
        <v>976</v>
      </c>
      <c r="X1439" s="2" t="s">
        <v>2101</v>
      </c>
      <c r="Y1439" s="2" t="s">
        <v>131</v>
      </c>
      <c r="Z1439" s="4">
        <v>977</v>
      </c>
      <c r="AA1439" s="4">
        <f>=ROUNDDOWN(27.1388888888889,0)</f>
      </c>
      <c r="AB1439" s="5">
        <v>36</v>
      </c>
      <c r="AC1439" s="2" t="s">
        <v>100</v>
      </c>
      <c r="AD1439" s="4"/>
      <c r="AE1439" s="4"/>
      <c r="AF1439" s="6">
        <v>65</v>
      </c>
      <c r="AG1439" s="6"/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>
        <v>0</v>
      </c>
      <c r="AP1439" s="4"/>
      <c r="AQ1439" s="8"/>
      <c r="AR1439" s="4"/>
      <c r="AS1439" s="8"/>
      <c r="AT1439" s="7"/>
      <c r="AU1439" s="7"/>
      <c r="AV1439" s="4"/>
      <c r="AW1439" s="8"/>
      <c r="AX1439" s="4"/>
      <c r="AY1439" s="8"/>
      <c r="AZ1439" s="7"/>
      <c r="BA1439" s="7"/>
      <c r="BB1439" s="7"/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/>
      <c r="BJ1439" s="4">
        <v>21</v>
      </c>
      <c r="BK1439" s="8">
        <v>326.86</v>
      </c>
      <c r="BL1439" s="2" t="s">
        <v>4536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109</v>
      </c>
      <c r="BV1439" s="2" t="s">
        <v>97</v>
      </c>
      <c r="BW1439" s="2" t="s">
        <v>723</v>
      </c>
      <c r="BX1439" s="2" t="s">
        <v>4537</v>
      </c>
      <c r="BY1439" s="2" t="s">
        <v>112</v>
      </c>
      <c r="BZ1439" s="2" t="s">
        <v>100</v>
      </c>
    </row>
    <row r="1440">
      <c r="A1440" s="2" t="s">
        <v>4538</v>
      </c>
      <c r="B1440" s="2" t="s">
        <v>87</v>
      </c>
      <c r="C1440" s="2" t="s">
        <v>4104</v>
      </c>
      <c r="D1440" s="2" t="s">
        <v>3365</v>
      </c>
      <c r="E1440" s="2" t="s">
        <v>4524</v>
      </c>
      <c r="F1440" s="2" t="s">
        <v>1524</v>
      </c>
      <c r="G1440" s="2" t="s">
        <v>1524</v>
      </c>
      <c r="H1440" s="2" t="s">
        <v>1524</v>
      </c>
      <c r="I1440" s="2" t="s">
        <v>4525</v>
      </c>
      <c r="J1440" s="2" t="s">
        <v>4526</v>
      </c>
      <c r="K1440" s="2" t="s">
        <v>213</v>
      </c>
      <c r="L1440" s="3">
        <v>14.85</v>
      </c>
      <c r="M1440" s="3">
        <v>15.59</v>
      </c>
      <c r="N1440" s="3">
        <v>32.99</v>
      </c>
      <c r="O1440" s="2" t="s">
        <v>97</v>
      </c>
      <c r="P1440" s="2" t="s">
        <v>242</v>
      </c>
      <c r="Q1440" s="2" t="s">
        <v>99</v>
      </c>
      <c r="R1440" s="2" t="s">
        <v>100</v>
      </c>
      <c r="S1440" s="2" t="s">
        <v>4539</v>
      </c>
      <c r="T1440" s="2" t="s">
        <v>100</v>
      </c>
      <c r="U1440" s="2" t="s">
        <v>100</v>
      </c>
      <c r="V1440" s="2" t="s">
        <v>645</v>
      </c>
      <c r="W1440" s="2" t="s">
        <v>976</v>
      </c>
      <c r="X1440" s="2" t="s">
        <v>2101</v>
      </c>
      <c r="Y1440" s="2" t="s">
        <v>131</v>
      </c>
      <c r="Z1440" s="4">
        <v>436</v>
      </c>
      <c r="AA1440" s="4">
        <f>=ROUNDDOWN(10.9,0)</f>
      </c>
      <c r="AB1440" s="5">
        <v>40</v>
      </c>
      <c r="AC1440" s="2" t="s">
        <v>1372</v>
      </c>
      <c r="AD1440" s="4">
        <v>1000</v>
      </c>
      <c r="AE1440" s="4">
        <v>1000</v>
      </c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/>
      <c r="AQ1440" s="8"/>
      <c r="AR1440" s="4"/>
      <c r="AS1440" s="8"/>
      <c r="AT1440" s="7"/>
      <c r="AU1440" s="7"/>
      <c r="AV1440" s="4"/>
      <c r="AW1440" s="8"/>
      <c r="AX1440" s="4"/>
      <c r="AY1440" s="8"/>
      <c r="AZ1440" s="7"/>
      <c r="BA1440" s="7"/>
      <c r="BB1440" s="7"/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/>
      <c r="BJ1440" s="4">
        <v>21</v>
      </c>
      <c r="BK1440" s="8">
        <v>330.12</v>
      </c>
      <c r="BL1440" s="2" t="s">
        <v>4540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109</v>
      </c>
      <c r="BV1440" s="2" t="s">
        <v>97</v>
      </c>
      <c r="BW1440" s="2" t="s">
        <v>723</v>
      </c>
      <c r="BX1440" s="2" t="s">
        <v>4541</v>
      </c>
      <c r="BY1440" s="2" t="s">
        <v>112</v>
      </c>
      <c r="BZ1440" s="2" t="s">
        <v>100</v>
      </c>
    </row>
    <row r="1441">
      <c r="A1441" s="2" t="s">
        <v>4542</v>
      </c>
      <c r="B1441" s="2" t="s">
        <v>87</v>
      </c>
      <c r="C1441" s="2" t="s">
        <v>4104</v>
      </c>
      <c r="D1441" s="2" t="s">
        <v>3365</v>
      </c>
      <c r="E1441" s="2" t="s">
        <v>4524</v>
      </c>
      <c r="F1441" s="2" t="s">
        <v>1478</v>
      </c>
      <c r="G1441" s="2" t="s">
        <v>1478</v>
      </c>
      <c r="H1441" s="2" t="s">
        <v>1478</v>
      </c>
      <c r="I1441" s="2" t="s">
        <v>4543</v>
      </c>
      <c r="J1441" s="2" t="s">
        <v>4526</v>
      </c>
      <c r="K1441" s="2" t="s">
        <v>163</v>
      </c>
      <c r="L1441" s="3">
        <v>14.85</v>
      </c>
      <c r="M1441" s="3">
        <v>15.59</v>
      </c>
      <c r="N1441" s="3">
        <v>32.99</v>
      </c>
      <c r="O1441" s="2" t="s">
        <v>97</v>
      </c>
      <c r="P1441" s="2" t="s">
        <v>4334</v>
      </c>
      <c r="Q1441" s="2" t="s">
        <v>99</v>
      </c>
      <c r="R1441" s="2" t="s">
        <v>100</v>
      </c>
      <c r="S1441" s="2" t="s">
        <v>4544</v>
      </c>
      <c r="T1441" s="2" t="s">
        <v>100</v>
      </c>
      <c r="U1441" s="2" t="s">
        <v>100</v>
      </c>
      <c r="V1441" s="2" t="s">
        <v>103</v>
      </c>
      <c r="W1441" s="2" t="s">
        <v>976</v>
      </c>
      <c r="X1441" s="2" t="s">
        <v>2101</v>
      </c>
      <c r="Y1441" s="2" t="s">
        <v>131</v>
      </c>
      <c r="Z1441" s="4"/>
      <c r="AA1441" s="4">
        <f>=ROUNDDOWN({0},0)</f>
      </c>
      <c r="AB1441" s="5">
        <v>1.8</v>
      </c>
      <c r="AC1441" s="2" t="s">
        <v>100</v>
      </c>
      <c r="AD1441" s="4"/>
      <c r="AE1441" s="4"/>
      <c r="AF1441" s="6">
        <v>65</v>
      </c>
      <c r="AG1441" s="6">
        <v>48</v>
      </c>
      <c r="AH1441" s="7">
        <v>0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>
        <v>0</v>
      </c>
      <c r="AP1441" s="4"/>
      <c r="AQ1441" s="8"/>
      <c r="AR1441" s="4"/>
      <c r="AS1441" s="8"/>
      <c r="AT1441" s="7"/>
      <c r="AU1441" s="7"/>
      <c r="AV1441" s="4"/>
      <c r="AW1441" s="8"/>
      <c r="AX1441" s="4"/>
      <c r="AY1441" s="8"/>
      <c r="AZ1441" s="7"/>
      <c r="BA1441" s="7"/>
      <c r="BB1441" s="7"/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/>
      <c r="BJ1441" s="4"/>
      <c r="BK1441" s="8"/>
      <c r="BL1441" s="2" t="s">
        <v>100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109</v>
      </c>
      <c r="BV1441" s="2" t="s">
        <v>97</v>
      </c>
      <c r="BW1441" s="2" t="s">
        <v>723</v>
      </c>
      <c r="BX1441" s="2" t="s">
        <v>4545</v>
      </c>
      <c r="BY1441" s="2" t="s">
        <v>112</v>
      </c>
      <c r="BZ1441" s="2" t="s">
        <v>100</v>
      </c>
    </row>
    <row r="1442">
      <c r="A1442" s="2" t="s">
        <v>4546</v>
      </c>
      <c r="B1442" s="2" t="s">
        <v>87</v>
      </c>
      <c r="C1442" s="2" t="s">
        <v>4104</v>
      </c>
      <c r="D1442" s="2" t="s">
        <v>3365</v>
      </c>
      <c r="E1442" s="2" t="s">
        <v>4524</v>
      </c>
      <c r="F1442" s="2" t="s">
        <v>1478</v>
      </c>
      <c r="G1442" s="2" t="s">
        <v>1478</v>
      </c>
      <c r="H1442" s="2" t="s">
        <v>1478</v>
      </c>
      <c r="I1442" s="2" t="s">
        <v>4543</v>
      </c>
      <c r="J1442" s="2" t="s">
        <v>4526</v>
      </c>
      <c r="K1442" s="2" t="s">
        <v>213</v>
      </c>
      <c r="L1442" s="3">
        <v>14.85</v>
      </c>
      <c r="M1442" s="3">
        <v>15.59</v>
      </c>
      <c r="N1442" s="3">
        <v>32.99</v>
      </c>
      <c r="O1442" s="2" t="s">
        <v>97</v>
      </c>
      <c r="P1442" s="2" t="s">
        <v>242</v>
      </c>
      <c r="Q1442" s="2" t="s">
        <v>99</v>
      </c>
      <c r="R1442" s="2" t="s">
        <v>100</v>
      </c>
      <c r="S1442" s="2" t="s">
        <v>4547</v>
      </c>
      <c r="T1442" s="2" t="s">
        <v>100</v>
      </c>
      <c r="U1442" s="2" t="s">
        <v>100</v>
      </c>
      <c r="V1442" s="2" t="s">
        <v>103</v>
      </c>
      <c r="W1442" s="2" t="s">
        <v>976</v>
      </c>
      <c r="X1442" s="2" t="s">
        <v>2101</v>
      </c>
      <c r="Y1442" s="2" t="s">
        <v>131</v>
      </c>
      <c r="Z1442" s="4">
        <v>2013</v>
      </c>
      <c r="AA1442" s="4">
        <f>=ROUNDDOWN(42.8297872340426,0)</f>
      </c>
      <c r="AB1442" s="5">
        <v>47</v>
      </c>
      <c r="AC1442" s="2" t="s">
        <v>100</v>
      </c>
      <c r="AD1442" s="4"/>
      <c r="AE1442" s="4"/>
      <c r="AF1442" s="6">
        <v>65</v>
      </c>
      <c r="AG1442" s="6">
        <v>48</v>
      </c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>
        <v>0</v>
      </c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/>
      <c r="BJ1442" s="4">
        <v>25</v>
      </c>
      <c r="BK1442" s="8">
        <v>380.26</v>
      </c>
      <c r="BL1442" s="2" t="s">
        <v>4548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109</v>
      </c>
      <c r="BV1442" s="2" t="s">
        <v>97</v>
      </c>
      <c r="BW1442" s="2" t="s">
        <v>723</v>
      </c>
      <c r="BX1442" s="2" t="s">
        <v>2988</v>
      </c>
      <c r="BY1442" s="2" t="s">
        <v>112</v>
      </c>
      <c r="BZ1442" s="2" t="s">
        <v>100</v>
      </c>
    </row>
    <row r="1443">
      <c r="A1443" s="2" t="s">
        <v>4549</v>
      </c>
      <c r="B1443" s="2" t="s">
        <v>87</v>
      </c>
      <c r="C1443" s="2" t="s">
        <v>4104</v>
      </c>
      <c r="D1443" s="2" t="s">
        <v>3365</v>
      </c>
      <c r="E1443" s="2" t="s">
        <v>4524</v>
      </c>
      <c r="F1443" s="2" t="s">
        <v>4550</v>
      </c>
      <c r="G1443" s="2" t="s">
        <v>4550</v>
      </c>
      <c r="H1443" s="2" t="s">
        <v>100</v>
      </c>
      <c r="I1443" s="2" t="s">
        <v>4551</v>
      </c>
      <c r="J1443" s="2" t="s">
        <v>4526</v>
      </c>
      <c r="K1443" s="2" t="s">
        <v>213</v>
      </c>
      <c r="L1443" s="3">
        <v>14.85</v>
      </c>
      <c r="M1443" s="3">
        <v>15.59</v>
      </c>
      <c r="N1443" s="3">
        <v>32.99</v>
      </c>
      <c r="O1443" s="2" t="s">
        <v>97</v>
      </c>
      <c r="P1443" s="2" t="s">
        <v>447</v>
      </c>
      <c r="Q1443" s="2" t="s">
        <v>99</v>
      </c>
      <c r="R1443" s="2" t="s">
        <v>100</v>
      </c>
      <c r="S1443" s="2" t="s">
        <v>4321</v>
      </c>
      <c r="T1443" s="2" t="s">
        <v>359</v>
      </c>
      <c r="U1443" s="2" t="s">
        <v>3325</v>
      </c>
      <c r="V1443" s="2" t="s">
        <v>645</v>
      </c>
      <c r="W1443" s="2" t="s">
        <v>976</v>
      </c>
      <c r="X1443" s="2" t="s">
        <v>2101</v>
      </c>
      <c r="Y1443" s="2" t="s">
        <v>131</v>
      </c>
      <c r="Z1443" s="4">
        <v>590</v>
      </c>
      <c r="AA1443" s="4">
        <f>=ROUNDDOWN(42.1428571428571,0)</f>
      </c>
      <c r="AB1443" s="5">
        <v>14</v>
      </c>
      <c r="AC1443" s="2" t="s">
        <v>100</v>
      </c>
      <c r="AD1443" s="4"/>
      <c r="AE1443" s="4"/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>
        <v>0</v>
      </c>
      <c r="AP1443" s="4"/>
      <c r="AQ1443" s="8"/>
      <c r="AR1443" s="4"/>
      <c r="AS1443" s="8"/>
      <c r="AT1443" s="7"/>
      <c r="AU1443" s="7"/>
      <c r="AV1443" s="4"/>
      <c r="AW1443" s="8"/>
      <c r="AX1443" s="4"/>
      <c r="AY1443" s="8"/>
      <c r="AZ1443" s="7"/>
      <c r="BA1443" s="7"/>
      <c r="BB1443" s="7"/>
      <c r="BC1443" s="4"/>
      <c r="BD1443" s="8"/>
      <c r="BE1443" s="4"/>
      <c r="BF1443" s="8"/>
      <c r="BG1443" s="7"/>
      <c r="BH1443" s="7"/>
      <c r="BI1443" s="7"/>
      <c r="BJ1443" s="4">
        <v>13</v>
      </c>
      <c r="BK1443" s="8">
        <v>198.38</v>
      </c>
      <c r="BL1443" s="2" t="s">
        <v>4552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109</v>
      </c>
      <c r="BV1443" s="2" t="s">
        <v>97</v>
      </c>
      <c r="BW1443" s="2" t="s">
        <v>723</v>
      </c>
      <c r="BX1443" s="2" t="s">
        <v>3858</v>
      </c>
      <c r="BY1443" s="2" t="s">
        <v>112</v>
      </c>
      <c r="BZ1443" s="2" t="s">
        <v>100</v>
      </c>
    </row>
    <row r="1444">
      <c r="A1444" s="2" t="s">
        <v>4553</v>
      </c>
      <c r="B1444" s="2" t="s">
        <v>87</v>
      </c>
      <c r="C1444" s="2" t="s">
        <v>4104</v>
      </c>
      <c r="D1444" s="2" t="s">
        <v>4554</v>
      </c>
      <c r="E1444" s="2" t="s">
        <v>4555</v>
      </c>
      <c r="F1444" s="2" t="s">
        <v>4556</v>
      </c>
      <c r="G1444" s="2" t="s">
        <v>4556</v>
      </c>
      <c r="H1444" s="2" t="s">
        <v>4556</v>
      </c>
      <c r="I1444" s="2" t="s">
        <v>4557</v>
      </c>
      <c r="J1444" s="2" t="s">
        <v>4558</v>
      </c>
      <c r="K1444" s="2" t="s">
        <v>163</v>
      </c>
      <c r="L1444" s="3">
        <v>15.2</v>
      </c>
      <c r="M1444" s="3">
        <v>15.96</v>
      </c>
      <c r="N1444" s="3">
        <v>39.99</v>
      </c>
      <c r="O1444" s="2" t="s">
        <v>97</v>
      </c>
      <c r="P1444" s="2" t="s">
        <v>447</v>
      </c>
      <c r="Q1444" s="2" t="s">
        <v>99</v>
      </c>
      <c r="R1444" s="2" t="s">
        <v>100</v>
      </c>
      <c r="S1444" s="2" t="s">
        <v>4559</v>
      </c>
      <c r="T1444" s="2" t="s">
        <v>359</v>
      </c>
      <c r="U1444" s="2" t="s">
        <v>3325</v>
      </c>
      <c r="V1444" s="2" t="s">
        <v>734</v>
      </c>
      <c r="W1444" s="2" t="s">
        <v>788</v>
      </c>
      <c r="X1444" s="2" t="s">
        <v>1064</v>
      </c>
      <c r="Y1444" s="2" t="s">
        <v>264</v>
      </c>
      <c r="Z1444" s="4">
        <v>195</v>
      </c>
      <c r="AA1444" s="4">
        <f>=ROUNDDOWN(32.5,0)</f>
      </c>
      <c r="AB1444" s="5">
        <v>6</v>
      </c>
      <c r="AC1444" s="2" t="s">
        <v>100</v>
      </c>
      <c r="AD1444" s="4"/>
      <c r="AE1444" s="4"/>
      <c r="AF1444" s="6">
        <v>65</v>
      </c>
      <c r="AG1444" s="6"/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>
        <v>1</v>
      </c>
      <c r="AQ1444" s="8">
        <v>15.54</v>
      </c>
      <c r="AR1444" s="4"/>
      <c r="AS1444" s="8"/>
      <c r="AT1444" s="7"/>
      <c r="AU1444" s="7"/>
      <c r="AV1444" s="4">
        <v>1</v>
      </c>
      <c r="AW1444" s="8">
        <v>15.54</v>
      </c>
      <c r="AX1444" s="4"/>
      <c r="AY1444" s="8"/>
      <c r="AZ1444" s="7"/>
      <c r="BA1444" s="7"/>
      <c r="BB1444" s="7">
        <v>1</v>
      </c>
      <c r="BC1444" s="4">
        <v>1</v>
      </c>
      <c r="BD1444" s="8">
        <v>15.54</v>
      </c>
      <c r="BE1444" s="4"/>
      <c r="BF1444" s="8"/>
      <c r="BG1444" s="7"/>
      <c r="BH1444" s="7"/>
      <c r="BI1444" s="7">
        <v>1</v>
      </c>
      <c r="BJ1444" s="4">
        <v>4</v>
      </c>
      <c r="BK1444" s="8">
        <v>61.82</v>
      </c>
      <c r="BL1444" s="2" t="s">
        <v>4560</v>
      </c>
      <c r="BM1444" s="7">
        <v>0.25</v>
      </c>
      <c r="BN1444" s="7">
        <v>0.2514</v>
      </c>
      <c r="BO1444" s="4">
        <v>1</v>
      </c>
      <c r="BP1444" s="8">
        <v>15.54</v>
      </c>
      <c r="BQ1444" s="4"/>
      <c r="BR1444" s="8"/>
      <c r="BS1444" s="7"/>
      <c r="BT1444" s="7"/>
      <c r="BU1444" s="2" t="s">
        <v>109</v>
      </c>
      <c r="BV1444" s="2" t="s">
        <v>97</v>
      </c>
      <c r="BW1444" s="2" t="s">
        <v>3091</v>
      </c>
      <c r="BX1444" s="2" t="s">
        <v>3758</v>
      </c>
      <c r="BY1444" s="2" t="s">
        <v>112</v>
      </c>
      <c r="BZ1444" s="2" t="s">
        <v>100</v>
      </c>
    </row>
    <row r="1445">
      <c r="A1445" s="2" t="s">
        <v>4561</v>
      </c>
      <c r="B1445" s="2" t="s">
        <v>87</v>
      </c>
      <c r="C1445" s="2" t="s">
        <v>4104</v>
      </c>
      <c r="D1445" s="2" t="s">
        <v>4554</v>
      </c>
      <c r="E1445" s="2" t="s">
        <v>4555</v>
      </c>
      <c r="F1445" s="2" t="s">
        <v>4562</v>
      </c>
      <c r="G1445" s="2" t="s">
        <v>100</v>
      </c>
      <c r="H1445" s="2" t="s">
        <v>100</v>
      </c>
      <c r="I1445" s="2" t="s">
        <v>4563</v>
      </c>
      <c r="J1445" s="2" t="s">
        <v>4564</v>
      </c>
      <c r="K1445" s="2" t="s">
        <v>163</v>
      </c>
      <c r="L1445" s="3">
        <v>11.88</v>
      </c>
      <c r="M1445" s="3">
        <v>12.47</v>
      </c>
      <c r="N1445" s="3">
        <v>26.99</v>
      </c>
      <c r="O1445" s="2" t="s">
        <v>97</v>
      </c>
      <c r="P1445" s="2" t="s">
        <v>447</v>
      </c>
      <c r="Q1445" s="2" t="s">
        <v>99</v>
      </c>
      <c r="R1445" s="2" t="s">
        <v>100</v>
      </c>
      <c r="S1445" s="2" t="s">
        <v>4565</v>
      </c>
      <c r="T1445" s="2" t="s">
        <v>100</v>
      </c>
      <c r="U1445" s="2" t="s">
        <v>100</v>
      </c>
      <c r="V1445" s="2" t="s">
        <v>4166</v>
      </c>
      <c r="W1445" s="2" t="s">
        <v>105</v>
      </c>
      <c r="X1445" s="2" t="s">
        <v>104</v>
      </c>
      <c r="Y1445" s="2" t="s">
        <v>131</v>
      </c>
      <c r="Z1445" s="4">
        <v>39</v>
      </c>
      <c r="AA1445" s="4">
        <f>=ROUNDDOWN(9.06976744186047,0)</f>
      </c>
      <c r="AB1445" s="5">
        <v>4.3</v>
      </c>
      <c r="AC1445" s="2" t="s">
        <v>100</v>
      </c>
      <c r="AD1445" s="4"/>
      <c r="AE1445" s="4"/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>
        <v>0</v>
      </c>
      <c r="AP1445" s="4">
        <v>1</v>
      </c>
      <c r="AQ1445" s="8">
        <v>12.52</v>
      </c>
      <c r="AR1445" s="4"/>
      <c r="AS1445" s="8"/>
      <c r="AT1445" s="7"/>
      <c r="AU1445" s="7"/>
      <c r="AV1445" s="4">
        <v>1</v>
      </c>
      <c r="AW1445" s="8">
        <v>12.52</v>
      </c>
      <c r="AX1445" s="4"/>
      <c r="AY1445" s="8"/>
      <c r="AZ1445" s="7"/>
      <c r="BA1445" s="7"/>
      <c r="BB1445" s="7">
        <v>1</v>
      </c>
      <c r="BC1445" s="4">
        <v>1</v>
      </c>
      <c r="BD1445" s="8">
        <v>12.52</v>
      </c>
      <c r="BE1445" s="4"/>
      <c r="BF1445" s="8"/>
      <c r="BG1445" s="7"/>
      <c r="BH1445" s="7"/>
      <c r="BI1445" s="7">
        <v>1</v>
      </c>
      <c r="BJ1445" s="4">
        <v>5</v>
      </c>
      <c r="BK1445" s="8">
        <v>56.17</v>
      </c>
      <c r="BL1445" s="2" t="s">
        <v>4566</v>
      </c>
      <c r="BM1445" s="7">
        <v>0.2</v>
      </c>
      <c r="BN1445" s="7">
        <v>0.2229</v>
      </c>
      <c r="BO1445" s="4">
        <v>1</v>
      </c>
      <c r="BP1445" s="8">
        <v>12.52</v>
      </c>
      <c r="BQ1445" s="4"/>
      <c r="BR1445" s="8"/>
      <c r="BS1445" s="7"/>
      <c r="BT1445" s="7"/>
      <c r="BU1445" s="2" t="s">
        <v>109</v>
      </c>
      <c r="BV1445" s="2" t="s">
        <v>97</v>
      </c>
      <c r="BW1445" s="2" t="s">
        <v>723</v>
      </c>
      <c r="BX1445" s="2" t="s">
        <v>4567</v>
      </c>
      <c r="BY1445" s="2" t="s">
        <v>112</v>
      </c>
      <c r="BZ1445" s="2" t="s">
        <v>100</v>
      </c>
    </row>
    <row r="1446">
      <c r="A1446" s="2" t="s">
        <v>4568</v>
      </c>
      <c r="B1446" s="2" t="s">
        <v>87</v>
      </c>
      <c r="C1446" s="2" t="s">
        <v>4104</v>
      </c>
      <c r="D1446" s="2" t="s">
        <v>4554</v>
      </c>
      <c r="E1446" s="2" t="s">
        <v>4555</v>
      </c>
      <c r="F1446" s="2" t="s">
        <v>4569</v>
      </c>
      <c r="G1446" s="2" t="s">
        <v>4569</v>
      </c>
      <c r="H1446" s="2" t="s">
        <v>4569</v>
      </c>
      <c r="I1446" s="2" t="s">
        <v>4570</v>
      </c>
      <c r="J1446" s="2" t="s">
        <v>4571</v>
      </c>
      <c r="K1446" s="2" t="s">
        <v>198</v>
      </c>
      <c r="L1446" s="3">
        <v>14.4</v>
      </c>
      <c r="M1446" s="3">
        <v>15.12</v>
      </c>
      <c r="N1446" s="3">
        <v>31.99</v>
      </c>
      <c r="O1446" s="2" t="s">
        <v>97</v>
      </c>
      <c r="P1446" s="2" t="s">
        <v>447</v>
      </c>
      <c r="Q1446" s="2" t="s">
        <v>99</v>
      </c>
      <c r="R1446" s="2" t="s">
        <v>100</v>
      </c>
      <c r="S1446" s="2" t="s">
        <v>100</v>
      </c>
      <c r="T1446" s="2" t="s">
        <v>359</v>
      </c>
      <c r="U1446" s="2" t="s">
        <v>3325</v>
      </c>
      <c r="V1446" s="2" t="s">
        <v>734</v>
      </c>
      <c r="W1446" s="2" t="s">
        <v>1064</v>
      </c>
      <c r="X1446" s="2" t="s">
        <v>898</v>
      </c>
      <c r="Y1446" s="2" t="s">
        <v>4572</v>
      </c>
      <c r="Z1446" s="4">
        <v>1362</v>
      </c>
      <c r="AA1446" s="4">
        <f>=ROUNDDOWN(94.5833333333333,0)</f>
      </c>
      <c r="AB1446" s="5">
        <v>14.4</v>
      </c>
      <c r="AC1446" s="2" t="s">
        <v>100</v>
      </c>
      <c r="AD1446" s="4"/>
      <c r="AE1446" s="4"/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>
        <v>0</v>
      </c>
      <c r="AP1446" s="4"/>
      <c r="AQ1446" s="8"/>
      <c r="AR1446" s="4"/>
      <c r="AS1446" s="8"/>
      <c r="AT1446" s="7"/>
      <c r="AU1446" s="7"/>
      <c r="AV1446" s="4"/>
      <c r="AW1446" s="8"/>
      <c r="AX1446" s="4"/>
      <c r="AY1446" s="8"/>
      <c r="AZ1446" s="7"/>
      <c r="BA1446" s="7"/>
      <c r="BB1446" s="7"/>
      <c r="BC1446" s="4"/>
      <c r="BD1446" s="8"/>
      <c r="BE1446" s="4"/>
      <c r="BF1446" s="8"/>
      <c r="BG1446" s="7"/>
      <c r="BH1446" s="7"/>
      <c r="BI1446" s="7"/>
      <c r="BJ1446" s="4">
        <v>6</v>
      </c>
      <c r="BK1446" s="8">
        <v>91.15</v>
      </c>
      <c r="BL1446" s="2" t="s">
        <v>4573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109</v>
      </c>
      <c r="BV1446" s="2" t="s">
        <v>97</v>
      </c>
      <c r="BW1446" s="2" t="s">
        <v>723</v>
      </c>
      <c r="BX1446" s="2" t="s">
        <v>4574</v>
      </c>
      <c r="BY1446" s="2" t="s">
        <v>112</v>
      </c>
      <c r="BZ1446" s="2" t="s">
        <v>100</v>
      </c>
    </row>
    <row r="1447">
      <c r="A1447" s="2" t="s">
        <v>4575</v>
      </c>
      <c r="B1447" s="2" t="s">
        <v>87</v>
      </c>
      <c r="C1447" s="2" t="s">
        <v>4104</v>
      </c>
      <c r="D1447" s="2" t="s">
        <v>4554</v>
      </c>
      <c r="E1447" s="2" t="s">
        <v>4555</v>
      </c>
      <c r="F1447" s="2" t="s">
        <v>4576</v>
      </c>
      <c r="G1447" s="2" t="s">
        <v>100</v>
      </c>
      <c r="H1447" s="2" t="s">
        <v>100</v>
      </c>
      <c r="I1447" s="2" t="s">
        <v>4577</v>
      </c>
      <c r="J1447" s="2" t="s">
        <v>4578</v>
      </c>
      <c r="K1447" s="2" t="s">
        <v>175</v>
      </c>
      <c r="L1447" s="3">
        <v>14.4</v>
      </c>
      <c r="M1447" s="3">
        <v>15.12</v>
      </c>
      <c r="N1447" s="3">
        <v>34.99</v>
      </c>
      <c r="O1447" s="2" t="s">
        <v>473</v>
      </c>
      <c r="P1447" s="2" t="s">
        <v>447</v>
      </c>
      <c r="Q1447" s="2" t="s">
        <v>99</v>
      </c>
      <c r="R1447" s="2" t="s">
        <v>100</v>
      </c>
      <c r="S1447" s="2" t="s">
        <v>4579</v>
      </c>
      <c r="T1447" s="2" t="s">
        <v>100</v>
      </c>
      <c r="U1447" s="2" t="s">
        <v>100</v>
      </c>
      <c r="V1447" s="2" t="s">
        <v>734</v>
      </c>
      <c r="W1447" s="2" t="s">
        <v>976</v>
      </c>
      <c r="X1447" s="2" t="s">
        <v>2101</v>
      </c>
      <c r="Y1447" s="2" t="s">
        <v>131</v>
      </c>
      <c r="Z1447" s="4">
        <v>194</v>
      </c>
      <c r="AA1447" s="4">
        <f>=ROUNDDOWN(38.0392156862745,0)</f>
      </c>
      <c r="AB1447" s="5">
        <v>5.1</v>
      </c>
      <c r="AC1447" s="2" t="s">
        <v>100</v>
      </c>
      <c r="AD1447" s="4"/>
      <c r="AE1447" s="4"/>
      <c r="AF1447" s="6">
        <v>65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/>
      <c r="AW1447" s="8"/>
      <c r="AX1447" s="4"/>
      <c r="AY1447" s="8"/>
      <c r="AZ1447" s="7"/>
      <c r="BA1447" s="7"/>
      <c r="BB1447" s="7"/>
      <c r="BC1447" s="4"/>
      <c r="BD1447" s="8"/>
      <c r="BE1447" s="4"/>
      <c r="BF1447" s="8"/>
      <c r="BG1447" s="7"/>
      <c r="BH1447" s="7"/>
      <c r="BI1447" s="7"/>
      <c r="BJ1447" s="4">
        <v>1</v>
      </c>
      <c r="BK1447" s="8">
        <v>6.66</v>
      </c>
      <c r="BL1447" s="2" t="s">
        <v>1310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109</v>
      </c>
      <c r="BV1447" s="2" t="s">
        <v>97</v>
      </c>
      <c r="BW1447" s="2" t="s">
        <v>723</v>
      </c>
      <c r="BX1447" s="2" t="s">
        <v>423</v>
      </c>
      <c r="BY1447" s="2" t="s">
        <v>112</v>
      </c>
      <c r="BZ1447" s="2" t="s">
        <v>100</v>
      </c>
    </row>
    <row r="1448">
      <c r="A1448" s="2" t="s">
        <v>4580</v>
      </c>
      <c r="B1448" s="2" t="s">
        <v>87</v>
      </c>
      <c r="C1448" s="2" t="s">
        <v>4104</v>
      </c>
      <c r="D1448" s="2" t="s">
        <v>4554</v>
      </c>
      <c r="E1448" s="2" t="s">
        <v>4555</v>
      </c>
      <c r="F1448" s="2" t="s">
        <v>4581</v>
      </c>
      <c r="G1448" s="2" t="s">
        <v>4581</v>
      </c>
      <c r="H1448" s="2" t="s">
        <v>4581</v>
      </c>
      <c r="I1448" s="2" t="s">
        <v>4582</v>
      </c>
      <c r="J1448" s="2" t="s">
        <v>4571</v>
      </c>
      <c r="K1448" s="2" t="s">
        <v>198</v>
      </c>
      <c r="L1448" s="3">
        <v>11.88</v>
      </c>
      <c r="M1448" s="3">
        <v>12.47</v>
      </c>
      <c r="N1448" s="3">
        <v>26.99</v>
      </c>
      <c r="O1448" s="2" t="s">
        <v>97</v>
      </c>
      <c r="P1448" s="2" t="s">
        <v>447</v>
      </c>
      <c r="Q1448" s="2" t="s">
        <v>99</v>
      </c>
      <c r="R1448" s="2" t="s">
        <v>100</v>
      </c>
      <c r="S1448" s="2" t="s">
        <v>4583</v>
      </c>
      <c r="T1448" s="2" t="s">
        <v>359</v>
      </c>
      <c r="U1448" s="2" t="s">
        <v>3325</v>
      </c>
      <c r="V1448" s="2" t="s">
        <v>645</v>
      </c>
      <c r="W1448" s="2" t="s">
        <v>788</v>
      </c>
      <c r="X1448" s="2" t="s">
        <v>976</v>
      </c>
      <c r="Y1448" s="2" t="s">
        <v>4584</v>
      </c>
      <c r="Z1448" s="4">
        <v>640</v>
      </c>
      <c r="AA1448" s="4">
        <f>=ROUNDDOWN(54.7008547008547,0)</f>
      </c>
      <c r="AB1448" s="5">
        <v>11.7</v>
      </c>
      <c r="AC1448" s="2" t="s">
        <v>100</v>
      </c>
      <c r="AD1448" s="4"/>
      <c r="AE1448" s="4"/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>
        <v>0</v>
      </c>
      <c r="AP1448" s="4"/>
      <c r="AQ1448" s="8"/>
      <c r="AR1448" s="4"/>
      <c r="AS1448" s="8"/>
      <c r="AT1448" s="7"/>
      <c r="AU1448" s="7"/>
      <c r="AV1448" s="4"/>
      <c r="AW1448" s="8"/>
      <c r="AX1448" s="4"/>
      <c r="AY1448" s="8"/>
      <c r="AZ1448" s="7"/>
      <c r="BA1448" s="7"/>
      <c r="BB1448" s="7"/>
      <c r="BC1448" s="4"/>
      <c r="BD1448" s="8"/>
      <c r="BE1448" s="4"/>
      <c r="BF1448" s="8"/>
      <c r="BG1448" s="7"/>
      <c r="BH1448" s="7"/>
      <c r="BI1448" s="7"/>
      <c r="BJ1448" s="4">
        <v>2</v>
      </c>
      <c r="BK1448" s="8">
        <v>25.21</v>
      </c>
      <c r="BL1448" s="2" t="s">
        <v>4304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109</v>
      </c>
      <c r="BV1448" s="2" t="s">
        <v>97</v>
      </c>
      <c r="BW1448" s="2" t="s">
        <v>270</v>
      </c>
      <c r="BX1448" s="2" t="s">
        <v>1398</v>
      </c>
      <c r="BY1448" s="2" t="s">
        <v>112</v>
      </c>
      <c r="BZ1448" s="2" t="s">
        <v>100</v>
      </c>
    </row>
    <row r="1449">
      <c r="A1449" s="2" t="s">
        <v>4585</v>
      </c>
      <c r="B1449" s="2" t="s">
        <v>87</v>
      </c>
      <c r="C1449" s="2" t="s">
        <v>4104</v>
      </c>
      <c r="D1449" s="2" t="s">
        <v>4554</v>
      </c>
      <c r="E1449" s="2" t="s">
        <v>4555</v>
      </c>
      <c r="F1449" s="2" t="s">
        <v>4586</v>
      </c>
      <c r="G1449" s="2" t="s">
        <v>100</v>
      </c>
      <c r="H1449" s="2" t="s">
        <v>100</v>
      </c>
      <c r="I1449" s="2" t="s">
        <v>4577</v>
      </c>
      <c r="J1449" s="2" t="s">
        <v>4578</v>
      </c>
      <c r="K1449" s="2" t="s">
        <v>163</v>
      </c>
      <c r="L1449" s="3">
        <v>14.4</v>
      </c>
      <c r="M1449" s="3">
        <v>15.12</v>
      </c>
      <c r="N1449" s="3">
        <v>31.99</v>
      </c>
      <c r="O1449" s="2" t="s">
        <v>97</v>
      </c>
      <c r="P1449" s="2" t="s">
        <v>447</v>
      </c>
      <c r="Q1449" s="2" t="s">
        <v>99</v>
      </c>
      <c r="R1449" s="2" t="s">
        <v>100</v>
      </c>
      <c r="S1449" s="2" t="s">
        <v>4587</v>
      </c>
      <c r="T1449" s="2" t="s">
        <v>100</v>
      </c>
      <c r="U1449" s="2" t="s">
        <v>100</v>
      </c>
      <c r="V1449" s="2" t="s">
        <v>608</v>
      </c>
      <c r="W1449" s="2" t="s">
        <v>976</v>
      </c>
      <c r="X1449" s="2" t="s">
        <v>4588</v>
      </c>
      <c r="Y1449" s="2" t="s">
        <v>131</v>
      </c>
      <c r="Z1449" s="4">
        <v>301</v>
      </c>
      <c r="AA1449" s="4">
        <f>=ROUNDDOWN(60.2,0)</f>
      </c>
      <c r="AB1449" s="5">
        <v>5</v>
      </c>
      <c r="AC1449" s="2" t="s">
        <v>100</v>
      </c>
      <c r="AD1449" s="4"/>
      <c r="AE1449" s="4"/>
      <c r="AF1449" s="6">
        <v>65</v>
      </c>
      <c r="AG1449" s="6"/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>
        <v>0</v>
      </c>
      <c r="AP1449" s="4"/>
      <c r="AQ1449" s="8"/>
      <c r="AR1449" s="4"/>
      <c r="AS1449" s="8"/>
      <c r="AT1449" s="7"/>
      <c r="AU1449" s="7"/>
      <c r="AV1449" s="4"/>
      <c r="AW1449" s="8"/>
      <c r="AX1449" s="4"/>
      <c r="AY1449" s="8"/>
      <c r="AZ1449" s="7"/>
      <c r="BA1449" s="7"/>
      <c r="BB1449" s="7"/>
      <c r="BC1449" s="4"/>
      <c r="BD1449" s="8"/>
      <c r="BE1449" s="4"/>
      <c r="BF1449" s="8"/>
      <c r="BG1449" s="7"/>
      <c r="BH1449" s="7"/>
      <c r="BI1449" s="7"/>
      <c r="BJ1449" s="4">
        <v>4</v>
      </c>
      <c r="BK1449" s="8">
        <v>53.24</v>
      </c>
      <c r="BL1449" s="2" t="s">
        <v>1310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109</v>
      </c>
      <c r="BV1449" s="2" t="s">
        <v>97</v>
      </c>
      <c r="BW1449" s="2" t="s">
        <v>723</v>
      </c>
      <c r="BX1449" s="2" t="s">
        <v>2143</v>
      </c>
      <c r="BY1449" s="2" t="s">
        <v>112</v>
      </c>
      <c r="BZ1449" s="2" t="s">
        <v>100</v>
      </c>
    </row>
    <row r="1450">
      <c r="A1450" s="2" t="s">
        <v>4589</v>
      </c>
      <c r="B1450" s="2" t="s">
        <v>87</v>
      </c>
      <c r="C1450" s="2" t="s">
        <v>4104</v>
      </c>
      <c r="D1450" s="2" t="s">
        <v>4554</v>
      </c>
      <c r="E1450" s="2" t="s">
        <v>4555</v>
      </c>
      <c r="F1450" s="2" t="s">
        <v>4590</v>
      </c>
      <c r="G1450" s="2" t="s">
        <v>4590</v>
      </c>
      <c r="H1450" s="2" t="s">
        <v>4590</v>
      </c>
      <c r="I1450" s="2" t="s">
        <v>4591</v>
      </c>
      <c r="J1450" s="2" t="s">
        <v>4558</v>
      </c>
      <c r="K1450" s="2" t="s">
        <v>175</v>
      </c>
      <c r="L1450" s="3">
        <v>17.28</v>
      </c>
      <c r="M1450" s="3">
        <v>18.14</v>
      </c>
      <c r="N1450" s="3">
        <v>35.99</v>
      </c>
      <c r="O1450" s="2" t="s">
        <v>473</v>
      </c>
      <c r="P1450" s="2" t="s">
        <v>447</v>
      </c>
      <c r="Q1450" s="2" t="s">
        <v>99</v>
      </c>
      <c r="R1450" s="2" t="s">
        <v>100</v>
      </c>
      <c r="S1450" s="2" t="s">
        <v>4592</v>
      </c>
      <c r="T1450" s="2" t="s">
        <v>359</v>
      </c>
      <c r="U1450" s="2" t="s">
        <v>3325</v>
      </c>
      <c r="V1450" s="2" t="s">
        <v>645</v>
      </c>
      <c r="W1450" s="2" t="s">
        <v>976</v>
      </c>
      <c r="X1450" s="2" t="s">
        <v>788</v>
      </c>
      <c r="Y1450" s="2" t="s">
        <v>4584</v>
      </c>
      <c r="Z1450" s="4">
        <v>305</v>
      </c>
      <c r="AA1450" s="4">
        <f>=ROUNDDOWN(76.25,0)</f>
      </c>
      <c r="AB1450" s="5">
        <v>4</v>
      </c>
      <c r="AC1450" s="2" t="s">
        <v>100</v>
      </c>
      <c r="AD1450" s="4"/>
      <c r="AE1450" s="4"/>
      <c r="AF1450" s="6">
        <v>65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/>
      <c r="AW1450" s="8"/>
      <c r="AX1450" s="4"/>
      <c r="AY1450" s="8"/>
      <c r="AZ1450" s="7"/>
      <c r="BA1450" s="7"/>
      <c r="BB1450" s="7"/>
      <c r="BC1450" s="4"/>
      <c r="BD1450" s="8"/>
      <c r="BE1450" s="4"/>
      <c r="BF1450" s="8"/>
      <c r="BG1450" s="7"/>
      <c r="BH1450" s="7"/>
      <c r="BI1450" s="7"/>
      <c r="BJ1450" s="4"/>
      <c r="BK1450" s="8"/>
      <c r="BL1450" s="2" t="s">
        <v>100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109</v>
      </c>
      <c r="BV1450" s="2" t="s">
        <v>97</v>
      </c>
      <c r="BW1450" s="2" t="s">
        <v>1780</v>
      </c>
      <c r="BX1450" s="2" t="s">
        <v>2783</v>
      </c>
      <c r="BY1450" s="2" t="s">
        <v>112</v>
      </c>
      <c r="BZ1450" s="2" t="s">
        <v>100</v>
      </c>
    </row>
    <row r="1451">
      <c r="A1451" s="2" t="s">
        <v>4593</v>
      </c>
      <c r="B1451" s="2" t="s">
        <v>87</v>
      </c>
      <c r="C1451" s="2" t="s">
        <v>4104</v>
      </c>
      <c r="D1451" s="2" t="s">
        <v>4554</v>
      </c>
      <c r="E1451" s="2" t="s">
        <v>4555</v>
      </c>
      <c r="F1451" s="2" t="s">
        <v>4594</v>
      </c>
      <c r="G1451" s="2" t="s">
        <v>100</v>
      </c>
      <c r="H1451" s="2" t="s">
        <v>100</v>
      </c>
      <c r="I1451" s="2" t="s">
        <v>4595</v>
      </c>
      <c r="J1451" s="2" t="s">
        <v>4564</v>
      </c>
      <c r="K1451" s="2" t="s">
        <v>340</v>
      </c>
      <c r="L1451" s="3">
        <v>14.4</v>
      </c>
      <c r="M1451" s="3">
        <v>15.12</v>
      </c>
      <c r="N1451" s="3">
        <v>31.99</v>
      </c>
      <c r="O1451" s="2" t="s">
        <v>97</v>
      </c>
      <c r="P1451" s="2" t="s">
        <v>447</v>
      </c>
      <c r="Q1451" s="2" t="s">
        <v>99</v>
      </c>
      <c r="R1451" s="2" t="s">
        <v>100</v>
      </c>
      <c r="S1451" s="2" t="s">
        <v>4596</v>
      </c>
      <c r="T1451" s="2" t="s">
        <v>100</v>
      </c>
      <c r="U1451" s="2" t="s">
        <v>100</v>
      </c>
      <c r="V1451" s="2" t="s">
        <v>4142</v>
      </c>
      <c r="W1451" s="2" t="s">
        <v>1064</v>
      </c>
      <c r="X1451" s="2" t="s">
        <v>100</v>
      </c>
      <c r="Y1451" s="2" t="s">
        <v>131</v>
      </c>
      <c r="Z1451" s="4">
        <v>113</v>
      </c>
      <c r="AA1451" s="4">
        <f>=ROUNDDOWN(9.41666666666667,0)</f>
      </c>
      <c r="AB1451" s="5">
        <v>12</v>
      </c>
      <c r="AC1451" s="2" t="s">
        <v>100</v>
      </c>
      <c r="AD1451" s="4"/>
      <c r="AE1451" s="4"/>
      <c r="AF1451" s="6">
        <v>65</v>
      </c>
      <c r="AG1451" s="6"/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>
        <v>0</v>
      </c>
      <c r="AP1451" s="4"/>
      <c r="AQ1451" s="8"/>
      <c r="AR1451" s="4"/>
      <c r="AS1451" s="8"/>
      <c r="AT1451" s="7"/>
      <c r="AU1451" s="7"/>
      <c r="AV1451" s="4"/>
      <c r="AW1451" s="8"/>
      <c r="AX1451" s="4"/>
      <c r="AY1451" s="8"/>
      <c r="AZ1451" s="7"/>
      <c r="BA1451" s="7"/>
      <c r="BB1451" s="7"/>
      <c r="BC1451" s="4"/>
      <c r="BD1451" s="8"/>
      <c r="BE1451" s="4"/>
      <c r="BF1451" s="8"/>
      <c r="BG1451" s="7"/>
      <c r="BH1451" s="7"/>
      <c r="BI1451" s="7"/>
      <c r="BJ1451" s="4">
        <v>3</v>
      </c>
      <c r="BK1451" s="8">
        <v>26.95</v>
      </c>
      <c r="BL1451" s="2" t="s">
        <v>224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723</v>
      </c>
      <c r="BX1451" s="2" t="s">
        <v>1053</v>
      </c>
      <c r="BY1451" s="2" t="s">
        <v>112</v>
      </c>
      <c r="BZ1451" s="2" t="s">
        <v>100</v>
      </c>
    </row>
    <row r="1452">
      <c r="A1452" s="2" t="s">
        <v>4597</v>
      </c>
      <c r="B1452" s="2" t="s">
        <v>87</v>
      </c>
      <c r="C1452" s="2" t="s">
        <v>4104</v>
      </c>
      <c r="D1452" s="2" t="s">
        <v>4554</v>
      </c>
      <c r="E1452" s="2" t="s">
        <v>4555</v>
      </c>
      <c r="F1452" s="2" t="s">
        <v>4598</v>
      </c>
      <c r="G1452" s="2" t="s">
        <v>4598</v>
      </c>
      <c r="H1452" s="2" t="s">
        <v>4598</v>
      </c>
      <c r="I1452" s="2" t="s">
        <v>4599</v>
      </c>
      <c r="J1452" s="2" t="s">
        <v>4571</v>
      </c>
      <c r="K1452" s="2" t="s">
        <v>4600</v>
      </c>
      <c r="L1452" s="3">
        <v>13.5</v>
      </c>
      <c r="M1452" s="3">
        <v>14.17</v>
      </c>
      <c r="N1452" s="3">
        <v>29.99</v>
      </c>
      <c r="O1452" s="2" t="s">
        <v>97</v>
      </c>
      <c r="P1452" s="2" t="s">
        <v>447</v>
      </c>
      <c r="Q1452" s="2" t="s">
        <v>99</v>
      </c>
      <c r="R1452" s="2" t="s">
        <v>100</v>
      </c>
      <c r="S1452" s="2" t="s">
        <v>4601</v>
      </c>
      <c r="T1452" s="2" t="s">
        <v>359</v>
      </c>
      <c r="U1452" s="2" t="s">
        <v>3325</v>
      </c>
      <c r="V1452" s="2" t="s">
        <v>4142</v>
      </c>
      <c r="W1452" s="2" t="s">
        <v>1064</v>
      </c>
      <c r="X1452" s="2" t="s">
        <v>976</v>
      </c>
      <c r="Y1452" s="2" t="s">
        <v>2058</v>
      </c>
      <c r="Z1452" s="4">
        <v>73</v>
      </c>
      <c r="AA1452" s="4">
        <f>=ROUNDDOWN(31.7391304347826,0)</f>
      </c>
      <c r="AB1452" s="5">
        <v>2.3</v>
      </c>
      <c r="AC1452" s="2" t="s">
        <v>100</v>
      </c>
      <c r="AD1452" s="4"/>
      <c r="AE1452" s="4"/>
      <c r="AF1452" s="6">
        <v>65</v>
      </c>
      <c r="AG1452" s="6"/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>
        <v>0</v>
      </c>
      <c r="AP1452" s="4"/>
      <c r="AQ1452" s="8"/>
      <c r="AR1452" s="4"/>
      <c r="AS1452" s="8"/>
      <c r="AT1452" s="7"/>
      <c r="AU1452" s="7"/>
      <c r="AV1452" s="4"/>
      <c r="AW1452" s="8"/>
      <c r="AX1452" s="4"/>
      <c r="AY1452" s="8"/>
      <c r="AZ1452" s="7"/>
      <c r="BA1452" s="7"/>
      <c r="BB1452" s="7"/>
      <c r="BC1452" s="4"/>
      <c r="BD1452" s="8"/>
      <c r="BE1452" s="4"/>
      <c r="BF1452" s="8"/>
      <c r="BG1452" s="7"/>
      <c r="BH1452" s="7"/>
      <c r="BI1452" s="7"/>
      <c r="BJ1452" s="4">
        <v>2</v>
      </c>
      <c r="BK1452" s="8">
        <v>26.65</v>
      </c>
      <c r="BL1452" s="2" t="s">
        <v>4602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3088</v>
      </c>
      <c r="BV1452" s="2" t="s">
        <v>97</v>
      </c>
      <c r="BW1452" s="2" t="s">
        <v>100</v>
      </c>
      <c r="BX1452" s="2" t="s">
        <v>100</v>
      </c>
      <c r="BY1452" s="2" t="s">
        <v>112</v>
      </c>
      <c r="BZ1452" s="2" t="s">
        <v>100</v>
      </c>
    </row>
    <row r="1453">
      <c r="A1453" s="2" t="s">
        <v>4603</v>
      </c>
      <c r="B1453" s="2" t="s">
        <v>87</v>
      </c>
      <c r="C1453" s="2" t="s">
        <v>4104</v>
      </c>
      <c r="D1453" s="2" t="s">
        <v>4554</v>
      </c>
      <c r="E1453" s="2" t="s">
        <v>4555</v>
      </c>
      <c r="F1453" s="2" t="s">
        <v>3576</v>
      </c>
      <c r="G1453" s="2" t="s">
        <v>3576</v>
      </c>
      <c r="H1453" s="2" t="s">
        <v>100</v>
      </c>
      <c r="I1453" s="2" t="s">
        <v>4604</v>
      </c>
      <c r="J1453" s="2" t="s">
        <v>4558</v>
      </c>
      <c r="K1453" s="2" t="s">
        <v>146</v>
      </c>
      <c r="L1453" s="3">
        <v>15.2</v>
      </c>
      <c r="M1453" s="3">
        <v>15.96</v>
      </c>
      <c r="N1453" s="3">
        <v>36.99</v>
      </c>
      <c r="O1453" s="2" t="s">
        <v>97</v>
      </c>
      <c r="P1453" s="2" t="s">
        <v>242</v>
      </c>
      <c r="Q1453" s="2" t="s">
        <v>99</v>
      </c>
      <c r="R1453" s="2" t="s">
        <v>100</v>
      </c>
      <c r="S1453" s="2" t="s">
        <v>4605</v>
      </c>
      <c r="T1453" s="2" t="s">
        <v>359</v>
      </c>
      <c r="U1453" s="2" t="s">
        <v>3325</v>
      </c>
      <c r="V1453" s="2" t="s">
        <v>608</v>
      </c>
      <c r="W1453" s="2" t="s">
        <v>2101</v>
      </c>
      <c r="X1453" s="2" t="s">
        <v>976</v>
      </c>
      <c r="Y1453" s="2" t="s">
        <v>131</v>
      </c>
      <c r="Z1453" s="4">
        <v>670</v>
      </c>
      <c r="AA1453" s="4">
        <f>=ROUNDDOWN(19.1428571428571,0)</f>
      </c>
      <c r="AB1453" s="5">
        <v>35</v>
      </c>
      <c r="AC1453" s="2" t="s">
        <v>1372</v>
      </c>
      <c r="AD1453" s="4">
        <v>900</v>
      </c>
      <c r="AE1453" s="4">
        <v>1410</v>
      </c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>
        <v>0</v>
      </c>
      <c r="AP1453" s="4"/>
      <c r="AQ1453" s="8"/>
      <c r="AR1453" s="4"/>
      <c r="AS1453" s="8"/>
      <c r="AT1453" s="7"/>
      <c r="AU1453" s="7"/>
      <c r="AV1453" s="4"/>
      <c r="AW1453" s="8"/>
      <c r="AX1453" s="4"/>
      <c r="AY1453" s="8"/>
      <c r="AZ1453" s="7"/>
      <c r="BA1453" s="7"/>
      <c r="BB1453" s="7"/>
      <c r="BC1453" s="4"/>
      <c r="BD1453" s="8"/>
      <c r="BE1453" s="4"/>
      <c r="BF1453" s="8"/>
      <c r="BG1453" s="7"/>
      <c r="BH1453" s="7"/>
      <c r="BI1453" s="7"/>
      <c r="BJ1453" s="4">
        <v>51</v>
      </c>
      <c r="BK1453" s="8">
        <v>882.22</v>
      </c>
      <c r="BL1453" s="2" t="s">
        <v>2439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723</v>
      </c>
      <c r="BX1453" s="2" t="s">
        <v>100</v>
      </c>
      <c r="BY1453" s="2" t="s">
        <v>112</v>
      </c>
      <c r="BZ1453" s="2" t="s">
        <v>100</v>
      </c>
    </row>
    <row r="1454">
      <c r="A1454" s="2" t="s">
        <v>4606</v>
      </c>
      <c r="B1454" s="2" t="s">
        <v>87</v>
      </c>
      <c r="C1454" s="2" t="s">
        <v>4104</v>
      </c>
      <c r="D1454" s="2" t="s">
        <v>4554</v>
      </c>
      <c r="E1454" s="2" t="s">
        <v>4555</v>
      </c>
      <c r="F1454" s="2" t="s">
        <v>4607</v>
      </c>
      <c r="G1454" s="2" t="s">
        <v>4607</v>
      </c>
      <c r="H1454" s="2" t="s">
        <v>4607</v>
      </c>
      <c r="I1454" s="2" t="s">
        <v>4582</v>
      </c>
      <c r="J1454" s="2" t="s">
        <v>4608</v>
      </c>
      <c r="K1454" s="2" t="s">
        <v>4609</v>
      </c>
      <c r="L1454" s="3">
        <v>11.88</v>
      </c>
      <c r="M1454" s="3">
        <v>12.47</v>
      </c>
      <c r="N1454" s="3">
        <v>26.99</v>
      </c>
      <c r="O1454" s="2" t="s">
        <v>473</v>
      </c>
      <c r="P1454" s="2" t="s">
        <v>447</v>
      </c>
      <c r="Q1454" s="2" t="s">
        <v>99</v>
      </c>
      <c r="R1454" s="2" t="s">
        <v>100</v>
      </c>
      <c r="S1454" s="2" t="s">
        <v>4610</v>
      </c>
      <c r="T1454" s="2" t="s">
        <v>100</v>
      </c>
      <c r="U1454" s="2" t="s">
        <v>100</v>
      </c>
      <c r="V1454" s="2" t="s">
        <v>4166</v>
      </c>
      <c r="W1454" s="2" t="s">
        <v>105</v>
      </c>
      <c r="X1454" s="2" t="s">
        <v>104</v>
      </c>
      <c r="Y1454" s="2" t="s">
        <v>4611</v>
      </c>
      <c r="Z1454" s="4">
        <v>72</v>
      </c>
      <c r="AA1454" s="4">
        <f>=ROUNDDOWN(60,0)</f>
      </c>
      <c r="AB1454" s="5">
        <v>1.2</v>
      </c>
      <c r="AC1454" s="2" t="s">
        <v>100</v>
      </c>
      <c r="AD1454" s="4"/>
      <c r="AE1454" s="4"/>
      <c r="AF1454" s="6">
        <v>65</v>
      </c>
      <c r="AG1454" s="6"/>
      <c r="AH1454" s="7">
        <v>1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>
        <v>0</v>
      </c>
      <c r="AP1454" s="4"/>
      <c r="AQ1454" s="8"/>
      <c r="AR1454" s="4"/>
      <c r="AS1454" s="8"/>
      <c r="AT1454" s="7"/>
      <c r="AU1454" s="7"/>
      <c r="AV1454" s="4"/>
      <c r="AW1454" s="8"/>
      <c r="AX1454" s="4"/>
      <c r="AY1454" s="8"/>
      <c r="AZ1454" s="7"/>
      <c r="BA1454" s="7"/>
      <c r="BB1454" s="7"/>
      <c r="BC1454" s="4"/>
      <c r="BD1454" s="8"/>
      <c r="BE1454" s="4"/>
      <c r="BF1454" s="8"/>
      <c r="BG1454" s="7"/>
      <c r="BH1454" s="7"/>
      <c r="BI1454" s="7"/>
      <c r="BJ1454" s="4">
        <v>1</v>
      </c>
      <c r="BK1454" s="8">
        <v>13.1</v>
      </c>
      <c r="BL1454" s="2" t="s">
        <v>210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723</v>
      </c>
      <c r="BX1454" s="2" t="s">
        <v>728</v>
      </c>
      <c r="BY1454" s="2" t="s">
        <v>112</v>
      </c>
      <c r="BZ1454" s="2" t="s">
        <v>100</v>
      </c>
    </row>
    <row r="1455">
      <c r="A1455" s="2" t="s">
        <v>4612</v>
      </c>
      <c r="B1455" s="2" t="s">
        <v>87</v>
      </c>
      <c r="C1455" s="2" t="s">
        <v>4613</v>
      </c>
      <c r="D1455" s="2" t="s">
        <v>89</v>
      </c>
      <c r="E1455" s="2" t="s">
        <v>2030</v>
      </c>
      <c r="F1455" s="2" t="s">
        <v>4614</v>
      </c>
      <c r="G1455" s="2" t="s">
        <v>4615</v>
      </c>
      <c r="H1455" s="2" t="s">
        <v>4616</v>
      </c>
      <c r="I1455" s="2" t="s">
        <v>4617</v>
      </c>
      <c r="J1455" s="2" t="s">
        <v>673</v>
      </c>
      <c r="K1455" s="2" t="s">
        <v>4293</v>
      </c>
      <c r="L1455" s="3">
        <v>22.85</v>
      </c>
      <c r="M1455" s="3">
        <v>23.99</v>
      </c>
      <c r="N1455" s="3">
        <v>47.99</v>
      </c>
      <c r="O1455" s="2" t="s">
        <v>97</v>
      </c>
      <c r="P1455" s="2" t="s">
        <v>1216</v>
      </c>
      <c r="Q1455" s="2" t="s">
        <v>99</v>
      </c>
      <c r="R1455" s="2" t="s">
        <v>100</v>
      </c>
      <c r="S1455" s="2" t="s">
        <v>4618</v>
      </c>
      <c r="T1455" s="2" t="s">
        <v>787</v>
      </c>
      <c r="U1455" s="2" t="s">
        <v>2150</v>
      </c>
      <c r="V1455" s="2" t="s">
        <v>734</v>
      </c>
      <c r="W1455" s="2" t="s">
        <v>646</v>
      </c>
      <c r="X1455" s="2" t="s">
        <v>976</v>
      </c>
      <c r="Y1455" s="2" t="s">
        <v>4619</v>
      </c>
      <c r="Z1455" s="4">
        <v>97</v>
      </c>
      <c r="AA1455" s="4">
        <f>=ROUNDDOWN(46.1904761904762,0)</f>
      </c>
      <c r="AB1455" s="5">
        <v>2.1</v>
      </c>
      <c r="AC1455" s="2" t="s">
        <v>287</v>
      </c>
      <c r="AD1455" s="4">
        <v>75</v>
      </c>
      <c r="AE1455" s="4">
        <v>135</v>
      </c>
      <c r="AF1455" s="6">
        <v>63</v>
      </c>
      <c r="AG1455" s="6">
        <v>46</v>
      </c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>
        <v>0</v>
      </c>
      <c r="AP1455" s="4">
        <v>2</v>
      </c>
      <c r="AQ1455" s="8">
        <v>50.38</v>
      </c>
      <c r="AR1455" s="4"/>
      <c r="AS1455" s="8"/>
      <c r="AT1455" s="7"/>
      <c r="AU1455" s="7"/>
      <c r="AV1455" s="4">
        <v>4</v>
      </c>
      <c r="AW1455" s="8">
        <v>111.26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>
        <v>0.4528</v>
      </c>
      <c r="BC1455" s="4">
        <v>10</v>
      </c>
      <c r="BD1455" s="8">
        <v>294.44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>
        <v>0.3779</v>
      </c>
      <c r="BJ1455" s="4">
        <v>27</v>
      </c>
      <c r="BK1455" s="8">
        <v>604.66</v>
      </c>
      <c r="BL1455" s="2" t="s">
        <v>4620</v>
      </c>
      <c r="BM1455" s="7">
        <v>0.0741</v>
      </c>
      <c r="BN1455" s="7">
        <v>0.0833</v>
      </c>
      <c r="BO1455" s="4">
        <v>2</v>
      </c>
      <c r="BP1455" s="8">
        <v>50.38</v>
      </c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3810</v>
      </c>
      <c r="BX1455" s="2" t="s">
        <v>2009</v>
      </c>
      <c r="BY1455" s="2" t="s">
        <v>112</v>
      </c>
      <c r="BZ1455" s="2" t="s">
        <v>100</v>
      </c>
    </row>
    <row r="1456">
      <c r="A1456" s="2" t="s">
        <v>4621</v>
      </c>
      <c r="B1456" s="2" t="s">
        <v>87</v>
      </c>
      <c r="C1456" s="2" t="s">
        <v>4613</v>
      </c>
      <c r="D1456" s="2" t="s">
        <v>89</v>
      </c>
      <c r="E1456" s="2" t="s">
        <v>2030</v>
      </c>
      <c r="F1456" s="2" t="s">
        <v>4614</v>
      </c>
      <c r="G1456" s="2" t="s">
        <v>4615</v>
      </c>
      <c r="H1456" s="2" t="s">
        <v>4616</v>
      </c>
      <c r="I1456" s="2" t="s">
        <v>4617</v>
      </c>
      <c r="J1456" s="2" t="s">
        <v>785</v>
      </c>
      <c r="K1456" s="2" t="s">
        <v>4293</v>
      </c>
      <c r="L1456" s="3">
        <v>27.61</v>
      </c>
      <c r="M1456" s="3">
        <v>28.99</v>
      </c>
      <c r="N1456" s="3">
        <v>57.99</v>
      </c>
      <c r="O1456" s="2" t="s">
        <v>97</v>
      </c>
      <c r="P1456" s="2" t="s">
        <v>1216</v>
      </c>
      <c r="Q1456" s="2" t="s">
        <v>99</v>
      </c>
      <c r="R1456" s="2" t="s">
        <v>100</v>
      </c>
      <c r="S1456" s="2" t="s">
        <v>4618</v>
      </c>
      <c r="T1456" s="2" t="s">
        <v>787</v>
      </c>
      <c r="U1456" s="2" t="s">
        <v>1508</v>
      </c>
      <c r="V1456" s="2" t="s">
        <v>734</v>
      </c>
      <c r="W1456" s="2" t="s">
        <v>646</v>
      </c>
      <c r="X1456" s="2" t="s">
        <v>976</v>
      </c>
      <c r="Y1456" s="2" t="s">
        <v>4619</v>
      </c>
      <c r="Z1456" s="4">
        <v>495</v>
      </c>
      <c r="AA1456" s="4">
        <f>=ROUNDDOWN(133.783783783784,0)</f>
      </c>
      <c r="AB1456" s="5">
        <v>3.7</v>
      </c>
      <c r="AC1456" s="2" t="s">
        <v>287</v>
      </c>
      <c r="AD1456" s="4">
        <v>222</v>
      </c>
      <c r="AE1456" s="4">
        <v>519</v>
      </c>
      <c r="AF1456" s="6">
        <v>63</v>
      </c>
      <c r="AG1456" s="6">
        <v>46</v>
      </c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>
        <v>0</v>
      </c>
      <c r="AP1456" s="4">
        <v>2</v>
      </c>
      <c r="AQ1456" s="8">
        <v>60.88</v>
      </c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>
        <v>0.5472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 t="s">
        <v>100</v>
      </c>
      <c r="BJ1456" s="4">
        <v>32</v>
      </c>
      <c r="BK1456" s="8">
        <v>899.5</v>
      </c>
      <c r="BL1456" s="2" t="s">
        <v>4622</v>
      </c>
      <c r="BM1456" s="7">
        <v>0.0625</v>
      </c>
      <c r="BN1456" s="7">
        <v>0.0677</v>
      </c>
      <c r="BO1456" s="4">
        <v>2</v>
      </c>
      <c r="BP1456" s="8">
        <v>60.88</v>
      </c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3810</v>
      </c>
      <c r="BX1456" s="2" t="s">
        <v>1574</v>
      </c>
      <c r="BY1456" s="2" t="s">
        <v>112</v>
      </c>
      <c r="BZ1456" s="2" t="s">
        <v>100</v>
      </c>
    </row>
    <row r="1457">
      <c r="A1457" s="2" t="s">
        <v>4623</v>
      </c>
      <c r="B1457" s="2" t="s">
        <v>87</v>
      </c>
      <c r="C1457" s="2" t="s">
        <v>4613</v>
      </c>
      <c r="D1457" s="2" t="s">
        <v>89</v>
      </c>
      <c r="E1457" s="2" t="s">
        <v>2030</v>
      </c>
      <c r="F1457" s="2" t="s">
        <v>4614</v>
      </c>
      <c r="G1457" s="2" t="s">
        <v>4615</v>
      </c>
      <c r="H1457" s="2" t="s">
        <v>4616</v>
      </c>
      <c r="I1457" s="2" t="s">
        <v>4617</v>
      </c>
      <c r="J1457" s="2" t="s">
        <v>795</v>
      </c>
      <c r="K1457" s="2" t="s">
        <v>4293</v>
      </c>
      <c r="L1457" s="3">
        <v>30.95</v>
      </c>
      <c r="M1457" s="3">
        <v>32.5</v>
      </c>
      <c r="N1457" s="3">
        <v>64.99</v>
      </c>
      <c r="O1457" s="2" t="s">
        <v>97</v>
      </c>
      <c r="P1457" s="2" t="s">
        <v>1216</v>
      </c>
      <c r="Q1457" s="2" t="s">
        <v>99</v>
      </c>
      <c r="R1457" s="2" t="s">
        <v>100</v>
      </c>
      <c r="S1457" s="2" t="s">
        <v>4618</v>
      </c>
      <c r="T1457" s="2" t="s">
        <v>787</v>
      </c>
      <c r="U1457" s="2" t="s">
        <v>1508</v>
      </c>
      <c r="V1457" s="2" t="s">
        <v>734</v>
      </c>
      <c r="W1457" s="2" t="s">
        <v>646</v>
      </c>
      <c r="X1457" s="2" t="s">
        <v>976</v>
      </c>
      <c r="Y1457" s="2" t="s">
        <v>1281</v>
      </c>
      <c r="Z1457" s="4">
        <v>429</v>
      </c>
      <c r="AA1457" s="4">
        <f>=ROUNDDOWN(612.857142857143,0)</f>
      </c>
      <c r="AB1457" s="5">
        <v>0.7</v>
      </c>
      <c r="AC1457" s="2" t="s">
        <v>287</v>
      </c>
      <c r="AD1457" s="4">
        <v>172</v>
      </c>
      <c r="AE1457" s="4">
        <v>426</v>
      </c>
      <c r="AF1457" s="6">
        <v>63</v>
      </c>
      <c r="AG1457" s="6">
        <v>46</v>
      </c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>
        <v>0</v>
      </c>
      <c r="AP1457" s="4"/>
      <c r="AQ1457" s="8"/>
      <c r="AR1457" s="4"/>
      <c r="AS1457" s="8"/>
      <c r="AT1457" s="7"/>
      <c r="AU1457" s="7"/>
      <c r="AV1457" s="4" t="s">
        <v>100</v>
      </c>
      <c r="AW1457" s="8" t="s">
        <v>100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/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 t="s">
        <v>100</v>
      </c>
      <c r="BJ1457" s="4">
        <v>13</v>
      </c>
      <c r="BK1457" s="8">
        <v>389.1</v>
      </c>
      <c r="BL1457" s="2" t="s">
        <v>813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3810</v>
      </c>
      <c r="BX1457" s="2" t="s">
        <v>4624</v>
      </c>
      <c r="BY1457" s="2" t="s">
        <v>112</v>
      </c>
      <c r="BZ1457" s="2" t="s">
        <v>100</v>
      </c>
    </row>
    <row r="1458">
      <c r="A1458" s="2" t="s">
        <v>4625</v>
      </c>
      <c r="B1458" s="2" t="s">
        <v>87</v>
      </c>
      <c r="C1458" s="2" t="s">
        <v>4613</v>
      </c>
      <c r="D1458" s="2" t="s">
        <v>89</v>
      </c>
      <c r="E1458" s="2" t="s">
        <v>2030</v>
      </c>
      <c r="F1458" s="2" t="s">
        <v>4614</v>
      </c>
      <c r="G1458" s="2" t="s">
        <v>4615</v>
      </c>
      <c r="H1458" s="2" t="s">
        <v>4616</v>
      </c>
      <c r="I1458" s="2" t="s">
        <v>4617</v>
      </c>
      <c r="J1458" s="2" t="s">
        <v>673</v>
      </c>
      <c r="K1458" s="2" t="s">
        <v>1555</v>
      </c>
      <c r="L1458" s="3">
        <v>22.85</v>
      </c>
      <c r="M1458" s="3">
        <v>23.99</v>
      </c>
      <c r="N1458" s="3">
        <v>47.99</v>
      </c>
      <c r="O1458" s="2" t="s">
        <v>97</v>
      </c>
      <c r="P1458" s="2" t="s">
        <v>1216</v>
      </c>
      <c r="Q1458" s="2" t="s">
        <v>99</v>
      </c>
      <c r="R1458" s="2" t="s">
        <v>100</v>
      </c>
      <c r="S1458" s="2" t="s">
        <v>4626</v>
      </c>
      <c r="T1458" s="2" t="s">
        <v>787</v>
      </c>
      <c r="U1458" s="2" t="s">
        <v>2150</v>
      </c>
      <c r="V1458" s="2" t="s">
        <v>734</v>
      </c>
      <c r="W1458" s="2" t="s">
        <v>646</v>
      </c>
      <c r="X1458" s="2" t="s">
        <v>976</v>
      </c>
      <c r="Y1458" s="2" t="s">
        <v>4619</v>
      </c>
      <c r="Z1458" s="4">
        <v>119</v>
      </c>
      <c r="AA1458" s="4">
        <f>=ROUNDDOWN(396.666666666667,0)</f>
      </c>
      <c r="AB1458" s="5">
        <v>0.3</v>
      </c>
      <c r="AC1458" s="2" t="s">
        <v>287</v>
      </c>
      <c r="AD1458" s="4">
        <v>21</v>
      </c>
      <c r="AE1458" s="4">
        <v>60</v>
      </c>
      <c r="AF1458" s="6">
        <v>63</v>
      </c>
      <c r="AG1458" s="6">
        <v>46</v>
      </c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>
        <v>0</v>
      </c>
      <c r="AP1458" s="4"/>
      <c r="AQ1458" s="8"/>
      <c r="AR1458" s="4"/>
      <c r="AS1458" s="8"/>
      <c r="AT1458" s="7"/>
      <c r="AU1458" s="7"/>
      <c r="AV1458" s="4">
        <v>3</v>
      </c>
      <c r="AW1458" s="8">
        <v>102.36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/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>
        <v>0.3476</v>
      </c>
      <c r="BJ1458" s="4">
        <v>5</v>
      </c>
      <c r="BK1458" s="8">
        <v>108.95</v>
      </c>
      <c r="BL1458" s="2" t="s">
        <v>4627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3810</v>
      </c>
      <c r="BX1458" s="2" t="s">
        <v>100</v>
      </c>
      <c r="BY1458" s="2" t="s">
        <v>112</v>
      </c>
      <c r="BZ1458" s="2" t="s">
        <v>100</v>
      </c>
    </row>
    <row r="1459">
      <c r="A1459" s="2" t="s">
        <v>4628</v>
      </c>
      <c r="B1459" s="2" t="s">
        <v>87</v>
      </c>
      <c r="C1459" s="2" t="s">
        <v>4613</v>
      </c>
      <c r="D1459" s="2" t="s">
        <v>89</v>
      </c>
      <c r="E1459" s="2" t="s">
        <v>2030</v>
      </c>
      <c r="F1459" s="2" t="s">
        <v>4614</v>
      </c>
      <c r="G1459" s="2" t="s">
        <v>4615</v>
      </c>
      <c r="H1459" s="2" t="s">
        <v>4616</v>
      </c>
      <c r="I1459" s="2" t="s">
        <v>4617</v>
      </c>
      <c r="J1459" s="2" t="s">
        <v>785</v>
      </c>
      <c r="K1459" s="2" t="s">
        <v>1555</v>
      </c>
      <c r="L1459" s="3">
        <v>27.61</v>
      </c>
      <c r="M1459" s="3">
        <v>28.99</v>
      </c>
      <c r="N1459" s="3">
        <v>57.99</v>
      </c>
      <c r="O1459" s="2" t="s">
        <v>97</v>
      </c>
      <c r="P1459" s="2" t="s">
        <v>1216</v>
      </c>
      <c r="Q1459" s="2" t="s">
        <v>99</v>
      </c>
      <c r="R1459" s="2" t="s">
        <v>100</v>
      </c>
      <c r="S1459" s="2" t="s">
        <v>4626</v>
      </c>
      <c r="T1459" s="2" t="s">
        <v>787</v>
      </c>
      <c r="U1459" s="2" t="s">
        <v>1508</v>
      </c>
      <c r="V1459" s="2" t="s">
        <v>734</v>
      </c>
      <c r="W1459" s="2" t="s">
        <v>646</v>
      </c>
      <c r="X1459" s="2" t="s">
        <v>976</v>
      </c>
      <c r="Y1459" s="2" t="s">
        <v>4619</v>
      </c>
      <c r="Z1459" s="4">
        <v>249</v>
      </c>
      <c r="AA1459" s="4">
        <f>=ROUNDDOWN(177.857142857143,0)</f>
      </c>
      <c r="AB1459" s="5">
        <v>1.4</v>
      </c>
      <c r="AC1459" s="2" t="s">
        <v>287</v>
      </c>
      <c r="AD1459" s="4">
        <v>102</v>
      </c>
      <c r="AE1459" s="4">
        <v>267</v>
      </c>
      <c r="AF1459" s="6">
        <v>63</v>
      </c>
      <c r="AG1459" s="6">
        <v>46</v>
      </c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>
        <v>0</v>
      </c>
      <c r="AP1459" s="4"/>
      <c r="AQ1459" s="8"/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/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9</v>
      </c>
      <c r="BK1459" s="8">
        <v>244.7</v>
      </c>
      <c r="BL1459" s="2" t="s">
        <v>4627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3810</v>
      </c>
      <c r="BX1459" s="2" t="s">
        <v>100</v>
      </c>
      <c r="BY1459" s="2" t="s">
        <v>112</v>
      </c>
      <c r="BZ1459" s="2" t="s">
        <v>100</v>
      </c>
    </row>
    <row r="1460">
      <c r="A1460" s="2" t="s">
        <v>4629</v>
      </c>
      <c r="B1460" s="2" t="s">
        <v>87</v>
      </c>
      <c r="C1460" s="2" t="s">
        <v>4613</v>
      </c>
      <c r="D1460" s="2" t="s">
        <v>89</v>
      </c>
      <c r="E1460" s="2" t="s">
        <v>2030</v>
      </c>
      <c r="F1460" s="2" t="s">
        <v>4614</v>
      </c>
      <c r="G1460" s="2" t="s">
        <v>4615</v>
      </c>
      <c r="H1460" s="2" t="s">
        <v>4616</v>
      </c>
      <c r="I1460" s="2" t="s">
        <v>4617</v>
      </c>
      <c r="J1460" s="2" t="s">
        <v>795</v>
      </c>
      <c r="K1460" s="2" t="s">
        <v>1555</v>
      </c>
      <c r="L1460" s="3">
        <v>30.95</v>
      </c>
      <c r="M1460" s="3">
        <v>32.5</v>
      </c>
      <c r="N1460" s="3">
        <v>64.99</v>
      </c>
      <c r="O1460" s="2" t="s">
        <v>97</v>
      </c>
      <c r="P1460" s="2" t="s">
        <v>1216</v>
      </c>
      <c r="Q1460" s="2" t="s">
        <v>99</v>
      </c>
      <c r="R1460" s="2" t="s">
        <v>100</v>
      </c>
      <c r="S1460" s="2" t="s">
        <v>4626</v>
      </c>
      <c r="T1460" s="2" t="s">
        <v>787</v>
      </c>
      <c r="U1460" s="2" t="s">
        <v>1508</v>
      </c>
      <c r="V1460" s="2" t="s">
        <v>734</v>
      </c>
      <c r="W1460" s="2" t="s">
        <v>646</v>
      </c>
      <c r="X1460" s="2" t="s">
        <v>976</v>
      </c>
      <c r="Y1460" s="2" t="s">
        <v>1281</v>
      </c>
      <c r="Z1460" s="4">
        <v>178</v>
      </c>
      <c r="AA1460" s="4">
        <f>=ROUNDDOWN(161.818181818182,0)</f>
      </c>
      <c r="AB1460" s="5">
        <v>1.1</v>
      </c>
      <c r="AC1460" s="2" t="s">
        <v>287</v>
      </c>
      <c r="AD1460" s="4">
        <v>76</v>
      </c>
      <c r="AE1460" s="4">
        <v>212</v>
      </c>
      <c r="AF1460" s="6">
        <v>63</v>
      </c>
      <c r="AG1460" s="6">
        <v>46</v>
      </c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>
        <v>0</v>
      </c>
      <c r="AP1460" s="4">
        <v>3</v>
      </c>
      <c r="AQ1460" s="8">
        <v>102.36</v>
      </c>
      <c r="AR1460" s="4"/>
      <c r="AS1460" s="8"/>
      <c r="AT1460" s="7"/>
      <c r="AU1460" s="7"/>
      <c r="AV1460" s="4" t="s">
        <v>100</v>
      </c>
      <c r="AW1460" s="8" t="s">
        <v>100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>
        <v>1</v>
      </c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 t="s">
        <v>100</v>
      </c>
      <c r="BJ1460" s="4">
        <v>16</v>
      </c>
      <c r="BK1460" s="8">
        <v>508.26</v>
      </c>
      <c r="BL1460" s="2" t="s">
        <v>4630</v>
      </c>
      <c r="BM1460" s="7">
        <v>0.1875</v>
      </c>
      <c r="BN1460" s="7">
        <v>0.2014</v>
      </c>
      <c r="BO1460" s="4">
        <v>3</v>
      </c>
      <c r="BP1460" s="8">
        <v>102.36</v>
      </c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3810</v>
      </c>
      <c r="BX1460" s="2" t="s">
        <v>2009</v>
      </c>
      <c r="BY1460" s="2" t="s">
        <v>112</v>
      </c>
      <c r="BZ1460" s="2" t="s">
        <v>100</v>
      </c>
    </row>
    <row r="1461">
      <c r="A1461" s="2" t="s">
        <v>4631</v>
      </c>
      <c r="B1461" s="2" t="s">
        <v>87</v>
      </c>
      <c r="C1461" s="2" t="s">
        <v>4613</v>
      </c>
      <c r="D1461" s="2" t="s">
        <v>89</v>
      </c>
      <c r="E1461" s="2" t="s">
        <v>2030</v>
      </c>
      <c r="F1461" s="2" t="s">
        <v>4614</v>
      </c>
      <c r="G1461" s="2" t="s">
        <v>4615</v>
      </c>
      <c r="H1461" s="2" t="s">
        <v>4616</v>
      </c>
      <c r="I1461" s="2" t="s">
        <v>4617</v>
      </c>
      <c r="J1461" s="2" t="s">
        <v>673</v>
      </c>
      <c r="K1461" s="2" t="s">
        <v>198</v>
      </c>
      <c r="L1461" s="3">
        <v>22.85</v>
      </c>
      <c r="M1461" s="3">
        <v>23.99</v>
      </c>
      <c r="N1461" s="3">
        <v>43.99</v>
      </c>
      <c r="O1461" s="2" t="s">
        <v>97</v>
      </c>
      <c r="P1461" s="2" t="s">
        <v>1216</v>
      </c>
      <c r="Q1461" s="2" t="s">
        <v>99</v>
      </c>
      <c r="R1461" s="2" t="s">
        <v>100</v>
      </c>
      <c r="S1461" s="2" t="s">
        <v>4632</v>
      </c>
      <c r="T1461" s="2" t="s">
        <v>787</v>
      </c>
      <c r="U1461" s="2" t="s">
        <v>2150</v>
      </c>
      <c r="V1461" s="2" t="s">
        <v>734</v>
      </c>
      <c r="W1461" s="2" t="s">
        <v>646</v>
      </c>
      <c r="X1461" s="2" t="s">
        <v>976</v>
      </c>
      <c r="Y1461" s="2" t="s">
        <v>1520</v>
      </c>
      <c r="Z1461" s="4">
        <v>456</v>
      </c>
      <c r="AA1461" s="4">
        <f>=ROUNDDOWN(82.9090909090909,0)</f>
      </c>
      <c r="AB1461" s="5">
        <v>5.5</v>
      </c>
      <c r="AC1461" s="2" t="s">
        <v>287</v>
      </c>
      <c r="AD1461" s="4">
        <v>180</v>
      </c>
      <c r="AE1461" s="4">
        <v>402</v>
      </c>
      <c r="AF1461" s="6">
        <v>63</v>
      </c>
      <c r="AG1461" s="6">
        <v>46</v>
      </c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>
        <v>0</v>
      </c>
      <c r="AP1461" s="4">
        <v>1</v>
      </c>
      <c r="AQ1461" s="8">
        <v>25.19</v>
      </c>
      <c r="AR1461" s="4"/>
      <c r="AS1461" s="8"/>
      <c r="AT1461" s="7"/>
      <c r="AU1461" s="7"/>
      <c r="AV1461" s="4">
        <v>2</v>
      </c>
      <c r="AW1461" s="8">
        <v>55.63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>
        <v>0.4528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>
        <v>0.1889</v>
      </c>
      <c r="BJ1461" s="4">
        <v>46</v>
      </c>
      <c r="BK1461" s="8">
        <v>1039.21</v>
      </c>
      <c r="BL1461" s="2" t="s">
        <v>4620</v>
      </c>
      <c r="BM1461" s="7">
        <v>0.0217</v>
      </c>
      <c r="BN1461" s="7">
        <v>0.0242</v>
      </c>
      <c r="BO1461" s="4">
        <v>1</v>
      </c>
      <c r="BP1461" s="8">
        <v>25.19</v>
      </c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2008</v>
      </c>
      <c r="BX1461" s="2" t="s">
        <v>4097</v>
      </c>
      <c r="BY1461" s="2" t="s">
        <v>112</v>
      </c>
      <c r="BZ1461" s="2" t="s">
        <v>100</v>
      </c>
    </row>
    <row r="1462">
      <c r="A1462" s="2" t="s">
        <v>4633</v>
      </c>
      <c r="B1462" s="2" t="s">
        <v>87</v>
      </c>
      <c r="C1462" s="2" t="s">
        <v>4613</v>
      </c>
      <c r="D1462" s="2" t="s">
        <v>89</v>
      </c>
      <c r="E1462" s="2" t="s">
        <v>2030</v>
      </c>
      <c r="F1462" s="2" t="s">
        <v>4614</v>
      </c>
      <c r="G1462" s="2" t="s">
        <v>4615</v>
      </c>
      <c r="H1462" s="2" t="s">
        <v>4616</v>
      </c>
      <c r="I1462" s="2" t="s">
        <v>4617</v>
      </c>
      <c r="J1462" s="2" t="s">
        <v>785</v>
      </c>
      <c r="K1462" s="2" t="s">
        <v>198</v>
      </c>
      <c r="L1462" s="3">
        <v>27.61</v>
      </c>
      <c r="M1462" s="3">
        <v>28.99</v>
      </c>
      <c r="N1462" s="3">
        <v>49.99</v>
      </c>
      <c r="O1462" s="2" t="s">
        <v>97</v>
      </c>
      <c r="P1462" s="2" t="s">
        <v>1216</v>
      </c>
      <c r="Q1462" s="2" t="s">
        <v>99</v>
      </c>
      <c r="R1462" s="2" t="s">
        <v>100</v>
      </c>
      <c r="S1462" s="2" t="s">
        <v>4632</v>
      </c>
      <c r="T1462" s="2" t="s">
        <v>787</v>
      </c>
      <c r="U1462" s="2" t="s">
        <v>1508</v>
      </c>
      <c r="V1462" s="2" t="s">
        <v>734</v>
      </c>
      <c r="W1462" s="2" t="s">
        <v>646</v>
      </c>
      <c r="X1462" s="2" t="s">
        <v>976</v>
      </c>
      <c r="Y1462" s="2" t="s">
        <v>1520</v>
      </c>
      <c r="Z1462" s="4">
        <v>1333</v>
      </c>
      <c r="AA1462" s="4">
        <f>=ROUNDDOWN(277.708333333333,0)</f>
      </c>
      <c r="AB1462" s="5">
        <v>4.8</v>
      </c>
      <c r="AC1462" s="2" t="s">
        <v>287</v>
      </c>
      <c r="AD1462" s="4">
        <v>684</v>
      </c>
      <c r="AE1462" s="4">
        <v>1593</v>
      </c>
      <c r="AF1462" s="6">
        <v>63</v>
      </c>
      <c r="AG1462" s="6">
        <v>46</v>
      </c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>
        <v>0</v>
      </c>
      <c r="AP1462" s="4">
        <v>1</v>
      </c>
      <c r="AQ1462" s="8">
        <v>30.44</v>
      </c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>
        <v>0.5472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47</v>
      </c>
      <c r="BK1462" s="8">
        <v>1352.7</v>
      </c>
      <c r="BL1462" s="2" t="s">
        <v>4634</v>
      </c>
      <c r="BM1462" s="7">
        <v>0.0213</v>
      </c>
      <c r="BN1462" s="7">
        <v>0.0225</v>
      </c>
      <c r="BO1462" s="4">
        <v>1</v>
      </c>
      <c r="BP1462" s="8">
        <v>30.44</v>
      </c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2008</v>
      </c>
      <c r="BX1462" s="2" t="s">
        <v>482</v>
      </c>
      <c r="BY1462" s="2" t="s">
        <v>112</v>
      </c>
      <c r="BZ1462" s="2" t="s">
        <v>100</v>
      </c>
    </row>
    <row r="1463">
      <c r="A1463" s="2" t="s">
        <v>4635</v>
      </c>
      <c r="B1463" s="2" t="s">
        <v>87</v>
      </c>
      <c r="C1463" s="2" t="s">
        <v>4613</v>
      </c>
      <c r="D1463" s="2" t="s">
        <v>89</v>
      </c>
      <c r="E1463" s="2" t="s">
        <v>2030</v>
      </c>
      <c r="F1463" s="2" t="s">
        <v>4614</v>
      </c>
      <c r="G1463" s="2" t="s">
        <v>4615</v>
      </c>
      <c r="H1463" s="2" t="s">
        <v>4616</v>
      </c>
      <c r="I1463" s="2" t="s">
        <v>4617</v>
      </c>
      <c r="J1463" s="2" t="s">
        <v>795</v>
      </c>
      <c r="K1463" s="2" t="s">
        <v>198</v>
      </c>
      <c r="L1463" s="3">
        <v>30.95</v>
      </c>
      <c r="M1463" s="3">
        <v>32.5</v>
      </c>
      <c r="N1463" s="3">
        <v>54.99</v>
      </c>
      <c r="O1463" s="2" t="s">
        <v>97</v>
      </c>
      <c r="P1463" s="2" t="s">
        <v>1216</v>
      </c>
      <c r="Q1463" s="2" t="s">
        <v>99</v>
      </c>
      <c r="R1463" s="2" t="s">
        <v>100</v>
      </c>
      <c r="S1463" s="2" t="s">
        <v>4632</v>
      </c>
      <c r="T1463" s="2" t="s">
        <v>787</v>
      </c>
      <c r="U1463" s="2" t="s">
        <v>1508</v>
      </c>
      <c r="V1463" s="2" t="s">
        <v>734</v>
      </c>
      <c r="W1463" s="2" t="s">
        <v>646</v>
      </c>
      <c r="X1463" s="2" t="s">
        <v>976</v>
      </c>
      <c r="Y1463" s="2" t="s">
        <v>1281</v>
      </c>
      <c r="Z1463" s="4">
        <v>1099</v>
      </c>
      <c r="AA1463" s="4">
        <f>=ROUNDDOWN(845.384615384615,0)</f>
      </c>
      <c r="AB1463" s="5">
        <v>1.3</v>
      </c>
      <c r="AC1463" s="2" t="s">
        <v>2009</v>
      </c>
      <c r="AD1463" s="4">
        <v>2</v>
      </c>
      <c r="AE1463" s="4">
        <v>1268</v>
      </c>
      <c r="AF1463" s="6">
        <v>63</v>
      </c>
      <c r="AG1463" s="6">
        <v>46</v>
      </c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>
        <v>0</v>
      </c>
      <c r="AP1463" s="4"/>
      <c r="AQ1463" s="8"/>
      <c r="AR1463" s="4"/>
      <c r="AS1463" s="8"/>
      <c r="AT1463" s="7"/>
      <c r="AU1463" s="7"/>
      <c r="AV1463" s="4" t="s">
        <v>100</v>
      </c>
      <c r="AW1463" s="8" t="s">
        <v>100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/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 t="s">
        <v>100</v>
      </c>
      <c r="BJ1463" s="4">
        <v>8</v>
      </c>
      <c r="BK1463" s="8">
        <v>255.47</v>
      </c>
      <c r="BL1463" s="2" t="s">
        <v>4636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3687</v>
      </c>
      <c r="BX1463" s="2" t="s">
        <v>100</v>
      </c>
      <c r="BY1463" s="2" t="s">
        <v>112</v>
      </c>
      <c r="BZ1463" s="2" t="s">
        <v>100</v>
      </c>
    </row>
    <row r="1464">
      <c r="A1464" s="2" t="s">
        <v>4637</v>
      </c>
      <c r="B1464" s="2" t="s">
        <v>87</v>
      </c>
      <c r="C1464" s="2" t="s">
        <v>4613</v>
      </c>
      <c r="D1464" s="2" t="s">
        <v>89</v>
      </c>
      <c r="E1464" s="2" t="s">
        <v>2030</v>
      </c>
      <c r="F1464" s="2" t="s">
        <v>4614</v>
      </c>
      <c r="G1464" s="2" t="s">
        <v>4615</v>
      </c>
      <c r="H1464" s="2" t="s">
        <v>4616</v>
      </c>
      <c r="I1464" s="2" t="s">
        <v>4617</v>
      </c>
      <c r="J1464" s="2" t="s">
        <v>673</v>
      </c>
      <c r="K1464" s="2" t="s">
        <v>96</v>
      </c>
      <c r="L1464" s="3">
        <v>22.85</v>
      </c>
      <c r="M1464" s="3">
        <v>23.99</v>
      </c>
      <c r="N1464" s="3">
        <v>43.99</v>
      </c>
      <c r="O1464" s="2" t="s">
        <v>97</v>
      </c>
      <c r="P1464" s="2" t="s">
        <v>1216</v>
      </c>
      <c r="Q1464" s="2" t="s">
        <v>99</v>
      </c>
      <c r="R1464" s="2" t="s">
        <v>100</v>
      </c>
      <c r="S1464" s="2" t="s">
        <v>4638</v>
      </c>
      <c r="T1464" s="2" t="s">
        <v>787</v>
      </c>
      <c r="U1464" s="2" t="s">
        <v>2150</v>
      </c>
      <c r="V1464" s="2" t="s">
        <v>734</v>
      </c>
      <c r="W1464" s="2" t="s">
        <v>646</v>
      </c>
      <c r="X1464" s="2" t="s">
        <v>976</v>
      </c>
      <c r="Y1464" s="2" t="s">
        <v>4619</v>
      </c>
      <c r="Z1464" s="4">
        <v>390</v>
      </c>
      <c r="AA1464" s="4">
        <f>=ROUNDDOWN(6.72413793103448,0)</f>
      </c>
      <c r="AB1464" s="5">
        <v>58</v>
      </c>
      <c r="AC1464" s="2" t="s">
        <v>287</v>
      </c>
      <c r="AD1464" s="4">
        <v>135</v>
      </c>
      <c r="AE1464" s="4">
        <v>318</v>
      </c>
      <c r="AF1464" s="6">
        <v>63</v>
      </c>
      <c r="AG1464" s="6">
        <v>46</v>
      </c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1</v>
      </c>
      <c r="AQ1464" s="8">
        <v>25.19</v>
      </c>
      <c r="AR1464" s="4"/>
      <c r="AS1464" s="8"/>
      <c r="AT1464" s="7"/>
      <c r="AU1464" s="7"/>
      <c r="AV1464" s="4">
        <v>1</v>
      </c>
      <c r="AW1464" s="8">
        <v>25.19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>
        <v>1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>
        <v>0.0856</v>
      </c>
      <c r="BJ1464" s="4">
        <v>33</v>
      </c>
      <c r="BK1464" s="8">
        <v>726.41</v>
      </c>
      <c r="BL1464" s="2" t="s">
        <v>4639</v>
      </c>
      <c r="BM1464" s="7">
        <v>0.0303</v>
      </c>
      <c r="BN1464" s="7">
        <v>0.0347</v>
      </c>
      <c r="BO1464" s="4">
        <v>1</v>
      </c>
      <c r="BP1464" s="8">
        <v>25.19</v>
      </c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3810</v>
      </c>
      <c r="BX1464" s="2" t="s">
        <v>1825</v>
      </c>
      <c r="BY1464" s="2" t="s">
        <v>112</v>
      </c>
      <c r="BZ1464" s="2" t="s">
        <v>100</v>
      </c>
    </row>
    <row r="1465">
      <c r="A1465" s="2" t="s">
        <v>4640</v>
      </c>
      <c r="B1465" s="2" t="s">
        <v>87</v>
      </c>
      <c r="C1465" s="2" t="s">
        <v>4613</v>
      </c>
      <c r="D1465" s="2" t="s">
        <v>89</v>
      </c>
      <c r="E1465" s="2" t="s">
        <v>2030</v>
      </c>
      <c r="F1465" s="2" t="s">
        <v>4614</v>
      </c>
      <c r="G1465" s="2" t="s">
        <v>4615</v>
      </c>
      <c r="H1465" s="2" t="s">
        <v>4616</v>
      </c>
      <c r="I1465" s="2" t="s">
        <v>4617</v>
      </c>
      <c r="J1465" s="2" t="s">
        <v>785</v>
      </c>
      <c r="K1465" s="2" t="s">
        <v>96</v>
      </c>
      <c r="L1465" s="3">
        <v>27.61</v>
      </c>
      <c r="M1465" s="3">
        <v>28.99</v>
      </c>
      <c r="N1465" s="3">
        <v>49.99</v>
      </c>
      <c r="O1465" s="2" t="s">
        <v>97</v>
      </c>
      <c r="P1465" s="2" t="s">
        <v>1216</v>
      </c>
      <c r="Q1465" s="2" t="s">
        <v>99</v>
      </c>
      <c r="R1465" s="2" t="s">
        <v>100</v>
      </c>
      <c r="S1465" s="2" t="s">
        <v>4638</v>
      </c>
      <c r="T1465" s="2" t="s">
        <v>787</v>
      </c>
      <c r="U1465" s="2" t="s">
        <v>1508</v>
      </c>
      <c r="V1465" s="2" t="s">
        <v>734</v>
      </c>
      <c r="W1465" s="2" t="s">
        <v>646</v>
      </c>
      <c r="X1465" s="2" t="s">
        <v>976</v>
      </c>
      <c r="Y1465" s="2" t="s">
        <v>4619</v>
      </c>
      <c r="Z1465" s="4">
        <v>1125</v>
      </c>
      <c r="AA1465" s="4">
        <f>=ROUNDDOWN(15.4109589041096,0)</f>
      </c>
      <c r="AB1465" s="5">
        <v>73</v>
      </c>
      <c r="AC1465" s="2" t="s">
        <v>287</v>
      </c>
      <c r="AD1465" s="4">
        <v>537</v>
      </c>
      <c r="AE1465" s="4">
        <v>1137</v>
      </c>
      <c r="AF1465" s="6">
        <v>63</v>
      </c>
      <c r="AG1465" s="6">
        <v>46</v>
      </c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/>
      <c r="AQ1465" s="8"/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/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 t="s">
        <v>100</v>
      </c>
      <c r="BJ1465" s="4">
        <v>19</v>
      </c>
      <c r="BK1465" s="8">
        <v>538.56</v>
      </c>
      <c r="BL1465" s="2" t="s">
        <v>2799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3687</v>
      </c>
      <c r="BX1465" s="2" t="s">
        <v>1462</v>
      </c>
      <c r="BY1465" s="2" t="s">
        <v>112</v>
      </c>
      <c r="BZ1465" s="2" t="s">
        <v>100</v>
      </c>
    </row>
    <row r="1466">
      <c r="A1466" s="2" t="s">
        <v>4641</v>
      </c>
      <c r="B1466" s="2" t="s">
        <v>87</v>
      </c>
      <c r="C1466" s="2" t="s">
        <v>4613</v>
      </c>
      <c r="D1466" s="2" t="s">
        <v>89</v>
      </c>
      <c r="E1466" s="2" t="s">
        <v>2030</v>
      </c>
      <c r="F1466" s="2" t="s">
        <v>4614</v>
      </c>
      <c r="G1466" s="2" t="s">
        <v>4615</v>
      </c>
      <c r="H1466" s="2" t="s">
        <v>4616</v>
      </c>
      <c r="I1466" s="2" t="s">
        <v>4617</v>
      </c>
      <c r="J1466" s="2" t="s">
        <v>795</v>
      </c>
      <c r="K1466" s="2" t="s">
        <v>96</v>
      </c>
      <c r="L1466" s="3">
        <v>30.95</v>
      </c>
      <c r="M1466" s="3">
        <v>32.5</v>
      </c>
      <c r="N1466" s="3">
        <v>54.99</v>
      </c>
      <c r="O1466" s="2" t="s">
        <v>97</v>
      </c>
      <c r="P1466" s="2" t="s">
        <v>1216</v>
      </c>
      <c r="Q1466" s="2" t="s">
        <v>99</v>
      </c>
      <c r="R1466" s="2" t="s">
        <v>100</v>
      </c>
      <c r="S1466" s="2" t="s">
        <v>4638</v>
      </c>
      <c r="T1466" s="2" t="s">
        <v>787</v>
      </c>
      <c r="U1466" s="2" t="s">
        <v>1508</v>
      </c>
      <c r="V1466" s="2" t="s">
        <v>734</v>
      </c>
      <c r="W1466" s="2" t="s">
        <v>646</v>
      </c>
      <c r="X1466" s="2" t="s">
        <v>976</v>
      </c>
      <c r="Y1466" s="2" t="s">
        <v>1281</v>
      </c>
      <c r="Z1466" s="4">
        <v>974</v>
      </c>
      <c r="AA1466" s="4">
        <f>=ROUNDDOWN(29.5151515151515,0)</f>
      </c>
      <c r="AB1466" s="5">
        <v>33</v>
      </c>
      <c r="AC1466" s="2" t="s">
        <v>287</v>
      </c>
      <c r="AD1466" s="4">
        <v>430</v>
      </c>
      <c r="AE1466" s="4">
        <v>930</v>
      </c>
      <c r="AF1466" s="6">
        <v>63</v>
      </c>
      <c r="AG1466" s="6">
        <v>46</v>
      </c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/>
      <c r="AQ1466" s="8"/>
      <c r="AR1466" s="4"/>
      <c r="AS1466" s="8"/>
      <c r="AT1466" s="7"/>
      <c r="AU1466" s="7"/>
      <c r="AV1466" s="4" t="s">
        <v>100</v>
      </c>
      <c r="AW1466" s="8" t="s">
        <v>100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/>
      <c r="BC1466" s="4" t="s">
        <v>100</v>
      </c>
      <c r="BD1466" s="8" t="s">
        <v>100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 t="s">
        <v>100</v>
      </c>
      <c r="BJ1466" s="4">
        <v>5</v>
      </c>
      <c r="BK1466" s="8">
        <v>163.09</v>
      </c>
      <c r="BL1466" s="2" t="s">
        <v>2195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3810</v>
      </c>
      <c r="BX1466" s="2" t="s">
        <v>100</v>
      </c>
      <c r="BY1466" s="2" t="s">
        <v>112</v>
      </c>
      <c r="BZ1466" s="2" t="s">
        <v>100</v>
      </c>
    </row>
    <row r="1467">
      <c r="A1467" s="2" t="s">
        <v>4642</v>
      </c>
      <c r="B1467" s="2" t="s">
        <v>87</v>
      </c>
      <c r="C1467" s="2" t="s">
        <v>4613</v>
      </c>
      <c r="D1467" s="2" t="s">
        <v>89</v>
      </c>
      <c r="E1467" s="2" t="s">
        <v>2030</v>
      </c>
      <c r="F1467" s="2" t="s">
        <v>4614</v>
      </c>
      <c r="G1467" s="2" t="s">
        <v>4615</v>
      </c>
      <c r="H1467" s="2" t="s">
        <v>4616</v>
      </c>
      <c r="I1467" s="2" t="s">
        <v>4617</v>
      </c>
      <c r="J1467" s="2" t="s">
        <v>673</v>
      </c>
      <c r="K1467" s="2" t="s">
        <v>146</v>
      </c>
      <c r="L1467" s="3">
        <v>22.85</v>
      </c>
      <c r="M1467" s="3">
        <v>23.99</v>
      </c>
      <c r="N1467" s="3">
        <v>43.99</v>
      </c>
      <c r="O1467" s="2" t="s">
        <v>97</v>
      </c>
      <c r="P1467" s="2" t="s">
        <v>1216</v>
      </c>
      <c r="Q1467" s="2" t="s">
        <v>99</v>
      </c>
      <c r="R1467" s="2" t="s">
        <v>100</v>
      </c>
      <c r="S1467" s="2" t="s">
        <v>4643</v>
      </c>
      <c r="T1467" s="2" t="s">
        <v>787</v>
      </c>
      <c r="U1467" s="2" t="s">
        <v>2150</v>
      </c>
      <c r="V1467" s="2" t="s">
        <v>734</v>
      </c>
      <c r="W1467" s="2" t="s">
        <v>646</v>
      </c>
      <c r="X1467" s="2" t="s">
        <v>976</v>
      </c>
      <c r="Y1467" s="2" t="s">
        <v>4619</v>
      </c>
      <c r="Z1467" s="4">
        <v>364</v>
      </c>
      <c r="AA1467" s="4">
        <f>=ROUNDDOWN(330.909090909091,0)</f>
      </c>
      <c r="AB1467" s="5">
        <v>1.1</v>
      </c>
      <c r="AC1467" s="2" t="s">
        <v>287</v>
      </c>
      <c r="AD1467" s="4">
        <v>150</v>
      </c>
      <c r="AE1467" s="4">
        <v>399</v>
      </c>
      <c r="AF1467" s="6">
        <v>63</v>
      </c>
      <c r="AG1467" s="6">
        <v>46</v>
      </c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/>
      <c r="AQ1467" s="8"/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/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 t="s">
        <v>100</v>
      </c>
      <c r="BJ1467" s="4">
        <v>11</v>
      </c>
      <c r="BK1467" s="8">
        <v>236.75</v>
      </c>
      <c r="BL1467" s="2" t="s">
        <v>4627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3687</v>
      </c>
      <c r="BX1467" s="2" t="s">
        <v>4644</v>
      </c>
      <c r="BY1467" s="2" t="s">
        <v>112</v>
      </c>
      <c r="BZ1467" s="2" t="s">
        <v>100</v>
      </c>
    </row>
    <row r="1468">
      <c r="A1468" s="2" t="s">
        <v>4645</v>
      </c>
      <c r="B1468" s="2" t="s">
        <v>87</v>
      </c>
      <c r="C1468" s="2" t="s">
        <v>4613</v>
      </c>
      <c r="D1468" s="2" t="s">
        <v>89</v>
      </c>
      <c r="E1468" s="2" t="s">
        <v>2030</v>
      </c>
      <c r="F1468" s="2" t="s">
        <v>4614</v>
      </c>
      <c r="G1468" s="2" t="s">
        <v>4615</v>
      </c>
      <c r="H1468" s="2" t="s">
        <v>4616</v>
      </c>
      <c r="I1468" s="2" t="s">
        <v>4617</v>
      </c>
      <c r="J1468" s="2" t="s">
        <v>785</v>
      </c>
      <c r="K1468" s="2" t="s">
        <v>146</v>
      </c>
      <c r="L1468" s="3">
        <v>27.61</v>
      </c>
      <c r="M1468" s="3">
        <v>28.99</v>
      </c>
      <c r="N1468" s="3">
        <v>49.99</v>
      </c>
      <c r="O1468" s="2" t="s">
        <v>97</v>
      </c>
      <c r="P1468" s="2" t="s">
        <v>1216</v>
      </c>
      <c r="Q1468" s="2" t="s">
        <v>99</v>
      </c>
      <c r="R1468" s="2" t="s">
        <v>100</v>
      </c>
      <c r="S1468" s="2" t="s">
        <v>4643</v>
      </c>
      <c r="T1468" s="2" t="s">
        <v>787</v>
      </c>
      <c r="U1468" s="2" t="s">
        <v>1508</v>
      </c>
      <c r="V1468" s="2" t="s">
        <v>734</v>
      </c>
      <c r="W1468" s="2" t="s">
        <v>646</v>
      </c>
      <c r="X1468" s="2" t="s">
        <v>976</v>
      </c>
      <c r="Y1468" s="2" t="s">
        <v>4619</v>
      </c>
      <c r="Z1468" s="4">
        <v>1279</v>
      </c>
      <c r="AA1468" s="4">
        <f>=ROUNDDOWN(673.157894736842,0)</f>
      </c>
      <c r="AB1468" s="5">
        <v>1.9</v>
      </c>
      <c r="AC1468" s="2" t="s">
        <v>287</v>
      </c>
      <c r="AD1468" s="4">
        <v>573</v>
      </c>
      <c r="AE1468" s="4">
        <v>1122</v>
      </c>
      <c r="AF1468" s="6">
        <v>63</v>
      </c>
      <c r="AG1468" s="6">
        <v>46</v>
      </c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>
        <v>0</v>
      </c>
      <c r="AP1468" s="4"/>
      <c r="AQ1468" s="8"/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/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>
        <v>9</v>
      </c>
      <c r="BK1468" s="8">
        <v>251.52</v>
      </c>
      <c r="BL1468" s="2" t="s">
        <v>2799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3687</v>
      </c>
      <c r="BX1468" s="2" t="s">
        <v>100</v>
      </c>
      <c r="BY1468" s="2" t="s">
        <v>112</v>
      </c>
      <c r="BZ1468" s="2" t="s">
        <v>100</v>
      </c>
    </row>
    <row r="1469">
      <c r="A1469" s="2" t="s">
        <v>4646</v>
      </c>
      <c r="B1469" s="2" t="s">
        <v>87</v>
      </c>
      <c r="C1469" s="2" t="s">
        <v>4613</v>
      </c>
      <c r="D1469" s="2" t="s">
        <v>89</v>
      </c>
      <c r="E1469" s="2" t="s">
        <v>2030</v>
      </c>
      <c r="F1469" s="2" t="s">
        <v>4614</v>
      </c>
      <c r="G1469" s="2" t="s">
        <v>4615</v>
      </c>
      <c r="H1469" s="2" t="s">
        <v>4616</v>
      </c>
      <c r="I1469" s="2" t="s">
        <v>4617</v>
      </c>
      <c r="J1469" s="2" t="s">
        <v>795</v>
      </c>
      <c r="K1469" s="2" t="s">
        <v>146</v>
      </c>
      <c r="L1469" s="3">
        <v>30.95</v>
      </c>
      <c r="M1469" s="3">
        <v>32.5</v>
      </c>
      <c r="N1469" s="3">
        <v>54.99</v>
      </c>
      <c r="O1469" s="2" t="s">
        <v>97</v>
      </c>
      <c r="P1469" s="2" t="s">
        <v>1216</v>
      </c>
      <c r="Q1469" s="2" t="s">
        <v>99</v>
      </c>
      <c r="R1469" s="2" t="s">
        <v>100</v>
      </c>
      <c r="S1469" s="2" t="s">
        <v>4643</v>
      </c>
      <c r="T1469" s="2" t="s">
        <v>787</v>
      </c>
      <c r="U1469" s="2" t="s">
        <v>1508</v>
      </c>
      <c r="V1469" s="2" t="s">
        <v>734</v>
      </c>
      <c r="W1469" s="2" t="s">
        <v>646</v>
      </c>
      <c r="X1469" s="2" t="s">
        <v>976</v>
      </c>
      <c r="Y1469" s="2" t="s">
        <v>3810</v>
      </c>
      <c r="Z1469" s="4">
        <v>991</v>
      </c>
      <c r="AA1469" s="4">
        <f>=ROUNDDOWN(619.375,0)</f>
      </c>
      <c r="AB1469" s="5">
        <v>1.6</v>
      </c>
      <c r="AC1469" s="2" t="s">
        <v>287</v>
      </c>
      <c r="AD1469" s="4">
        <v>442</v>
      </c>
      <c r="AE1469" s="4">
        <v>886</v>
      </c>
      <c r="AF1469" s="6">
        <v>63</v>
      </c>
      <c r="AG1469" s="6">
        <v>46</v>
      </c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/>
      <c r="AQ1469" s="8"/>
      <c r="AR1469" s="4"/>
      <c r="AS1469" s="8"/>
      <c r="AT1469" s="7"/>
      <c r="AU1469" s="7"/>
      <c r="AV1469" s="4" t="s">
        <v>100</v>
      </c>
      <c r="AW1469" s="8" t="s">
        <v>100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/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 t="s">
        <v>100</v>
      </c>
      <c r="BJ1469" s="4">
        <v>10</v>
      </c>
      <c r="BK1469" s="8">
        <v>295</v>
      </c>
      <c r="BL1469" s="2" t="s">
        <v>715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3687</v>
      </c>
      <c r="BX1469" s="2" t="s">
        <v>3667</v>
      </c>
      <c r="BY1469" s="2" t="s">
        <v>112</v>
      </c>
      <c r="BZ1469" s="2" t="s">
        <v>100</v>
      </c>
    </row>
    <row r="1470">
      <c r="A1470" s="2" t="s">
        <v>4647</v>
      </c>
      <c r="B1470" s="2" t="s">
        <v>87</v>
      </c>
      <c r="C1470" s="2" t="s">
        <v>4613</v>
      </c>
      <c r="D1470" s="2" t="s">
        <v>89</v>
      </c>
      <c r="E1470" s="2" t="s">
        <v>2030</v>
      </c>
      <c r="F1470" s="2" t="s">
        <v>4648</v>
      </c>
      <c r="G1470" s="2" t="s">
        <v>4649</v>
      </c>
      <c r="H1470" s="2" t="s">
        <v>4650</v>
      </c>
      <c r="I1470" s="2" t="s">
        <v>4651</v>
      </c>
      <c r="J1470" s="2" t="s">
        <v>673</v>
      </c>
      <c r="K1470" s="2" t="s">
        <v>4652</v>
      </c>
      <c r="L1470" s="3">
        <v>21.42</v>
      </c>
      <c r="M1470" s="3">
        <v>22.49</v>
      </c>
      <c r="N1470" s="3">
        <v>44.99</v>
      </c>
      <c r="O1470" s="2" t="s">
        <v>97</v>
      </c>
      <c r="P1470" s="2" t="s">
        <v>341</v>
      </c>
      <c r="Q1470" s="2" t="s">
        <v>99</v>
      </c>
      <c r="R1470" s="2" t="s">
        <v>100</v>
      </c>
      <c r="S1470" s="2" t="s">
        <v>4653</v>
      </c>
      <c r="T1470" s="2" t="s">
        <v>1218</v>
      </c>
      <c r="U1470" s="2" t="s">
        <v>2150</v>
      </c>
      <c r="V1470" s="2" t="s">
        <v>645</v>
      </c>
      <c r="W1470" s="2" t="s">
        <v>976</v>
      </c>
      <c r="X1470" s="2" t="s">
        <v>105</v>
      </c>
      <c r="Y1470" s="2" t="s">
        <v>2129</v>
      </c>
      <c r="Z1470" s="4">
        <v>353</v>
      </c>
      <c r="AA1470" s="4">
        <f>=ROUNDDOWN(19.6111111111111,0)</f>
      </c>
      <c r="AB1470" s="5">
        <v>18</v>
      </c>
      <c r="AC1470" s="2" t="s">
        <v>2404</v>
      </c>
      <c r="AD1470" s="4">
        <v>204</v>
      </c>
      <c r="AE1470" s="4">
        <v>744</v>
      </c>
      <c r="AF1470" s="6">
        <v>63</v>
      </c>
      <c r="AG1470" s="6">
        <v>46</v>
      </c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2</v>
      </c>
      <c r="AQ1470" s="8">
        <v>58.48</v>
      </c>
      <c r="AR1470" s="4"/>
      <c r="AS1470" s="8"/>
      <c r="AT1470" s="7"/>
      <c r="AU1470" s="7"/>
      <c r="AV1470" s="4">
        <v>3</v>
      </c>
      <c r="AW1470" s="8">
        <v>95.67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>
        <v>0.6113</v>
      </c>
      <c r="BC1470" s="4">
        <v>4</v>
      </c>
      <c r="BD1470" s="8">
        <v>132.86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>
        <v>0.7201</v>
      </c>
      <c r="BJ1470" s="4">
        <v>14</v>
      </c>
      <c r="BK1470" s="8">
        <v>329.13</v>
      </c>
      <c r="BL1470" s="2" t="s">
        <v>4654</v>
      </c>
      <c r="BM1470" s="7">
        <v>0.1429</v>
      </c>
      <c r="BN1470" s="7">
        <v>0.1777</v>
      </c>
      <c r="BO1470" s="4">
        <v>2</v>
      </c>
      <c r="BP1470" s="8">
        <v>58.48</v>
      </c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2674</v>
      </c>
      <c r="BX1470" s="2" t="s">
        <v>2009</v>
      </c>
      <c r="BY1470" s="2" t="s">
        <v>112</v>
      </c>
      <c r="BZ1470" s="2" t="s">
        <v>100</v>
      </c>
    </row>
    <row r="1471">
      <c r="A1471" s="2" t="s">
        <v>4655</v>
      </c>
      <c r="B1471" s="2" t="s">
        <v>87</v>
      </c>
      <c r="C1471" s="2" t="s">
        <v>4613</v>
      </c>
      <c r="D1471" s="2" t="s">
        <v>89</v>
      </c>
      <c r="E1471" s="2" t="s">
        <v>2030</v>
      </c>
      <c r="F1471" s="2" t="s">
        <v>4648</v>
      </c>
      <c r="G1471" s="2" t="s">
        <v>4649</v>
      </c>
      <c r="H1471" s="2" t="s">
        <v>4650</v>
      </c>
      <c r="I1471" s="2" t="s">
        <v>4651</v>
      </c>
      <c r="J1471" s="2" t="s">
        <v>785</v>
      </c>
      <c r="K1471" s="2" t="s">
        <v>4652</v>
      </c>
      <c r="L1471" s="3">
        <v>26.19</v>
      </c>
      <c r="M1471" s="3">
        <v>27.5</v>
      </c>
      <c r="N1471" s="3">
        <v>54.99</v>
      </c>
      <c r="O1471" s="2" t="s">
        <v>97</v>
      </c>
      <c r="P1471" s="2" t="s">
        <v>341</v>
      </c>
      <c r="Q1471" s="2" t="s">
        <v>99</v>
      </c>
      <c r="R1471" s="2" t="s">
        <v>100</v>
      </c>
      <c r="S1471" s="2" t="s">
        <v>4653</v>
      </c>
      <c r="T1471" s="2" t="s">
        <v>1218</v>
      </c>
      <c r="U1471" s="2" t="s">
        <v>1508</v>
      </c>
      <c r="V1471" s="2" t="s">
        <v>645</v>
      </c>
      <c r="W1471" s="2" t="s">
        <v>976</v>
      </c>
      <c r="X1471" s="2" t="s">
        <v>105</v>
      </c>
      <c r="Y1471" s="2" t="s">
        <v>4656</v>
      </c>
      <c r="Z1471" s="4">
        <v>899</v>
      </c>
      <c r="AA1471" s="4">
        <f>=ROUNDDOWN(12.3150684931507,0)</f>
      </c>
      <c r="AB1471" s="5">
        <v>73</v>
      </c>
      <c r="AC1471" s="2" t="s">
        <v>2404</v>
      </c>
      <c r="AD1471" s="4">
        <v>909</v>
      </c>
      <c r="AE1471" s="4">
        <v>3879</v>
      </c>
      <c r="AF1471" s="6">
        <v>63</v>
      </c>
      <c r="AG1471" s="6">
        <v>46</v>
      </c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>
        <v>0</v>
      </c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 t="s">
        <v>100</v>
      </c>
      <c r="BJ1471" s="4">
        <v>43</v>
      </c>
      <c r="BK1471" s="8">
        <v>1210.04</v>
      </c>
      <c r="BL1471" s="2" t="s">
        <v>4657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2674</v>
      </c>
      <c r="BX1471" s="2" t="s">
        <v>4658</v>
      </c>
      <c r="BY1471" s="2" t="s">
        <v>112</v>
      </c>
      <c r="BZ1471" s="2" t="s">
        <v>100</v>
      </c>
    </row>
    <row r="1472">
      <c r="A1472" s="2" t="s">
        <v>4659</v>
      </c>
      <c r="B1472" s="2" t="s">
        <v>87</v>
      </c>
      <c r="C1472" s="2" t="s">
        <v>4613</v>
      </c>
      <c r="D1472" s="2" t="s">
        <v>89</v>
      </c>
      <c r="E1472" s="2" t="s">
        <v>2030</v>
      </c>
      <c r="F1472" s="2" t="s">
        <v>4648</v>
      </c>
      <c r="G1472" s="2" t="s">
        <v>4649</v>
      </c>
      <c r="H1472" s="2" t="s">
        <v>4650</v>
      </c>
      <c r="I1472" s="2" t="s">
        <v>4651</v>
      </c>
      <c r="J1472" s="2" t="s">
        <v>795</v>
      </c>
      <c r="K1472" s="2" t="s">
        <v>4652</v>
      </c>
      <c r="L1472" s="3">
        <v>28.57</v>
      </c>
      <c r="M1472" s="3">
        <v>30</v>
      </c>
      <c r="N1472" s="3">
        <v>59.99</v>
      </c>
      <c r="O1472" s="2" t="s">
        <v>97</v>
      </c>
      <c r="P1472" s="2" t="s">
        <v>341</v>
      </c>
      <c r="Q1472" s="2" t="s">
        <v>99</v>
      </c>
      <c r="R1472" s="2" t="s">
        <v>100</v>
      </c>
      <c r="S1472" s="2" t="s">
        <v>4653</v>
      </c>
      <c r="T1472" s="2" t="s">
        <v>1218</v>
      </c>
      <c r="U1472" s="2" t="s">
        <v>1508</v>
      </c>
      <c r="V1472" s="2" t="s">
        <v>645</v>
      </c>
      <c r="W1472" s="2" t="s">
        <v>976</v>
      </c>
      <c r="X1472" s="2" t="s">
        <v>105</v>
      </c>
      <c r="Y1472" s="2" t="s">
        <v>4656</v>
      </c>
      <c r="Z1472" s="4">
        <v>465</v>
      </c>
      <c r="AA1472" s="4">
        <f>=ROUNDDOWN(6.45833333333333,0)</f>
      </c>
      <c r="AB1472" s="5">
        <v>72</v>
      </c>
      <c r="AC1472" s="2" t="s">
        <v>871</v>
      </c>
      <c r="AD1472" s="4">
        <v>105</v>
      </c>
      <c r="AE1472" s="4">
        <v>3690</v>
      </c>
      <c r="AF1472" s="6">
        <v>63</v>
      </c>
      <c r="AG1472" s="6">
        <v>46</v>
      </c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>
        <v>0</v>
      </c>
      <c r="AP1472" s="4">
        <v>1</v>
      </c>
      <c r="AQ1472" s="8">
        <v>37.19</v>
      </c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>
        <v>0.3887</v>
      </c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 t="s">
        <v>100</v>
      </c>
      <c r="BJ1472" s="4">
        <v>57</v>
      </c>
      <c r="BK1472" s="8">
        <v>1772.95</v>
      </c>
      <c r="BL1472" s="2" t="s">
        <v>4660</v>
      </c>
      <c r="BM1472" s="7">
        <v>0.0175</v>
      </c>
      <c r="BN1472" s="7">
        <v>0.021</v>
      </c>
      <c r="BO1472" s="4">
        <v>1</v>
      </c>
      <c r="BP1472" s="8">
        <v>37.19</v>
      </c>
      <c r="BQ1472" s="4"/>
      <c r="BR1472" s="8"/>
      <c r="BS1472" s="7"/>
      <c r="BT1472" s="7"/>
      <c r="BU1472" s="2" t="s">
        <v>109</v>
      </c>
      <c r="BV1472" s="2" t="s">
        <v>97</v>
      </c>
      <c r="BW1472" s="2" t="s">
        <v>4661</v>
      </c>
      <c r="BX1472" s="2" t="s">
        <v>4662</v>
      </c>
      <c r="BY1472" s="2" t="s">
        <v>112</v>
      </c>
      <c r="BZ1472" s="2" t="s">
        <v>100</v>
      </c>
    </row>
    <row r="1473">
      <c r="A1473" s="2" t="s">
        <v>4663</v>
      </c>
      <c r="B1473" s="2" t="s">
        <v>87</v>
      </c>
      <c r="C1473" s="2" t="s">
        <v>4613</v>
      </c>
      <c r="D1473" s="2" t="s">
        <v>89</v>
      </c>
      <c r="E1473" s="2" t="s">
        <v>2030</v>
      </c>
      <c r="F1473" s="2" t="s">
        <v>4648</v>
      </c>
      <c r="G1473" s="2" t="s">
        <v>4649</v>
      </c>
      <c r="H1473" s="2" t="s">
        <v>4650</v>
      </c>
      <c r="I1473" s="2" t="s">
        <v>4651</v>
      </c>
      <c r="J1473" s="2" t="s">
        <v>673</v>
      </c>
      <c r="K1473" s="2" t="s">
        <v>1555</v>
      </c>
      <c r="L1473" s="3">
        <v>21.42</v>
      </c>
      <c r="M1473" s="3">
        <v>22.49</v>
      </c>
      <c r="N1473" s="3">
        <v>44.99</v>
      </c>
      <c r="O1473" s="2" t="s">
        <v>97</v>
      </c>
      <c r="P1473" s="2" t="s">
        <v>341</v>
      </c>
      <c r="Q1473" s="2" t="s">
        <v>99</v>
      </c>
      <c r="R1473" s="2" t="s">
        <v>100</v>
      </c>
      <c r="S1473" s="2" t="s">
        <v>4664</v>
      </c>
      <c r="T1473" s="2" t="s">
        <v>1218</v>
      </c>
      <c r="U1473" s="2" t="s">
        <v>2150</v>
      </c>
      <c r="V1473" s="2" t="s">
        <v>645</v>
      </c>
      <c r="W1473" s="2" t="s">
        <v>976</v>
      </c>
      <c r="X1473" s="2" t="s">
        <v>105</v>
      </c>
      <c r="Y1473" s="2" t="s">
        <v>1740</v>
      </c>
      <c r="Z1473" s="4">
        <v>262</v>
      </c>
      <c r="AA1473" s="4">
        <f>=ROUNDDOWN(23.8181818181818,0)</f>
      </c>
      <c r="AB1473" s="5">
        <v>11</v>
      </c>
      <c r="AC1473" s="2" t="s">
        <v>2404</v>
      </c>
      <c r="AD1473" s="4">
        <v>105</v>
      </c>
      <c r="AE1473" s="4">
        <v>255</v>
      </c>
      <c r="AF1473" s="6">
        <v>63</v>
      </c>
      <c r="AG1473" s="6">
        <v>46</v>
      </c>
      <c r="AH1473" s="7">
        <v>1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/>
      <c r="AQ1473" s="8"/>
      <c r="AR1473" s="4"/>
      <c r="AS1473" s="8"/>
      <c r="AT1473" s="7"/>
      <c r="AU1473" s="7"/>
      <c r="AV1473" s="4">
        <v>1</v>
      </c>
      <c r="AW1473" s="8">
        <v>37.19</v>
      </c>
      <c r="AX1473" s="4" t="s">
        <v>100</v>
      </c>
      <c r="AY1473" s="8" t="s">
        <v>100</v>
      </c>
      <c r="AZ1473" s="7" t="s">
        <v>100</v>
      </c>
      <c r="BA1473" s="7" t="s">
        <v>100</v>
      </c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>
        <v>0.2799</v>
      </c>
      <c r="BJ1473" s="4">
        <v>11</v>
      </c>
      <c r="BK1473" s="8">
        <v>251.17</v>
      </c>
      <c r="BL1473" s="2" t="s">
        <v>1820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109</v>
      </c>
      <c r="BV1473" s="2" t="s">
        <v>97</v>
      </c>
      <c r="BW1473" s="2" t="s">
        <v>819</v>
      </c>
      <c r="BX1473" s="2" t="s">
        <v>100</v>
      </c>
      <c r="BY1473" s="2" t="s">
        <v>112</v>
      </c>
      <c r="BZ1473" s="2" t="s">
        <v>100</v>
      </c>
    </row>
    <row r="1474">
      <c r="A1474" s="2" t="s">
        <v>4665</v>
      </c>
      <c r="B1474" s="2" t="s">
        <v>87</v>
      </c>
      <c r="C1474" s="2" t="s">
        <v>4613</v>
      </c>
      <c r="D1474" s="2" t="s">
        <v>89</v>
      </c>
      <c r="E1474" s="2" t="s">
        <v>2030</v>
      </c>
      <c r="F1474" s="2" t="s">
        <v>4648</v>
      </c>
      <c r="G1474" s="2" t="s">
        <v>4649</v>
      </c>
      <c r="H1474" s="2" t="s">
        <v>4650</v>
      </c>
      <c r="I1474" s="2" t="s">
        <v>4651</v>
      </c>
      <c r="J1474" s="2" t="s">
        <v>785</v>
      </c>
      <c r="K1474" s="2" t="s">
        <v>1555</v>
      </c>
      <c r="L1474" s="3">
        <v>26.19</v>
      </c>
      <c r="M1474" s="3">
        <v>27.5</v>
      </c>
      <c r="N1474" s="3">
        <v>54.99</v>
      </c>
      <c r="O1474" s="2" t="s">
        <v>97</v>
      </c>
      <c r="P1474" s="2" t="s">
        <v>341</v>
      </c>
      <c r="Q1474" s="2" t="s">
        <v>99</v>
      </c>
      <c r="R1474" s="2" t="s">
        <v>100</v>
      </c>
      <c r="S1474" s="2" t="s">
        <v>4664</v>
      </c>
      <c r="T1474" s="2" t="s">
        <v>1218</v>
      </c>
      <c r="U1474" s="2" t="s">
        <v>1508</v>
      </c>
      <c r="V1474" s="2" t="s">
        <v>645</v>
      </c>
      <c r="W1474" s="2" t="s">
        <v>976</v>
      </c>
      <c r="X1474" s="2" t="s">
        <v>105</v>
      </c>
      <c r="Y1474" s="2" t="s">
        <v>1740</v>
      </c>
      <c r="Z1474" s="4">
        <v>1689</v>
      </c>
      <c r="AA1474" s="4">
        <f>=ROUNDDOWN(32.4807692307692,0)</f>
      </c>
      <c r="AB1474" s="5">
        <v>52</v>
      </c>
      <c r="AC1474" s="2" t="s">
        <v>2404</v>
      </c>
      <c r="AD1474" s="4">
        <v>204</v>
      </c>
      <c r="AE1474" s="4">
        <v>1773</v>
      </c>
      <c r="AF1474" s="6">
        <v>63</v>
      </c>
      <c r="AG1474" s="6">
        <v>46</v>
      </c>
      <c r="AH1474" s="7">
        <v>1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/>
      <c r="AQ1474" s="8"/>
      <c r="AR1474" s="4"/>
      <c r="AS1474" s="8"/>
      <c r="AT1474" s="7"/>
      <c r="AU1474" s="7"/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 t="s">
        <v>100</v>
      </c>
      <c r="BJ1474" s="4">
        <v>45</v>
      </c>
      <c r="BK1474" s="8">
        <v>1284.85</v>
      </c>
      <c r="BL1474" s="2" t="s">
        <v>4666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109</v>
      </c>
      <c r="BV1474" s="2" t="s">
        <v>97</v>
      </c>
      <c r="BW1474" s="2" t="s">
        <v>819</v>
      </c>
      <c r="BX1474" s="2" t="s">
        <v>4667</v>
      </c>
      <c r="BY1474" s="2" t="s">
        <v>112</v>
      </c>
      <c r="BZ1474" s="2" t="s">
        <v>100</v>
      </c>
    </row>
    <row r="1475">
      <c r="A1475" s="2" t="s">
        <v>4668</v>
      </c>
      <c r="B1475" s="2" t="s">
        <v>87</v>
      </c>
      <c r="C1475" s="2" t="s">
        <v>4613</v>
      </c>
      <c r="D1475" s="2" t="s">
        <v>89</v>
      </c>
      <c r="E1475" s="2" t="s">
        <v>2030</v>
      </c>
      <c r="F1475" s="2" t="s">
        <v>4648</v>
      </c>
      <c r="G1475" s="2" t="s">
        <v>4649</v>
      </c>
      <c r="H1475" s="2" t="s">
        <v>4650</v>
      </c>
      <c r="I1475" s="2" t="s">
        <v>4651</v>
      </c>
      <c r="J1475" s="2" t="s">
        <v>795</v>
      </c>
      <c r="K1475" s="2" t="s">
        <v>1555</v>
      </c>
      <c r="L1475" s="3">
        <v>28.57</v>
      </c>
      <c r="M1475" s="3">
        <v>30</v>
      </c>
      <c r="N1475" s="3">
        <v>59.99</v>
      </c>
      <c r="O1475" s="2" t="s">
        <v>97</v>
      </c>
      <c r="P1475" s="2" t="s">
        <v>341</v>
      </c>
      <c r="Q1475" s="2" t="s">
        <v>99</v>
      </c>
      <c r="R1475" s="2" t="s">
        <v>100</v>
      </c>
      <c r="S1475" s="2" t="s">
        <v>4664</v>
      </c>
      <c r="T1475" s="2" t="s">
        <v>1218</v>
      </c>
      <c r="U1475" s="2" t="s">
        <v>1508</v>
      </c>
      <c r="V1475" s="2" t="s">
        <v>645</v>
      </c>
      <c r="W1475" s="2" t="s">
        <v>976</v>
      </c>
      <c r="X1475" s="2" t="s">
        <v>105</v>
      </c>
      <c r="Y1475" s="2" t="s">
        <v>1740</v>
      </c>
      <c r="Z1475" s="4">
        <v>817</v>
      </c>
      <c r="AA1475" s="4">
        <f>=ROUNDDOWN(12.1940298507463,0)</f>
      </c>
      <c r="AB1475" s="5">
        <v>67</v>
      </c>
      <c r="AC1475" s="2" t="s">
        <v>2404</v>
      </c>
      <c r="AD1475" s="4">
        <v>300</v>
      </c>
      <c r="AE1475" s="4">
        <v>2919</v>
      </c>
      <c r="AF1475" s="6">
        <v>63</v>
      </c>
      <c r="AG1475" s="6">
        <v>46</v>
      </c>
      <c r="AH1475" s="7">
        <v>1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>
        <v>1</v>
      </c>
      <c r="AQ1475" s="8">
        <v>37.19</v>
      </c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>
        <v>1</v>
      </c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 t="s">
        <v>100</v>
      </c>
      <c r="BJ1475" s="4">
        <v>65</v>
      </c>
      <c r="BK1475" s="8">
        <v>2001.09</v>
      </c>
      <c r="BL1475" s="2" t="s">
        <v>2244</v>
      </c>
      <c r="BM1475" s="7">
        <v>0.0154</v>
      </c>
      <c r="BN1475" s="7">
        <v>0.0186</v>
      </c>
      <c r="BO1475" s="4">
        <v>1</v>
      </c>
      <c r="BP1475" s="8">
        <v>37.19</v>
      </c>
      <c r="BQ1475" s="4"/>
      <c r="BR1475" s="8"/>
      <c r="BS1475" s="7"/>
      <c r="BT1475" s="7"/>
      <c r="BU1475" s="2" t="s">
        <v>109</v>
      </c>
      <c r="BV1475" s="2" t="s">
        <v>97</v>
      </c>
      <c r="BW1475" s="2" t="s">
        <v>819</v>
      </c>
      <c r="BX1475" s="2" t="s">
        <v>2104</v>
      </c>
      <c r="BY1475" s="2" t="s">
        <v>112</v>
      </c>
      <c r="BZ1475" s="2" t="s">
        <v>100</v>
      </c>
    </row>
    <row r="1476">
      <c r="A1476" s="2" t="s">
        <v>4669</v>
      </c>
      <c r="B1476" s="2" t="s">
        <v>87</v>
      </c>
      <c r="C1476" s="2" t="s">
        <v>4613</v>
      </c>
      <c r="D1476" s="2" t="s">
        <v>89</v>
      </c>
      <c r="E1476" s="2" t="s">
        <v>2030</v>
      </c>
      <c r="F1476" s="2" t="s">
        <v>4648</v>
      </c>
      <c r="G1476" s="2" t="s">
        <v>4649</v>
      </c>
      <c r="H1476" s="2" t="s">
        <v>4650</v>
      </c>
      <c r="I1476" s="2" t="s">
        <v>4651</v>
      </c>
      <c r="J1476" s="2" t="s">
        <v>673</v>
      </c>
      <c r="K1476" s="2" t="s">
        <v>4670</v>
      </c>
      <c r="L1476" s="3">
        <v>21.42</v>
      </c>
      <c r="M1476" s="3">
        <v>22.49</v>
      </c>
      <c r="N1476" s="3">
        <v>44.99</v>
      </c>
      <c r="O1476" s="2" t="s">
        <v>97</v>
      </c>
      <c r="P1476" s="2" t="s">
        <v>281</v>
      </c>
      <c r="Q1476" s="2" t="s">
        <v>99</v>
      </c>
      <c r="R1476" s="2" t="s">
        <v>100</v>
      </c>
      <c r="S1476" s="2" t="s">
        <v>4671</v>
      </c>
      <c r="T1476" s="2" t="s">
        <v>1218</v>
      </c>
      <c r="U1476" s="2" t="s">
        <v>2150</v>
      </c>
      <c r="V1476" s="2" t="s">
        <v>645</v>
      </c>
      <c r="W1476" s="2" t="s">
        <v>976</v>
      </c>
      <c r="X1476" s="2" t="s">
        <v>105</v>
      </c>
      <c r="Y1476" s="2" t="s">
        <v>4672</v>
      </c>
      <c r="Z1476" s="4">
        <v>263</v>
      </c>
      <c r="AA1476" s="4">
        <f>=ROUNDDOWN(20.2307692307692,0)</f>
      </c>
      <c r="AB1476" s="5">
        <v>13</v>
      </c>
      <c r="AC1476" s="2" t="s">
        <v>2598</v>
      </c>
      <c r="AD1476" s="4">
        <v>90</v>
      </c>
      <c r="AE1476" s="4">
        <v>462</v>
      </c>
      <c r="AF1476" s="6">
        <v>63</v>
      </c>
      <c r="AG1476" s="6">
        <v>46</v>
      </c>
      <c r="AH1476" s="7">
        <v>1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>
        <v>0</v>
      </c>
      <c r="AP1476" s="4"/>
      <c r="AQ1476" s="8"/>
      <c r="AR1476" s="4"/>
      <c r="AS1476" s="8"/>
      <c r="AT1476" s="7"/>
      <c r="AU1476" s="7"/>
      <c r="AV1476" s="4" t="s">
        <v>100</v>
      </c>
      <c r="AW1476" s="8" t="s">
        <v>100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/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 t="s">
        <v>100</v>
      </c>
      <c r="BJ1476" s="4">
        <v>19</v>
      </c>
      <c r="BK1476" s="8">
        <v>442.11</v>
      </c>
      <c r="BL1476" s="2" t="s">
        <v>4673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109</v>
      </c>
      <c r="BV1476" s="2" t="s">
        <v>97</v>
      </c>
      <c r="BW1476" s="2" t="s">
        <v>819</v>
      </c>
      <c r="BX1476" s="2" t="s">
        <v>1462</v>
      </c>
      <c r="BY1476" s="2" t="s">
        <v>112</v>
      </c>
      <c r="BZ1476" s="2" t="s">
        <v>100</v>
      </c>
    </row>
    <row r="1477">
      <c r="A1477" s="2" t="s">
        <v>4674</v>
      </c>
      <c r="B1477" s="2" t="s">
        <v>87</v>
      </c>
      <c r="C1477" s="2" t="s">
        <v>4613</v>
      </c>
      <c r="D1477" s="2" t="s">
        <v>89</v>
      </c>
      <c r="E1477" s="2" t="s">
        <v>2030</v>
      </c>
      <c r="F1477" s="2" t="s">
        <v>4648</v>
      </c>
      <c r="G1477" s="2" t="s">
        <v>4649</v>
      </c>
      <c r="H1477" s="2" t="s">
        <v>4650</v>
      </c>
      <c r="I1477" s="2" t="s">
        <v>4651</v>
      </c>
      <c r="J1477" s="2" t="s">
        <v>785</v>
      </c>
      <c r="K1477" s="2" t="s">
        <v>4670</v>
      </c>
      <c r="L1477" s="3">
        <v>26.19</v>
      </c>
      <c r="M1477" s="3">
        <v>27.5</v>
      </c>
      <c r="N1477" s="3">
        <v>54.99</v>
      </c>
      <c r="O1477" s="2" t="s">
        <v>97</v>
      </c>
      <c r="P1477" s="2" t="s">
        <v>281</v>
      </c>
      <c r="Q1477" s="2" t="s">
        <v>99</v>
      </c>
      <c r="R1477" s="2" t="s">
        <v>100</v>
      </c>
      <c r="S1477" s="2" t="s">
        <v>4671</v>
      </c>
      <c r="T1477" s="2" t="s">
        <v>1218</v>
      </c>
      <c r="U1477" s="2" t="s">
        <v>1508</v>
      </c>
      <c r="V1477" s="2" t="s">
        <v>645</v>
      </c>
      <c r="W1477" s="2" t="s">
        <v>976</v>
      </c>
      <c r="X1477" s="2" t="s">
        <v>105</v>
      </c>
      <c r="Y1477" s="2" t="s">
        <v>4672</v>
      </c>
      <c r="Z1477" s="4">
        <v>543</v>
      </c>
      <c r="AA1477" s="4">
        <f>=ROUNDDOWN(11.3125,0)</f>
      </c>
      <c r="AB1477" s="5">
        <v>48</v>
      </c>
      <c r="AC1477" s="2" t="s">
        <v>871</v>
      </c>
      <c r="AD1477" s="4">
        <v>105</v>
      </c>
      <c r="AE1477" s="4">
        <v>1995</v>
      </c>
      <c r="AF1477" s="6">
        <v>63</v>
      </c>
      <c r="AG1477" s="6">
        <v>46</v>
      </c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 t="s">
        <v>100</v>
      </c>
      <c r="BJ1477" s="4">
        <v>53</v>
      </c>
      <c r="BK1477" s="8">
        <v>1503.29</v>
      </c>
      <c r="BL1477" s="2" t="s">
        <v>3072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109</v>
      </c>
      <c r="BV1477" s="2" t="s">
        <v>97</v>
      </c>
      <c r="BW1477" s="2" t="s">
        <v>819</v>
      </c>
      <c r="BX1477" s="2" t="s">
        <v>1574</v>
      </c>
      <c r="BY1477" s="2" t="s">
        <v>112</v>
      </c>
      <c r="BZ1477" s="2" t="s">
        <v>100</v>
      </c>
    </row>
    <row r="1478">
      <c r="A1478" s="2" t="s">
        <v>4675</v>
      </c>
      <c r="B1478" s="2" t="s">
        <v>87</v>
      </c>
      <c r="C1478" s="2" t="s">
        <v>4613</v>
      </c>
      <c r="D1478" s="2" t="s">
        <v>89</v>
      </c>
      <c r="E1478" s="2" t="s">
        <v>2030</v>
      </c>
      <c r="F1478" s="2" t="s">
        <v>4648</v>
      </c>
      <c r="G1478" s="2" t="s">
        <v>4649</v>
      </c>
      <c r="H1478" s="2" t="s">
        <v>4650</v>
      </c>
      <c r="I1478" s="2" t="s">
        <v>4651</v>
      </c>
      <c r="J1478" s="2" t="s">
        <v>795</v>
      </c>
      <c r="K1478" s="2" t="s">
        <v>4670</v>
      </c>
      <c r="L1478" s="3">
        <v>28.57</v>
      </c>
      <c r="M1478" s="3">
        <v>30</v>
      </c>
      <c r="N1478" s="3">
        <v>59.99</v>
      </c>
      <c r="O1478" s="2" t="s">
        <v>97</v>
      </c>
      <c r="P1478" s="2" t="s">
        <v>281</v>
      </c>
      <c r="Q1478" s="2" t="s">
        <v>99</v>
      </c>
      <c r="R1478" s="2" t="s">
        <v>100</v>
      </c>
      <c r="S1478" s="2" t="s">
        <v>4671</v>
      </c>
      <c r="T1478" s="2" t="s">
        <v>1218</v>
      </c>
      <c r="U1478" s="2" t="s">
        <v>1508</v>
      </c>
      <c r="V1478" s="2" t="s">
        <v>645</v>
      </c>
      <c r="W1478" s="2" t="s">
        <v>976</v>
      </c>
      <c r="X1478" s="2" t="s">
        <v>105</v>
      </c>
      <c r="Y1478" s="2" t="s">
        <v>4676</v>
      </c>
      <c r="Z1478" s="4">
        <v>780</v>
      </c>
      <c r="AA1478" s="4">
        <f>=ROUNDDOWN(16.9565217391304,0)</f>
      </c>
      <c r="AB1478" s="5">
        <v>46</v>
      </c>
      <c r="AC1478" s="2" t="s">
        <v>871</v>
      </c>
      <c r="AD1478" s="4">
        <v>204</v>
      </c>
      <c r="AE1478" s="4">
        <v>1998</v>
      </c>
      <c r="AF1478" s="6">
        <v>63</v>
      </c>
      <c r="AG1478" s="6">
        <v>46</v>
      </c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/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 t="s">
        <v>100</v>
      </c>
      <c r="BJ1478" s="4">
        <v>50</v>
      </c>
      <c r="BK1478" s="8">
        <v>1537.89</v>
      </c>
      <c r="BL1478" s="2" t="s">
        <v>4677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819</v>
      </c>
      <c r="BX1478" s="2" t="s">
        <v>2130</v>
      </c>
      <c r="BY1478" s="2" t="s">
        <v>112</v>
      </c>
      <c r="BZ1478" s="2" t="s">
        <v>100</v>
      </c>
    </row>
    <row r="1479">
      <c r="A1479" s="2" t="s">
        <v>4678</v>
      </c>
      <c r="B1479" s="2" t="s">
        <v>87</v>
      </c>
      <c r="C1479" s="2" t="s">
        <v>4613</v>
      </c>
      <c r="D1479" s="2" t="s">
        <v>89</v>
      </c>
      <c r="E1479" s="2" t="s">
        <v>2030</v>
      </c>
      <c r="F1479" s="2" t="s">
        <v>4648</v>
      </c>
      <c r="G1479" s="2" t="s">
        <v>4649</v>
      </c>
      <c r="H1479" s="2" t="s">
        <v>4650</v>
      </c>
      <c r="I1479" s="2" t="s">
        <v>4651</v>
      </c>
      <c r="J1479" s="2" t="s">
        <v>673</v>
      </c>
      <c r="K1479" s="2" t="s">
        <v>213</v>
      </c>
      <c r="L1479" s="3">
        <v>21.42</v>
      </c>
      <c r="M1479" s="3">
        <v>22.49</v>
      </c>
      <c r="N1479" s="3">
        <v>44.99</v>
      </c>
      <c r="O1479" s="2" t="s">
        <v>97</v>
      </c>
      <c r="P1479" s="2" t="s">
        <v>341</v>
      </c>
      <c r="Q1479" s="2" t="s">
        <v>99</v>
      </c>
      <c r="R1479" s="2" t="s">
        <v>100</v>
      </c>
      <c r="S1479" s="2" t="s">
        <v>4679</v>
      </c>
      <c r="T1479" s="2" t="s">
        <v>1218</v>
      </c>
      <c r="U1479" s="2" t="s">
        <v>2150</v>
      </c>
      <c r="V1479" s="2" t="s">
        <v>645</v>
      </c>
      <c r="W1479" s="2" t="s">
        <v>976</v>
      </c>
      <c r="X1479" s="2" t="s">
        <v>105</v>
      </c>
      <c r="Y1479" s="2" t="s">
        <v>4672</v>
      </c>
      <c r="Z1479" s="4"/>
      <c r="AA1479" s="4">
        <f>=ROUNDDOWN({0},0)</f>
      </c>
      <c r="AB1479" s="5">
        <v>17</v>
      </c>
      <c r="AC1479" s="2" t="s">
        <v>871</v>
      </c>
      <c r="AD1479" s="4">
        <v>105</v>
      </c>
      <c r="AE1479" s="4">
        <v>1539</v>
      </c>
      <c r="AF1479" s="6">
        <v>63</v>
      </c>
      <c r="AG1479" s="6">
        <v>46</v>
      </c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/>
      <c r="AQ1479" s="8"/>
      <c r="AR1479" s="4"/>
      <c r="AS1479" s="8"/>
      <c r="AT1479" s="7"/>
      <c r="AU1479" s="7"/>
      <c r="AV1479" s="4" t="s">
        <v>100</v>
      </c>
      <c r="AW1479" s="8" t="s">
        <v>100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/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 t="s">
        <v>100</v>
      </c>
      <c r="BJ1479" s="4">
        <v>69</v>
      </c>
      <c r="BK1479" s="8">
        <v>1628.88</v>
      </c>
      <c r="BL1479" s="2" t="s">
        <v>4680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109</v>
      </c>
      <c r="BV1479" s="2" t="s">
        <v>97</v>
      </c>
      <c r="BW1479" s="2" t="s">
        <v>819</v>
      </c>
      <c r="BX1479" s="2" t="s">
        <v>811</v>
      </c>
      <c r="BY1479" s="2" t="s">
        <v>112</v>
      </c>
      <c r="BZ1479" s="2" t="s">
        <v>100</v>
      </c>
    </row>
    <row r="1480">
      <c r="A1480" s="2" t="s">
        <v>4681</v>
      </c>
      <c r="B1480" s="2" t="s">
        <v>87</v>
      </c>
      <c r="C1480" s="2" t="s">
        <v>4613</v>
      </c>
      <c r="D1480" s="2" t="s">
        <v>89</v>
      </c>
      <c r="E1480" s="2" t="s">
        <v>2030</v>
      </c>
      <c r="F1480" s="2" t="s">
        <v>4648</v>
      </c>
      <c r="G1480" s="2" t="s">
        <v>4649</v>
      </c>
      <c r="H1480" s="2" t="s">
        <v>4650</v>
      </c>
      <c r="I1480" s="2" t="s">
        <v>4651</v>
      </c>
      <c r="J1480" s="2" t="s">
        <v>785</v>
      </c>
      <c r="K1480" s="2" t="s">
        <v>213</v>
      </c>
      <c r="L1480" s="3">
        <v>26.19</v>
      </c>
      <c r="M1480" s="3">
        <v>27.5</v>
      </c>
      <c r="N1480" s="3">
        <v>54.99</v>
      </c>
      <c r="O1480" s="2" t="s">
        <v>97</v>
      </c>
      <c r="P1480" s="2" t="s">
        <v>341</v>
      </c>
      <c r="Q1480" s="2" t="s">
        <v>99</v>
      </c>
      <c r="R1480" s="2" t="s">
        <v>100</v>
      </c>
      <c r="S1480" s="2" t="s">
        <v>4679</v>
      </c>
      <c r="T1480" s="2" t="s">
        <v>1218</v>
      </c>
      <c r="U1480" s="2" t="s">
        <v>1508</v>
      </c>
      <c r="V1480" s="2" t="s">
        <v>645</v>
      </c>
      <c r="W1480" s="2" t="s">
        <v>976</v>
      </c>
      <c r="X1480" s="2" t="s">
        <v>105</v>
      </c>
      <c r="Y1480" s="2" t="s">
        <v>4672</v>
      </c>
      <c r="Z1480" s="4">
        <v>1839</v>
      </c>
      <c r="AA1480" s="4">
        <f>=ROUNDDOWN(27.8636363636364,0)</f>
      </c>
      <c r="AB1480" s="5">
        <v>66</v>
      </c>
      <c r="AC1480" s="2" t="s">
        <v>871</v>
      </c>
      <c r="AD1480" s="4">
        <v>105</v>
      </c>
      <c r="AE1480" s="4">
        <v>1725</v>
      </c>
      <c r="AF1480" s="6">
        <v>63</v>
      </c>
      <c r="AG1480" s="6">
        <v>46</v>
      </c>
      <c r="AH1480" s="7">
        <v>1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/>
      <c r="AQ1480" s="8"/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 t="s">
        <v>100</v>
      </c>
      <c r="BJ1480" s="4">
        <v>85</v>
      </c>
      <c r="BK1480" s="8">
        <v>2495.11</v>
      </c>
      <c r="BL1480" s="2" t="s">
        <v>4682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109</v>
      </c>
      <c r="BV1480" s="2" t="s">
        <v>97</v>
      </c>
      <c r="BW1480" s="2" t="s">
        <v>819</v>
      </c>
      <c r="BX1480" s="2" t="s">
        <v>1198</v>
      </c>
      <c r="BY1480" s="2" t="s">
        <v>112</v>
      </c>
      <c r="BZ1480" s="2" t="s">
        <v>100</v>
      </c>
    </row>
    <row r="1481">
      <c r="A1481" s="2" t="s">
        <v>4683</v>
      </c>
      <c r="B1481" s="2" t="s">
        <v>87</v>
      </c>
      <c r="C1481" s="2" t="s">
        <v>4613</v>
      </c>
      <c r="D1481" s="2" t="s">
        <v>89</v>
      </c>
      <c r="E1481" s="2" t="s">
        <v>2030</v>
      </c>
      <c r="F1481" s="2" t="s">
        <v>4648</v>
      </c>
      <c r="G1481" s="2" t="s">
        <v>4649</v>
      </c>
      <c r="H1481" s="2" t="s">
        <v>4650</v>
      </c>
      <c r="I1481" s="2" t="s">
        <v>4651</v>
      </c>
      <c r="J1481" s="2" t="s">
        <v>795</v>
      </c>
      <c r="K1481" s="2" t="s">
        <v>213</v>
      </c>
      <c r="L1481" s="3">
        <v>28.57</v>
      </c>
      <c r="M1481" s="3">
        <v>30</v>
      </c>
      <c r="N1481" s="3">
        <v>59.99</v>
      </c>
      <c r="O1481" s="2" t="s">
        <v>97</v>
      </c>
      <c r="P1481" s="2" t="s">
        <v>341</v>
      </c>
      <c r="Q1481" s="2" t="s">
        <v>99</v>
      </c>
      <c r="R1481" s="2" t="s">
        <v>100</v>
      </c>
      <c r="S1481" s="2" t="s">
        <v>4679</v>
      </c>
      <c r="T1481" s="2" t="s">
        <v>1218</v>
      </c>
      <c r="U1481" s="2" t="s">
        <v>1508</v>
      </c>
      <c r="V1481" s="2" t="s">
        <v>645</v>
      </c>
      <c r="W1481" s="2" t="s">
        <v>976</v>
      </c>
      <c r="X1481" s="2" t="s">
        <v>105</v>
      </c>
      <c r="Y1481" s="2" t="s">
        <v>1460</v>
      </c>
      <c r="Z1481" s="4">
        <v>514</v>
      </c>
      <c r="AA1481" s="4">
        <f>=ROUNDDOWN(8.42622950819672,0)</f>
      </c>
      <c r="AB1481" s="5">
        <v>61</v>
      </c>
      <c r="AC1481" s="2" t="s">
        <v>871</v>
      </c>
      <c r="AD1481" s="4">
        <v>204</v>
      </c>
      <c r="AE1481" s="4">
        <v>2661</v>
      </c>
      <c r="AF1481" s="6">
        <v>63</v>
      </c>
      <c r="AG1481" s="6">
        <v>46</v>
      </c>
      <c r="AH1481" s="7">
        <v>1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</v>
      </c>
      <c r="AP1481" s="4"/>
      <c r="AQ1481" s="8"/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/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 t="s">
        <v>100</v>
      </c>
      <c r="BJ1481" s="4">
        <v>77</v>
      </c>
      <c r="BK1481" s="8">
        <v>2425.22</v>
      </c>
      <c r="BL1481" s="2" t="s">
        <v>4682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109</v>
      </c>
      <c r="BV1481" s="2" t="s">
        <v>97</v>
      </c>
      <c r="BW1481" s="2" t="s">
        <v>819</v>
      </c>
      <c r="BX1481" s="2" t="s">
        <v>4619</v>
      </c>
      <c r="BY1481" s="2" t="s">
        <v>112</v>
      </c>
      <c r="BZ1481" s="2" t="s">
        <v>100</v>
      </c>
    </row>
    <row r="1482">
      <c r="A1482" s="2" t="s">
        <v>4684</v>
      </c>
      <c r="B1482" s="2" t="s">
        <v>87</v>
      </c>
      <c r="C1482" s="2" t="s">
        <v>4613</v>
      </c>
      <c r="D1482" s="2" t="s">
        <v>89</v>
      </c>
      <c r="E1482" s="2" t="s">
        <v>2030</v>
      </c>
      <c r="F1482" s="2" t="s">
        <v>4685</v>
      </c>
      <c r="G1482" s="2" t="s">
        <v>4686</v>
      </c>
      <c r="H1482" s="2" t="s">
        <v>4687</v>
      </c>
      <c r="I1482" s="2" t="s">
        <v>4688</v>
      </c>
      <c r="J1482" s="2" t="s">
        <v>673</v>
      </c>
      <c r="K1482" s="2" t="s">
        <v>4652</v>
      </c>
      <c r="L1482" s="3">
        <v>19.04</v>
      </c>
      <c r="M1482" s="3">
        <v>19.99</v>
      </c>
      <c r="N1482" s="3">
        <v>39.99</v>
      </c>
      <c r="O1482" s="2" t="s">
        <v>97</v>
      </c>
      <c r="P1482" s="2" t="s">
        <v>281</v>
      </c>
      <c r="Q1482" s="2" t="s">
        <v>99</v>
      </c>
      <c r="R1482" s="2" t="s">
        <v>100</v>
      </c>
      <c r="S1482" s="2" t="s">
        <v>4689</v>
      </c>
      <c r="T1482" s="2" t="s">
        <v>787</v>
      </c>
      <c r="U1482" s="2" t="s">
        <v>2150</v>
      </c>
      <c r="V1482" s="2" t="s">
        <v>4690</v>
      </c>
      <c r="W1482" s="2" t="s">
        <v>976</v>
      </c>
      <c r="X1482" s="2" t="s">
        <v>105</v>
      </c>
      <c r="Y1482" s="2" t="s">
        <v>4672</v>
      </c>
      <c r="Z1482" s="4">
        <v>240</v>
      </c>
      <c r="AA1482" s="4">
        <f>=ROUNDDOWN(8.27586206896552,0)</f>
      </c>
      <c r="AB1482" s="5">
        <v>29</v>
      </c>
      <c r="AC1482" s="2" t="s">
        <v>2404</v>
      </c>
      <c r="AD1482" s="4">
        <v>105</v>
      </c>
      <c r="AE1482" s="4">
        <v>1269</v>
      </c>
      <c r="AF1482" s="6">
        <v>63</v>
      </c>
      <c r="AG1482" s="6">
        <v>46</v>
      </c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>
        <v>0</v>
      </c>
      <c r="AP1482" s="4"/>
      <c r="AQ1482" s="8"/>
      <c r="AR1482" s="4"/>
      <c r="AS1482" s="8"/>
      <c r="AT1482" s="7"/>
      <c r="AU1482" s="7"/>
      <c r="AV1482" s="4">
        <v>2</v>
      </c>
      <c r="AW1482" s="8">
        <v>52.06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/>
      <c r="BC1482" s="4">
        <v>5</v>
      </c>
      <c r="BD1482" s="8">
        <v>131.7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>
        <v>0.3953</v>
      </c>
      <c r="BJ1482" s="4">
        <v>46</v>
      </c>
      <c r="BK1482" s="8">
        <v>881.38</v>
      </c>
      <c r="BL1482" s="2" t="s">
        <v>4691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109</v>
      </c>
      <c r="BV1482" s="2" t="s">
        <v>97</v>
      </c>
      <c r="BW1482" s="2" t="s">
        <v>819</v>
      </c>
      <c r="BX1482" s="2" t="s">
        <v>100</v>
      </c>
      <c r="BY1482" s="2" t="s">
        <v>112</v>
      </c>
      <c r="BZ1482" s="2" t="s">
        <v>100</v>
      </c>
    </row>
    <row r="1483">
      <c r="A1483" s="2" t="s">
        <v>4692</v>
      </c>
      <c r="B1483" s="2" t="s">
        <v>87</v>
      </c>
      <c r="C1483" s="2" t="s">
        <v>4613</v>
      </c>
      <c r="D1483" s="2" t="s">
        <v>89</v>
      </c>
      <c r="E1483" s="2" t="s">
        <v>2030</v>
      </c>
      <c r="F1483" s="2" t="s">
        <v>4685</v>
      </c>
      <c r="G1483" s="2" t="s">
        <v>4686</v>
      </c>
      <c r="H1483" s="2" t="s">
        <v>4687</v>
      </c>
      <c r="I1483" s="2" t="s">
        <v>4688</v>
      </c>
      <c r="J1483" s="2" t="s">
        <v>785</v>
      </c>
      <c r="K1483" s="2" t="s">
        <v>4652</v>
      </c>
      <c r="L1483" s="3">
        <v>21.42</v>
      </c>
      <c r="M1483" s="3">
        <v>22.49</v>
      </c>
      <c r="N1483" s="3">
        <v>44.99</v>
      </c>
      <c r="O1483" s="2" t="s">
        <v>97</v>
      </c>
      <c r="P1483" s="2" t="s">
        <v>281</v>
      </c>
      <c r="Q1483" s="2" t="s">
        <v>99</v>
      </c>
      <c r="R1483" s="2" t="s">
        <v>100</v>
      </c>
      <c r="S1483" s="2" t="s">
        <v>4689</v>
      </c>
      <c r="T1483" s="2" t="s">
        <v>787</v>
      </c>
      <c r="U1483" s="2" t="s">
        <v>1508</v>
      </c>
      <c r="V1483" s="2" t="s">
        <v>4690</v>
      </c>
      <c r="W1483" s="2" t="s">
        <v>976</v>
      </c>
      <c r="X1483" s="2" t="s">
        <v>105</v>
      </c>
      <c r="Y1483" s="2" t="s">
        <v>4693</v>
      </c>
      <c r="Z1483" s="4">
        <v>951</v>
      </c>
      <c r="AA1483" s="4">
        <f>=ROUNDDOWN(12.3506493506494,0)</f>
      </c>
      <c r="AB1483" s="5">
        <v>77</v>
      </c>
      <c r="AC1483" s="2" t="s">
        <v>2404</v>
      </c>
      <c r="AD1483" s="4">
        <v>1560</v>
      </c>
      <c r="AE1483" s="4">
        <v>2061</v>
      </c>
      <c r="AF1483" s="6">
        <v>63</v>
      </c>
      <c r="AG1483" s="6">
        <v>46</v>
      </c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>
        <v>0</v>
      </c>
      <c r="AP1483" s="4">
        <v>1</v>
      </c>
      <c r="AQ1483" s="8">
        <v>24.48</v>
      </c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>
        <v>0.4702</v>
      </c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 t="s">
        <v>100</v>
      </c>
      <c r="BJ1483" s="4">
        <v>89</v>
      </c>
      <c r="BK1483" s="8">
        <v>2119.71</v>
      </c>
      <c r="BL1483" s="2" t="s">
        <v>4694</v>
      </c>
      <c r="BM1483" s="7">
        <v>0.0112</v>
      </c>
      <c r="BN1483" s="7">
        <v>0.0115</v>
      </c>
      <c r="BO1483" s="4">
        <v>1</v>
      </c>
      <c r="BP1483" s="8">
        <v>24.48</v>
      </c>
      <c r="BQ1483" s="4"/>
      <c r="BR1483" s="8"/>
      <c r="BS1483" s="7"/>
      <c r="BT1483" s="7"/>
      <c r="BU1483" s="2" t="s">
        <v>109</v>
      </c>
      <c r="BV1483" s="2" t="s">
        <v>97</v>
      </c>
      <c r="BW1483" s="2" t="s">
        <v>819</v>
      </c>
      <c r="BX1483" s="2" t="s">
        <v>2797</v>
      </c>
      <c r="BY1483" s="2" t="s">
        <v>112</v>
      </c>
      <c r="BZ1483" s="2" t="s">
        <v>100</v>
      </c>
    </row>
    <row r="1484">
      <c r="A1484" s="2" t="s">
        <v>4695</v>
      </c>
      <c r="B1484" s="2" t="s">
        <v>87</v>
      </c>
      <c r="C1484" s="2" t="s">
        <v>4613</v>
      </c>
      <c r="D1484" s="2" t="s">
        <v>89</v>
      </c>
      <c r="E1484" s="2" t="s">
        <v>2030</v>
      </c>
      <c r="F1484" s="2" t="s">
        <v>4685</v>
      </c>
      <c r="G1484" s="2" t="s">
        <v>4686</v>
      </c>
      <c r="H1484" s="2" t="s">
        <v>4687</v>
      </c>
      <c r="I1484" s="2" t="s">
        <v>4688</v>
      </c>
      <c r="J1484" s="2" t="s">
        <v>795</v>
      </c>
      <c r="K1484" s="2" t="s">
        <v>4652</v>
      </c>
      <c r="L1484" s="3">
        <v>26.19</v>
      </c>
      <c r="M1484" s="3">
        <v>27.5</v>
      </c>
      <c r="N1484" s="3">
        <v>54.99</v>
      </c>
      <c r="O1484" s="2" t="s">
        <v>97</v>
      </c>
      <c r="P1484" s="2" t="s">
        <v>281</v>
      </c>
      <c r="Q1484" s="2" t="s">
        <v>99</v>
      </c>
      <c r="R1484" s="2" t="s">
        <v>100</v>
      </c>
      <c r="S1484" s="2" t="s">
        <v>4689</v>
      </c>
      <c r="T1484" s="2" t="s">
        <v>787</v>
      </c>
      <c r="U1484" s="2" t="s">
        <v>1508</v>
      </c>
      <c r="V1484" s="2" t="s">
        <v>4690</v>
      </c>
      <c r="W1484" s="2" t="s">
        <v>976</v>
      </c>
      <c r="X1484" s="2" t="s">
        <v>105</v>
      </c>
      <c r="Y1484" s="2" t="s">
        <v>4693</v>
      </c>
      <c r="Z1484" s="4">
        <v>750</v>
      </c>
      <c r="AA1484" s="4">
        <f>=ROUNDDOWN(20.8333333333333,0)</f>
      </c>
      <c r="AB1484" s="5">
        <v>36</v>
      </c>
      <c r="AC1484" s="2" t="s">
        <v>2404</v>
      </c>
      <c r="AD1484" s="4">
        <v>300</v>
      </c>
      <c r="AE1484" s="4">
        <v>1104</v>
      </c>
      <c r="AF1484" s="6">
        <v>63</v>
      </c>
      <c r="AG1484" s="6">
        <v>46</v>
      </c>
      <c r="AH1484" s="7">
        <v>1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>
        <v>1</v>
      </c>
      <c r="AQ1484" s="8">
        <v>27.58</v>
      </c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>
        <v>0.5298</v>
      </c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 t="s">
        <v>100</v>
      </c>
      <c r="BJ1484" s="4">
        <v>47</v>
      </c>
      <c r="BK1484" s="8">
        <v>1307.97</v>
      </c>
      <c r="BL1484" s="2" t="s">
        <v>4696</v>
      </c>
      <c r="BM1484" s="7">
        <v>0.0213</v>
      </c>
      <c r="BN1484" s="7">
        <v>0.0211</v>
      </c>
      <c r="BO1484" s="4">
        <v>1</v>
      </c>
      <c r="BP1484" s="8">
        <v>27.58</v>
      </c>
      <c r="BQ1484" s="4"/>
      <c r="BR1484" s="8"/>
      <c r="BS1484" s="7"/>
      <c r="BT1484" s="7"/>
      <c r="BU1484" s="2" t="s">
        <v>109</v>
      </c>
      <c r="BV1484" s="2" t="s">
        <v>97</v>
      </c>
      <c r="BW1484" s="2" t="s">
        <v>819</v>
      </c>
      <c r="BX1484" s="2" t="s">
        <v>4697</v>
      </c>
      <c r="BY1484" s="2" t="s">
        <v>112</v>
      </c>
      <c r="BZ1484" s="2" t="s">
        <v>100</v>
      </c>
    </row>
    <row r="1485">
      <c r="A1485" s="2" t="s">
        <v>4698</v>
      </c>
      <c r="B1485" s="2" t="s">
        <v>87</v>
      </c>
      <c r="C1485" s="2" t="s">
        <v>4613</v>
      </c>
      <c r="D1485" s="2" t="s">
        <v>89</v>
      </c>
      <c r="E1485" s="2" t="s">
        <v>2030</v>
      </c>
      <c r="F1485" s="2" t="s">
        <v>4685</v>
      </c>
      <c r="G1485" s="2" t="s">
        <v>4686</v>
      </c>
      <c r="H1485" s="2" t="s">
        <v>4687</v>
      </c>
      <c r="I1485" s="2" t="s">
        <v>4688</v>
      </c>
      <c r="J1485" s="2" t="s">
        <v>673</v>
      </c>
      <c r="K1485" s="2" t="s">
        <v>146</v>
      </c>
      <c r="L1485" s="3">
        <v>19.04</v>
      </c>
      <c r="M1485" s="3">
        <v>19.99</v>
      </c>
      <c r="N1485" s="3">
        <v>39.99</v>
      </c>
      <c r="O1485" s="2" t="s">
        <v>97</v>
      </c>
      <c r="P1485" s="2" t="s">
        <v>242</v>
      </c>
      <c r="Q1485" s="2" t="s">
        <v>99</v>
      </c>
      <c r="R1485" s="2" t="s">
        <v>100</v>
      </c>
      <c r="S1485" s="2" t="s">
        <v>4699</v>
      </c>
      <c r="T1485" s="2" t="s">
        <v>787</v>
      </c>
      <c r="U1485" s="2" t="s">
        <v>2150</v>
      </c>
      <c r="V1485" s="2" t="s">
        <v>4690</v>
      </c>
      <c r="W1485" s="2" t="s">
        <v>976</v>
      </c>
      <c r="X1485" s="2" t="s">
        <v>105</v>
      </c>
      <c r="Y1485" s="2" t="s">
        <v>4672</v>
      </c>
      <c r="Z1485" s="4">
        <v>477</v>
      </c>
      <c r="AA1485" s="4">
        <f>=ROUNDDOWN(29.8125,0)</f>
      </c>
      <c r="AB1485" s="5">
        <v>16</v>
      </c>
      <c r="AC1485" s="2" t="s">
        <v>1282</v>
      </c>
      <c r="AD1485" s="4">
        <v>18</v>
      </c>
      <c r="AE1485" s="4">
        <v>171</v>
      </c>
      <c r="AF1485" s="6">
        <v>63</v>
      </c>
      <c r="AG1485" s="6">
        <v>46</v>
      </c>
      <c r="AH1485" s="7">
        <v>1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>
        <v>1</v>
      </c>
      <c r="AW1485" s="8">
        <v>27.58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/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>
        <v>0.2094</v>
      </c>
      <c r="BJ1485" s="4">
        <v>19</v>
      </c>
      <c r="BK1485" s="8">
        <v>380.31</v>
      </c>
      <c r="BL1485" s="2" t="s">
        <v>4700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109</v>
      </c>
      <c r="BV1485" s="2" t="s">
        <v>97</v>
      </c>
      <c r="BW1485" s="2" t="s">
        <v>819</v>
      </c>
      <c r="BX1485" s="2" t="s">
        <v>4701</v>
      </c>
      <c r="BY1485" s="2" t="s">
        <v>112</v>
      </c>
      <c r="BZ1485" s="2" t="s">
        <v>100</v>
      </c>
    </row>
    <row r="1486">
      <c r="A1486" s="2" t="s">
        <v>4702</v>
      </c>
      <c r="B1486" s="2" t="s">
        <v>87</v>
      </c>
      <c r="C1486" s="2" t="s">
        <v>4613</v>
      </c>
      <c r="D1486" s="2" t="s">
        <v>89</v>
      </c>
      <c r="E1486" s="2" t="s">
        <v>2030</v>
      </c>
      <c r="F1486" s="2" t="s">
        <v>4685</v>
      </c>
      <c r="G1486" s="2" t="s">
        <v>4686</v>
      </c>
      <c r="H1486" s="2" t="s">
        <v>4687</v>
      </c>
      <c r="I1486" s="2" t="s">
        <v>4688</v>
      </c>
      <c r="J1486" s="2" t="s">
        <v>785</v>
      </c>
      <c r="K1486" s="2" t="s">
        <v>146</v>
      </c>
      <c r="L1486" s="3">
        <v>21.42</v>
      </c>
      <c r="M1486" s="3">
        <v>22.49</v>
      </c>
      <c r="N1486" s="3">
        <v>44.99</v>
      </c>
      <c r="O1486" s="2" t="s">
        <v>97</v>
      </c>
      <c r="P1486" s="2" t="s">
        <v>242</v>
      </c>
      <c r="Q1486" s="2" t="s">
        <v>99</v>
      </c>
      <c r="R1486" s="2" t="s">
        <v>100</v>
      </c>
      <c r="S1486" s="2" t="s">
        <v>4699</v>
      </c>
      <c r="T1486" s="2" t="s">
        <v>787</v>
      </c>
      <c r="U1486" s="2" t="s">
        <v>1508</v>
      </c>
      <c r="V1486" s="2" t="s">
        <v>4690</v>
      </c>
      <c r="W1486" s="2" t="s">
        <v>976</v>
      </c>
      <c r="X1486" s="2" t="s">
        <v>105</v>
      </c>
      <c r="Y1486" s="2" t="s">
        <v>4672</v>
      </c>
      <c r="Z1486" s="4">
        <v>1861</v>
      </c>
      <c r="AA1486" s="4">
        <f>=ROUNDDOWN(56.3939393939394,0)</f>
      </c>
      <c r="AB1486" s="5">
        <v>33</v>
      </c>
      <c r="AC1486" s="2" t="s">
        <v>1282</v>
      </c>
      <c r="AD1486" s="4">
        <v>105</v>
      </c>
      <c r="AE1486" s="4">
        <v>105</v>
      </c>
      <c r="AF1486" s="6">
        <v>63</v>
      </c>
      <c r="AG1486" s="6">
        <v>46</v>
      </c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>
        <v>0</v>
      </c>
      <c r="AP1486" s="4"/>
      <c r="AQ1486" s="8"/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 t="s">
        <v>100</v>
      </c>
      <c r="BJ1486" s="4">
        <v>32</v>
      </c>
      <c r="BK1486" s="8">
        <v>717.41</v>
      </c>
      <c r="BL1486" s="2" t="s">
        <v>1271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109</v>
      </c>
      <c r="BV1486" s="2" t="s">
        <v>97</v>
      </c>
      <c r="BW1486" s="2" t="s">
        <v>819</v>
      </c>
      <c r="BX1486" s="2" t="s">
        <v>4703</v>
      </c>
      <c r="BY1486" s="2" t="s">
        <v>112</v>
      </c>
      <c r="BZ1486" s="2" t="s">
        <v>100</v>
      </c>
    </row>
    <row r="1487">
      <c r="A1487" s="2" t="s">
        <v>4704</v>
      </c>
      <c r="B1487" s="2" t="s">
        <v>87</v>
      </c>
      <c r="C1487" s="2" t="s">
        <v>4613</v>
      </c>
      <c r="D1487" s="2" t="s">
        <v>89</v>
      </c>
      <c r="E1487" s="2" t="s">
        <v>2030</v>
      </c>
      <c r="F1487" s="2" t="s">
        <v>4685</v>
      </c>
      <c r="G1487" s="2" t="s">
        <v>4686</v>
      </c>
      <c r="H1487" s="2" t="s">
        <v>4687</v>
      </c>
      <c r="I1487" s="2" t="s">
        <v>4688</v>
      </c>
      <c r="J1487" s="2" t="s">
        <v>795</v>
      </c>
      <c r="K1487" s="2" t="s">
        <v>146</v>
      </c>
      <c r="L1487" s="3">
        <v>26.19</v>
      </c>
      <c r="M1487" s="3">
        <v>27.5</v>
      </c>
      <c r="N1487" s="3">
        <v>54.99</v>
      </c>
      <c r="O1487" s="2" t="s">
        <v>97</v>
      </c>
      <c r="P1487" s="2" t="s">
        <v>242</v>
      </c>
      <c r="Q1487" s="2" t="s">
        <v>99</v>
      </c>
      <c r="R1487" s="2" t="s">
        <v>100</v>
      </c>
      <c r="S1487" s="2" t="s">
        <v>4699</v>
      </c>
      <c r="T1487" s="2" t="s">
        <v>787</v>
      </c>
      <c r="U1487" s="2" t="s">
        <v>1508</v>
      </c>
      <c r="V1487" s="2" t="s">
        <v>4690</v>
      </c>
      <c r="W1487" s="2" t="s">
        <v>976</v>
      </c>
      <c r="X1487" s="2" t="s">
        <v>105</v>
      </c>
      <c r="Y1487" s="2" t="s">
        <v>4693</v>
      </c>
      <c r="Z1487" s="4">
        <v>1542</v>
      </c>
      <c r="AA1487" s="4">
        <f>=ROUNDDOWN(55.0714285714286,0)</f>
      </c>
      <c r="AB1487" s="5">
        <v>28</v>
      </c>
      <c r="AC1487" s="2" t="s">
        <v>1282</v>
      </c>
      <c r="AD1487" s="4">
        <v>120</v>
      </c>
      <c r="AE1487" s="4">
        <v>672</v>
      </c>
      <c r="AF1487" s="6">
        <v>63</v>
      </c>
      <c r="AG1487" s="6">
        <v>46</v>
      </c>
      <c r="AH1487" s="7">
        <v>1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>
        <v>0</v>
      </c>
      <c r="AP1487" s="4">
        <v>1</v>
      </c>
      <c r="AQ1487" s="8">
        <v>27.58</v>
      </c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>
        <v>1</v>
      </c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 t="s">
        <v>100</v>
      </c>
      <c r="BJ1487" s="4">
        <v>27</v>
      </c>
      <c r="BK1487" s="8">
        <v>705.63</v>
      </c>
      <c r="BL1487" s="2" t="s">
        <v>4705</v>
      </c>
      <c r="BM1487" s="7">
        <v>0.037</v>
      </c>
      <c r="BN1487" s="7">
        <v>0.0391</v>
      </c>
      <c r="BO1487" s="4">
        <v>1</v>
      </c>
      <c r="BP1487" s="8">
        <v>27.58</v>
      </c>
      <c r="BQ1487" s="4"/>
      <c r="BR1487" s="8"/>
      <c r="BS1487" s="7"/>
      <c r="BT1487" s="7"/>
      <c r="BU1487" s="2" t="s">
        <v>109</v>
      </c>
      <c r="BV1487" s="2" t="s">
        <v>97</v>
      </c>
      <c r="BW1487" s="2" t="s">
        <v>819</v>
      </c>
      <c r="BX1487" s="2" t="s">
        <v>2797</v>
      </c>
      <c r="BY1487" s="2" t="s">
        <v>112</v>
      </c>
      <c r="BZ1487" s="2" t="s">
        <v>100</v>
      </c>
    </row>
    <row r="1488">
      <c r="A1488" s="2" t="s">
        <v>4706</v>
      </c>
      <c r="B1488" s="2" t="s">
        <v>87</v>
      </c>
      <c r="C1488" s="2" t="s">
        <v>4613</v>
      </c>
      <c r="D1488" s="2" t="s">
        <v>89</v>
      </c>
      <c r="E1488" s="2" t="s">
        <v>2030</v>
      </c>
      <c r="F1488" s="2" t="s">
        <v>4685</v>
      </c>
      <c r="G1488" s="2" t="s">
        <v>4686</v>
      </c>
      <c r="H1488" s="2" t="s">
        <v>4687</v>
      </c>
      <c r="I1488" s="2" t="s">
        <v>4688</v>
      </c>
      <c r="J1488" s="2" t="s">
        <v>673</v>
      </c>
      <c r="K1488" s="2" t="s">
        <v>163</v>
      </c>
      <c r="L1488" s="3">
        <v>19.04</v>
      </c>
      <c r="M1488" s="3">
        <v>19.99</v>
      </c>
      <c r="N1488" s="3">
        <v>39.99</v>
      </c>
      <c r="O1488" s="2" t="s">
        <v>97</v>
      </c>
      <c r="P1488" s="2" t="s">
        <v>242</v>
      </c>
      <c r="Q1488" s="2" t="s">
        <v>99</v>
      </c>
      <c r="R1488" s="2" t="s">
        <v>100</v>
      </c>
      <c r="S1488" s="2" t="s">
        <v>4707</v>
      </c>
      <c r="T1488" s="2" t="s">
        <v>787</v>
      </c>
      <c r="U1488" s="2" t="s">
        <v>2150</v>
      </c>
      <c r="V1488" s="2" t="s">
        <v>4690</v>
      </c>
      <c r="W1488" s="2" t="s">
        <v>976</v>
      </c>
      <c r="X1488" s="2" t="s">
        <v>105</v>
      </c>
      <c r="Y1488" s="2" t="s">
        <v>4672</v>
      </c>
      <c r="Z1488" s="4">
        <v>544</v>
      </c>
      <c r="AA1488" s="4">
        <f>=ROUNDDOWN(21.76,0)</f>
      </c>
      <c r="AB1488" s="5">
        <v>25</v>
      </c>
      <c r="AC1488" s="2" t="s">
        <v>4708</v>
      </c>
      <c r="AD1488" s="4">
        <v>75</v>
      </c>
      <c r="AE1488" s="4">
        <v>477</v>
      </c>
      <c r="AF1488" s="6">
        <v>63</v>
      </c>
      <c r="AG1488" s="6">
        <v>46</v>
      </c>
      <c r="AH1488" s="7">
        <v>1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/>
      <c r="AQ1488" s="8"/>
      <c r="AR1488" s="4"/>
      <c r="AS1488" s="8"/>
      <c r="AT1488" s="7"/>
      <c r="AU1488" s="7"/>
      <c r="AV1488" s="4">
        <v>1</v>
      </c>
      <c r="AW1488" s="8">
        <v>27.58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>
        <v>0.2094</v>
      </c>
      <c r="BJ1488" s="4">
        <v>35</v>
      </c>
      <c r="BK1488" s="8">
        <v>664.56</v>
      </c>
      <c r="BL1488" s="2" t="s">
        <v>4709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109</v>
      </c>
      <c r="BV1488" s="2" t="s">
        <v>97</v>
      </c>
      <c r="BW1488" s="2" t="s">
        <v>819</v>
      </c>
      <c r="BX1488" s="2" t="s">
        <v>1198</v>
      </c>
      <c r="BY1488" s="2" t="s">
        <v>112</v>
      </c>
      <c r="BZ1488" s="2" t="s">
        <v>100</v>
      </c>
    </row>
    <row r="1489">
      <c r="A1489" s="2" t="s">
        <v>4710</v>
      </c>
      <c r="B1489" s="2" t="s">
        <v>87</v>
      </c>
      <c r="C1489" s="2" t="s">
        <v>4613</v>
      </c>
      <c r="D1489" s="2" t="s">
        <v>89</v>
      </c>
      <c r="E1489" s="2" t="s">
        <v>2030</v>
      </c>
      <c r="F1489" s="2" t="s">
        <v>4685</v>
      </c>
      <c r="G1489" s="2" t="s">
        <v>4686</v>
      </c>
      <c r="H1489" s="2" t="s">
        <v>4687</v>
      </c>
      <c r="I1489" s="2" t="s">
        <v>4688</v>
      </c>
      <c r="J1489" s="2" t="s">
        <v>785</v>
      </c>
      <c r="K1489" s="2" t="s">
        <v>163</v>
      </c>
      <c r="L1489" s="3">
        <v>21.42</v>
      </c>
      <c r="M1489" s="3">
        <v>22.49</v>
      </c>
      <c r="N1489" s="3">
        <v>44.99</v>
      </c>
      <c r="O1489" s="2" t="s">
        <v>97</v>
      </c>
      <c r="P1489" s="2" t="s">
        <v>242</v>
      </c>
      <c r="Q1489" s="2" t="s">
        <v>99</v>
      </c>
      <c r="R1489" s="2" t="s">
        <v>100</v>
      </c>
      <c r="S1489" s="2" t="s">
        <v>4707</v>
      </c>
      <c r="T1489" s="2" t="s">
        <v>787</v>
      </c>
      <c r="U1489" s="2" t="s">
        <v>1508</v>
      </c>
      <c r="V1489" s="2" t="s">
        <v>4690</v>
      </c>
      <c r="W1489" s="2" t="s">
        <v>976</v>
      </c>
      <c r="X1489" s="2" t="s">
        <v>105</v>
      </c>
      <c r="Y1489" s="2" t="s">
        <v>4672</v>
      </c>
      <c r="Z1489" s="4">
        <v>1079</v>
      </c>
      <c r="AA1489" s="4">
        <f>=ROUNDDOWN(16.1044776119403,0)</f>
      </c>
      <c r="AB1489" s="5">
        <v>67</v>
      </c>
      <c r="AC1489" s="2" t="s">
        <v>4708</v>
      </c>
      <c r="AD1489" s="4">
        <v>141</v>
      </c>
      <c r="AE1489" s="4">
        <v>1941</v>
      </c>
      <c r="AF1489" s="6">
        <v>63</v>
      </c>
      <c r="AG1489" s="6">
        <v>46</v>
      </c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 t="s">
        <v>100</v>
      </c>
      <c r="BJ1489" s="4">
        <v>33</v>
      </c>
      <c r="BK1489" s="8">
        <v>735.69</v>
      </c>
      <c r="BL1489" s="2" t="s">
        <v>4711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109</v>
      </c>
      <c r="BV1489" s="2" t="s">
        <v>97</v>
      </c>
      <c r="BW1489" s="2" t="s">
        <v>819</v>
      </c>
      <c r="BX1489" s="2" t="s">
        <v>2112</v>
      </c>
      <c r="BY1489" s="2" t="s">
        <v>112</v>
      </c>
      <c r="BZ1489" s="2" t="s">
        <v>100</v>
      </c>
    </row>
    <row r="1490">
      <c r="A1490" s="2" t="s">
        <v>4712</v>
      </c>
      <c r="B1490" s="2" t="s">
        <v>87</v>
      </c>
      <c r="C1490" s="2" t="s">
        <v>4613</v>
      </c>
      <c r="D1490" s="2" t="s">
        <v>89</v>
      </c>
      <c r="E1490" s="2" t="s">
        <v>2030</v>
      </c>
      <c r="F1490" s="2" t="s">
        <v>4685</v>
      </c>
      <c r="G1490" s="2" t="s">
        <v>4686</v>
      </c>
      <c r="H1490" s="2" t="s">
        <v>4687</v>
      </c>
      <c r="I1490" s="2" t="s">
        <v>4688</v>
      </c>
      <c r="J1490" s="2" t="s">
        <v>795</v>
      </c>
      <c r="K1490" s="2" t="s">
        <v>163</v>
      </c>
      <c r="L1490" s="3">
        <v>26.19</v>
      </c>
      <c r="M1490" s="3">
        <v>27.5</v>
      </c>
      <c r="N1490" s="3">
        <v>54.99</v>
      </c>
      <c r="O1490" s="2" t="s">
        <v>97</v>
      </c>
      <c r="P1490" s="2" t="s">
        <v>242</v>
      </c>
      <c r="Q1490" s="2" t="s">
        <v>99</v>
      </c>
      <c r="R1490" s="2" t="s">
        <v>100</v>
      </c>
      <c r="S1490" s="2" t="s">
        <v>4707</v>
      </c>
      <c r="T1490" s="2" t="s">
        <v>787</v>
      </c>
      <c r="U1490" s="2" t="s">
        <v>1508</v>
      </c>
      <c r="V1490" s="2" t="s">
        <v>4690</v>
      </c>
      <c r="W1490" s="2" t="s">
        <v>976</v>
      </c>
      <c r="X1490" s="2" t="s">
        <v>105</v>
      </c>
      <c r="Y1490" s="2" t="s">
        <v>4693</v>
      </c>
      <c r="Z1490" s="4">
        <v>730</v>
      </c>
      <c r="AA1490" s="4">
        <f>=ROUNDDOWN(28.0769230769231,0)</f>
      </c>
      <c r="AB1490" s="5">
        <v>26</v>
      </c>
      <c r="AC1490" s="2" t="s">
        <v>4708</v>
      </c>
      <c r="AD1490" s="4">
        <v>138</v>
      </c>
      <c r="AE1490" s="4">
        <v>639</v>
      </c>
      <c r="AF1490" s="6">
        <v>63</v>
      </c>
      <c r="AG1490" s="6">
        <v>46</v>
      </c>
      <c r="AH1490" s="7">
        <v>1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>
        <v>1</v>
      </c>
      <c r="AQ1490" s="8">
        <v>27.58</v>
      </c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>
        <v>1</v>
      </c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 t="s">
        <v>100</v>
      </c>
      <c r="BJ1490" s="4">
        <v>26</v>
      </c>
      <c r="BK1490" s="8">
        <v>736.6</v>
      </c>
      <c r="BL1490" s="2" t="s">
        <v>4713</v>
      </c>
      <c r="BM1490" s="7">
        <v>0.0385</v>
      </c>
      <c r="BN1490" s="7">
        <v>0.0374</v>
      </c>
      <c r="BO1490" s="4">
        <v>1</v>
      </c>
      <c r="BP1490" s="8">
        <v>27.58</v>
      </c>
      <c r="BQ1490" s="4"/>
      <c r="BR1490" s="8"/>
      <c r="BS1490" s="7"/>
      <c r="BT1490" s="7"/>
      <c r="BU1490" s="2" t="s">
        <v>109</v>
      </c>
      <c r="BV1490" s="2" t="s">
        <v>97</v>
      </c>
      <c r="BW1490" s="2" t="s">
        <v>819</v>
      </c>
      <c r="BX1490" s="2" t="s">
        <v>4714</v>
      </c>
      <c r="BY1490" s="2" t="s">
        <v>112</v>
      </c>
      <c r="BZ1490" s="2" t="s">
        <v>100</v>
      </c>
    </row>
    <row r="1491">
      <c r="A1491" s="2" t="s">
        <v>4715</v>
      </c>
      <c r="B1491" s="2" t="s">
        <v>87</v>
      </c>
      <c r="C1491" s="2" t="s">
        <v>4613</v>
      </c>
      <c r="D1491" s="2" t="s">
        <v>89</v>
      </c>
      <c r="E1491" s="2" t="s">
        <v>2030</v>
      </c>
      <c r="F1491" s="2" t="s">
        <v>4685</v>
      </c>
      <c r="G1491" s="2" t="s">
        <v>4686</v>
      </c>
      <c r="H1491" s="2" t="s">
        <v>4687</v>
      </c>
      <c r="I1491" s="2" t="s">
        <v>4688</v>
      </c>
      <c r="J1491" s="2" t="s">
        <v>673</v>
      </c>
      <c r="K1491" s="2" t="s">
        <v>1555</v>
      </c>
      <c r="L1491" s="3">
        <v>19.04</v>
      </c>
      <c r="M1491" s="3">
        <v>19.99</v>
      </c>
      <c r="N1491" s="3">
        <v>39.99</v>
      </c>
      <c r="O1491" s="2" t="s">
        <v>97</v>
      </c>
      <c r="P1491" s="2" t="s">
        <v>242</v>
      </c>
      <c r="Q1491" s="2" t="s">
        <v>99</v>
      </c>
      <c r="R1491" s="2" t="s">
        <v>100</v>
      </c>
      <c r="S1491" s="2" t="s">
        <v>4716</v>
      </c>
      <c r="T1491" s="2" t="s">
        <v>787</v>
      </c>
      <c r="U1491" s="2" t="s">
        <v>2150</v>
      </c>
      <c r="V1491" s="2" t="s">
        <v>4690</v>
      </c>
      <c r="W1491" s="2" t="s">
        <v>976</v>
      </c>
      <c r="X1491" s="2" t="s">
        <v>105</v>
      </c>
      <c r="Y1491" s="2" t="s">
        <v>4672</v>
      </c>
      <c r="Z1491" s="4">
        <v>292</v>
      </c>
      <c r="AA1491" s="4">
        <f>=ROUNDDOWN(26.5454545454545,0)</f>
      </c>
      <c r="AB1491" s="5">
        <v>11</v>
      </c>
      <c r="AC1491" s="2" t="s">
        <v>3685</v>
      </c>
      <c r="AD1491" s="4">
        <v>159</v>
      </c>
      <c r="AE1491" s="4">
        <v>561</v>
      </c>
      <c r="AF1491" s="6">
        <v>63</v>
      </c>
      <c r="AG1491" s="6">
        <v>46</v>
      </c>
      <c r="AH1491" s="7">
        <v>1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/>
      <c r="AQ1491" s="8"/>
      <c r="AR1491" s="4"/>
      <c r="AS1491" s="8"/>
      <c r="AT1491" s="7"/>
      <c r="AU1491" s="7"/>
      <c r="AV1491" s="4">
        <v>1</v>
      </c>
      <c r="AW1491" s="8">
        <v>24.48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>
        <v>0.1859</v>
      </c>
      <c r="BJ1491" s="4">
        <v>8</v>
      </c>
      <c r="BK1491" s="8">
        <v>174.65</v>
      </c>
      <c r="BL1491" s="2" t="s">
        <v>4717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109</v>
      </c>
      <c r="BV1491" s="2" t="s">
        <v>97</v>
      </c>
      <c r="BW1491" s="2" t="s">
        <v>819</v>
      </c>
      <c r="BX1491" s="2" t="s">
        <v>100</v>
      </c>
      <c r="BY1491" s="2" t="s">
        <v>112</v>
      </c>
      <c r="BZ1491" s="2" t="s">
        <v>100</v>
      </c>
    </row>
    <row r="1492">
      <c r="A1492" s="2" t="s">
        <v>4718</v>
      </c>
      <c r="B1492" s="2" t="s">
        <v>87</v>
      </c>
      <c r="C1492" s="2" t="s">
        <v>4613</v>
      </c>
      <c r="D1492" s="2" t="s">
        <v>89</v>
      </c>
      <c r="E1492" s="2" t="s">
        <v>2030</v>
      </c>
      <c r="F1492" s="2" t="s">
        <v>4685</v>
      </c>
      <c r="G1492" s="2" t="s">
        <v>4686</v>
      </c>
      <c r="H1492" s="2" t="s">
        <v>4687</v>
      </c>
      <c r="I1492" s="2" t="s">
        <v>4688</v>
      </c>
      <c r="J1492" s="2" t="s">
        <v>785</v>
      </c>
      <c r="K1492" s="2" t="s">
        <v>1555</v>
      </c>
      <c r="L1492" s="3">
        <v>21.42</v>
      </c>
      <c r="M1492" s="3">
        <v>22.49</v>
      </c>
      <c r="N1492" s="3">
        <v>44.99</v>
      </c>
      <c r="O1492" s="2" t="s">
        <v>97</v>
      </c>
      <c r="P1492" s="2" t="s">
        <v>242</v>
      </c>
      <c r="Q1492" s="2" t="s">
        <v>99</v>
      </c>
      <c r="R1492" s="2" t="s">
        <v>100</v>
      </c>
      <c r="S1492" s="2" t="s">
        <v>4716</v>
      </c>
      <c r="T1492" s="2" t="s">
        <v>787</v>
      </c>
      <c r="U1492" s="2" t="s">
        <v>1508</v>
      </c>
      <c r="V1492" s="2" t="s">
        <v>4690</v>
      </c>
      <c r="W1492" s="2" t="s">
        <v>976</v>
      </c>
      <c r="X1492" s="2" t="s">
        <v>105</v>
      </c>
      <c r="Y1492" s="2" t="s">
        <v>4672</v>
      </c>
      <c r="Z1492" s="4">
        <v>238</v>
      </c>
      <c r="AA1492" s="4">
        <f>=ROUNDDOWN(8.5,0)</f>
      </c>
      <c r="AB1492" s="5">
        <v>28</v>
      </c>
      <c r="AC1492" s="2" t="s">
        <v>400</v>
      </c>
      <c r="AD1492" s="4">
        <v>345</v>
      </c>
      <c r="AE1492" s="4">
        <v>2445</v>
      </c>
      <c r="AF1492" s="6">
        <v>63</v>
      </c>
      <c r="AG1492" s="6">
        <v>46</v>
      </c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>
        <v>1</v>
      </c>
      <c r="AQ1492" s="8">
        <v>24.48</v>
      </c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>
        <v>1</v>
      </c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 t="s">
        <v>100</v>
      </c>
      <c r="BJ1492" s="4">
        <v>24</v>
      </c>
      <c r="BK1492" s="8">
        <v>528.39</v>
      </c>
      <c r="BL1492" s="2" t="s">
        <v>791</v>
      </c>
      <c r="BM1492" s="7">
        <v>0.0417</v>
      </c>
      <c r="BN1492" s="7">
        <v>0.0463</v>
      </c>
      <c r="BO1492" s="4">
        <v>1</v>
      </c>
      <c r="BP1492" s="8">
        <v>24.48</v>
      </c>
      <c r="BQ1492" s="4"/>
      <c r="BR1492" s="8"/>
      <c r="BS1492" s="7"/>
      <c r="BT1492" s="7"/>
      <c r="BU1492" s="2" t="s">
        <v>109</v>
      </c>
      <c r="BV1492" s="2" t="s">
        <v>97</v>
      </c>
      <c r="BW1492" s="2" t="s">
        <v>819</v>
      </c>
      <c r="BX1492" s="2" t="s">
        <v>4719</v>
      </c>
      <c r="BY1492" s="2" t="s">
        <v>112</v>
      </c>
      <c r="BZ1492" s="2" t="s">
        <v>100</v>
      </c>
    </row>
    <row r="1493">
      <c r="A1493" s="2" t="s">
        <v>4720</v>
      </c>
      <c r="B1493" s="2" t="s">
        <v>87</v>
      </c>
      <c r="C1493" s="2" t="s">
        <v>4613</v>
      </c>
      <c r="D1493" s="2" t="s">
        <v>89</v>
      </c>
      <c r="E1493" s="2" t="s">
        <v>2030</v>
      </c>
      <c r="F1493" s="2" t="s">
        <v>4685</v>
      </c>
      <c r="G1493" s="2" t="s">
        <v>4686</v>
      </c>
      <c r="H1493" s="2" t="s">
        <v>4687</v>
      </c>
      <c r="I1493" s="2" t="s">
        <v>4688</v>
      </c>
      <c r="J1493" s="2" t="s">
        <v>795</v>
      </c>
      <c r="K1493" s="2" t="s">
        <v>1555</v>
      </c>
      <c r="L1493" s="3">
        <v>26.19</v>
      </c>
      <c r="M1493" s="3">
        <v>27.5</v>
      </c>
      <c r="N1493" s="3">
        <v>54.99</v>
      </c>
      <c r="O1493" s="2" t="s">
        <v>97</v>
      </c>
      <c r="P1493" s="2" t="s">
        <v>242</v>
      </c>
      <c r="Q1493" s="2" t="s">
        <v>99</v>
      </c>
      <c r="R1493" s="2" t="s">
        <v>100</v>
      </c>
      <c r="S1493" s="2" t="s">
        <v>4716</v>
      </c>
      <c r="T1493" s="2" t="s">
        <v>787</v>
      </c>
      <c r="U1493" s="2" t="s">
        <v>1508</v>
      </c>
      <c r="V1493" s="2" t="s">
        <v>4690</v>
      </c>
      <c r="W1493" s="2" t="s">
        <v>976</v>
      </c>
      <c r="X1493" s="2" t="s">
        <v>105</v>
      </c>
      <c r="Y1493" s="2" t="s">
        <v>4693</v>
      </c>
      <c r="Z1493" s="4">
        <v>122</v>
      </c>
      <c r="AA1493" s="4">
        <f>=ROUNDDOWN(4.69230769230769,0)</f>
      </c>
      <c r="AB1493" s="5">
        <v>26</v>
      </c>
      <c r="AC1493" s="2" t="s">
        <v>400</v>
      </c>
      <c r="AD1493" s="4">
        <v>381</v>
      </c>
      <c r="AE1493" s="4">
        <v>1941</v>
      </c>
      <c r="AF1493" s="6">
        <v>63</v>
      </c>
      <c r="AG1493" s="6">
        <v>46</v>
      </c>
      <c r="AH1493" s="7">
        <v>1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/>
      <c r="AQ1493" s="8"/>
      <c r="AR1493" s="4"/>
      <c r="AS1493" s="8"/>
      <c r="AT1493" s="7"/>
      <c r="AU1493" s="7"/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/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 t="s">
        <v>100</v>
      </c>
      <c r="BJ1493" s="4">
        <v>21</v>
      </c>
      <c r="BK1493" s="8">
        <v>562.86</v>
      </c>
      <c r="BL1493" s="2" t="s">
        <v>4721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109</v>
      </c>
      <c r="BV1493" s="2" t="s">
        <v>97</v>
      </c>
      <c r="BW1493" s="2" t="s">
        <v>819</v>
      </c>
      <c r="BX1493" s="2" t="s">
        <v>4703</v>
      </c>
      <c r="BY1493" s="2" t="s">
        <v>112</v>
      </c>
      <c r="BZ1493" s="2" t="s">
        <v>100</v>
      </c>
    </row>
    <row r="1494">
      <c r="A1494" s="2" t="s">
        <v>4722</v>
      </c>
      <c r="B1494" s="2" t="s">
        <v>87</v>
      </c>
      <c r="C1494" s="2" t="s">
        <v>4613</v>
      </c>
      <c r="D1494" s="2" t="s">
        <v>89</v>
      </c>
      <c r="E1494" s="2" t="s">
        <v>2030</v>
      </c>
      <c r="F1494" s="2" t="s">
        <v>4723</v>
      </c>
      <c r="G1494" s="2" t="s">
        <v>4724</v>
      </c>
      <c r="H1494" s="2" t="s">
        <v>4725</v>
      </c>
      <c r="I1494" s="2" t="s">
        <v>4726</v>
      </c>
      <c r="J1494" s="2" t="s">
        <v>673</v>
      </c>
      <c r="K1494" s="2" t="s">
        <v>185</v>
      </c>
      <c r="L1494" s="3">
        <v>23.8</v>
      </c>
      <c r="M1494" s="3">
        <v>24.99</v>
      </c>
      <c r="N1494" s="3">
        <v>49.99</v>
      </c>
      <c r="O1494" s="2" t="s">
        <v>97</v>
      </c>
      <c r="P1494" s="2" t="s">
        <v>242</v>
      </c>
      <c r="Q1494" s="2" t="s">
        <v>99</v>
      </c>
      <c r="R1494" s="2" t="s">
        <v>100</v>
      </c>
      <c r="S1494" s="2" t="s">
        <v>4727</v>
      </c>
      <c r="T1494" s="2" t="s">
        <v>787</v>
      </c>
      <c r="U1494" s="2" t="s">
        <v>2150</v>
      </c>
      <c r="V1494" s="2" t="s">
        <v>805</v>
      </c>
      <c r="W1494" s="2" t="s">
        <v>105</v>
      </c>
      <c r="X1494" s="2" t="s">
        <v>976</v>
      </c>
      <c r="Y1494" s="2" t="s">
        <v>4672</v>
      </c>
      <c r="Z1494" s="4">
        <v>342</v>
      </c>
      <c r="AA1494" s="4">
        <f>=ROUNDDOWN(24.4285714285714,0)</f>
      </c>
      <c r="AB1494" s="5">
        <v>14</v>
      </c>
      <c r="AC1494" s="2" t="s">
        <v>132</v>
      </c>
      <c r="AD1494" s="4">
        <v>100</v>
      </c>
      <c r="AE1494" s="4">
        <v>910</v>
      </c>
      <c r="AF1494" s="6">
        <v>63</v>
      </c>
      <c r="AG1494" s="6">
        <v>46</v>
      </c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>
        <v>0</v>
      </c>
      <c r="AP1494" s="4">
        <v>2</v>
      </c>
      <c r="AQ1494" s="8">
        <v>58.48</v>
      </c>
      <c r="AR1494" s="4"/>
      <c r="AS1494" s="8"/>
      <c r="AT1494" s="7"/>
      <c r="AU1494" s="7"/>
      <c r="AV1494" s="4">
        <v>2</v>
      </c>
      <c r="AW1494" s="8">
        <v>58.48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>
        <v>1</v>
      </c>
      <c r="BC1494" s="4">
        <v>3</v>
      </c>
      <c r="BD1494" s="8">
        <v>87.72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>
        <v>0.6667</v>
      </c>
      <c r="BJ1494" s="4">
        <v>26</v>
      </c>
      <c r="BK1494" s="8">
        <v>672.04</v>
      </c>
      <c r="BL1494" s="2" t="s">
        <v>4728</v>
      </c>
      <c r="BM1494" s="7">
        <v>0.0769</v>
      </c>
      <c r="BN1494" s="7">
        <v>0.087</v>
      </c>
      <c r="BO1494" s="4">
        <v>2</v>
      </c>
      <c r="BP1494" s="8">
        <v>58.48</v>
      </c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1188</v>
      </c>
      <c r="BX1494" s="2" t="s">
        <v>2699</v>
      </c>
      <c r="BY1494" s="2" t="s">
        <v>112</v>
      </c>
      <c r="BZ1494" s="2" t="s">
        <v>100</v>
      </c>
    </row>
    <row r="1495">
      <c r="A1495" s="2" t="s">
        <v>4729</v>
      </c>
      <c r="B1495" s="2" t="s">
        <v>87</v>
      </c>
      <c r="C1495" s="2" t="s">
        <v>4613</v>
      </c>
      <c r="D1495" s="2" t="s">
        <v>89</v>
      </c>
      <c r="E1495" s="2" t="s">
        <v>2030</v>
      </c>
      <c r="F1495" s="2" t="s">
        <v>4723</v>
      </c>
      <c r="G1495" s="2" t="s">
        <v>4724</v>
      </c>
      <c r="H1495" s="2" t="s">
        <v>4725</v>
      </c>
      <c r="I1495" s="2" t="s">
        <v>4726</v>
      </c>
      <c r="J1495" s="2" t="s">
        <v>785</v>
      </c>
      <c r="K1495" s="2" t="s">
        <v>185</v>
      </c>
      <c r="L1495" s="3">
        <v>30.95</v>
      </c>
      <c r="M1495" s="3">
        <v>32.5</v>
      </c>
      <c r="N1495" s="3">
        <v>64.99</v>
      </c>
      <c r="O1495" s="2" t="s">
        <v>97</v>
      </c>
      <c r="P1495" s="2" t="s">
        <v>242</v>
      </c>
      <c r="Q1495" s="2" t="s">
        <v>99</v>
      </c>
      <c r="R1495" s="2" t="s">
        <v>100</v>
      </c>
      <c r="S1495" s="2" t="s">
        <v>4727</v>
      </c>
      <c r="T1495" s="2" t="s">
        <v>787</v>
      </c>
      <c r="U1495" s="2" t="s">
        <v>1508</v>
      </c>
      <c r="V1495" s="2" t="s">
        <v>805</v>
      </c>
      <c r="W1495" s="2" t="s">
        <v>105</v>
      </c>
      <c r="X1495" s="2" t="s">
        <v>976</v>
      </c>
      <c r="Y1495" s="2" t="s">
        <v>4672</v>
      </c>
      <c r="Z1495" s="4">
        <v>1734</v>
      </c>
      <c r="AA1495" s="4">
        <f>=ROUNDDOWN(34,0)</f>
      </c>
      <c r="AB1495" s="5">
        <v>51</v>
      </c>
      <c r="AC1495" s="2" t="s">
        <v>132</v>
      </c>
      <c r="AD1495" s="4">
        <v>500</v>
      </c>
      <c r="AE1495" s="4">
        <v>2300</v>
      </c>
      <c r="AF1495" s="6">
        <v>63</v>
      </c>
      <c r="AG1495" s="6">
        <v>46</v>
      </c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>
        <v>0</v>
      </c>
      <c r="AP1495" s="4"/>
      <c r="AQ1495" s="8"/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/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60</v>
      </c>
      <c r="BK1495" s="8">
        <v>1869.62</v>
      </c>
      <c r="BL1495" s="2" t="s">
        <v>4730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819</v>
      </c>
      <c r="BX1495" s="2" t="s">
        <v>4719</v>
      </c>
      <c r="BY1495" s="2" t="s">
        <v>112</v>
      </c>
      <c r="BZ1495" s="2" t="s">
        <v>100</v>
      </c>
    </row>
    <row r="1496">
      <c r="A1496" s="2" t="s">
        <v>4731</v>
      </c>
      <c r="B1496" s="2" t="s">
        <v>87</v>
      </c>
      <c r="C1496" s="2" t="s">
        <v>4613</v>
      </c>
      <c r="D1496" s="2" t="s">
        <v>89</v>
      </c>
      <c r="E1496" s="2" t="s">
        <v>2030</v>
      </c>
      <c r="F1496" s="2" t="s">
        <v>4723</v>
      </c>
      <c r="G1496" s="2" t="s">
        <v>4724</v>
      </c>
      <c r="H1496" s="2" t="s">
        <v>4725</v>
      </c>
      <c r="I1496" s="2" t="s">
        <v>4726</v>
      </c>
      <c r="J1496" s="2" t="s">
        <v>795</v>
      </c>
      <c r="K1496" s="2" t="s">
        <v>185</v>
      </c>
      <c r="L1496" s="3">
        <v>33.33</v>
      </c>
      <c r="M1496" s="3">
        <v>35</v>
      </c>
      <c r="N1496" s="3">
        <v>69.99</v>
      </c>
      <c r="O1496" s="2" t="s">
        <v>97</v>
      </c>
      <c r="P1496" s="2" t="s">
        <v>242</v>
      </c>
      <c r="Q1496" s="2" t="s">
        <v>99</v>
      </c>
      <c r="R1496" s="2" t="s">
        <v>100</v>
      </c>
      <c r="S1496" s="2" t="s">
        <v>4727</v>
      </c>
      <c r="T1496" s="2" t="s">
        <v>787</v>
      </c>
      <c r="U1496" s="2" t="s">
        <v>1508</v>
      </c>
      <c r="V1496" s="2" t="s">
        <v>805</v>
      </c>
      <c r="W1496" s="2" t="s">
        <v>105</v>
      </c>
      <c r="X1496" s="2" t="s">
        <v>976</v>
      </c>
      <c r="Y1496" s="2" t="s">
        <v>4732</v>
      </c>
      <c r="Z1496" s="4">
        <v>970</v>
      </c>
      <c r="AA1496" s="4">
        <f>=ROUNDDOWN(37.3076923076923,0)</f>
      </c>
      <c r="AB1496" s="5">
        <v>26</v>
      </c>
      <c r="AC1496" s="2" t="s">
        <v>132</v>
      </c>
      <c r="AD1496" s="4">
        <v>400</v>
      </c>
      <c r="AE1496" s="4">
        <v>800</v>
      </c>
      <c r="AF1496" s="6">
        <v>63</v>
      </c>
      <c r="AG1496" s="6">
        <v>46</v>
      </c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>
        <v>0</v>
      </c>
      <c r="AP1496" s="4"/>
      <c r="AQ1496" s="8"/>
      <c r="AR1496" s="4"/>
      <c r="AS1496" s="8"/>
      <c r="AT1496" s="7"/>
      <c r="AU1496" s="7"/>
      <c r="AV1496" s="4" t="s">
        <v>100</v>
      </c>
      <c r="AW1496" s="8" t="s">
        <v>100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/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 t="s">
        <v>100</v>
      </c>
      <c r="BJ1496" s="4">
        <v>26</v>
      </c>
      <c r="BK1496" s="8">
        <v>877.83</v>
      </c>
      <c r="BL1496" s="2" t="s">
        <v>4733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819</v>
      </c>
      <c r="BX1496" s="2" t="s">
        <v>4734</v>
      </c>
      <c r="BY1496" s="2" t="s">
        <v>112</v>
      </c>
      <c r="BZ1496" s="2" t="s">
        <v>100</v>
      </c>
    </row>
    <row r="1497">
      <c r="A1497" s="2" t="s">
        <v>4735</v>
      </c>
      <c r="B1497" s="2" t="s">
        <v>87</v>
      </c>
      <c r="C1497" s="2" t="s">
        <v>4613</v>
      </c>
      <c r="D1497" s="2" t="s">
        <v>89</v>
      </c>
      <c r="E1497" s="2" t="s">
        <v>2030</v>
      </c>
      <c r="F1497" s="2" t="s">
        <v>4723</v>
      </c>
      <c r="G1497" s="2" t="s">
        <v>4724</v>
      </c>
      <c r="H1497" s="2" t="s">
        <v>4725</v>
      </c>
      <c r="I1497" s="2" t="s">
        <v>4726</v>
      </c>
      <c r="J1497" s="2" t="s">
        <v>673</v>
      </c>
      <c r="K1497" s="2" t="s">
        <v>253</v>
      </c>
      <c r="L1497" s="3">
        <v>23.8</v>
      </c>
      <c r="M1497" s="3">
        <v>24.99</v>
      </c>
      <c r="N1497" s="3">
        <v>49.99</v>
      </c>
      <c r="O1497" s="2" t="s">
        <v>97</v>
      </c>
      <c r="P1497" s="2" t="s">
        <v>242</v>
      </c>
      <c r="Q1497" s="2" t="s">
        <v>99</v>
      </c>
      <c r="R1497" s="2" t="s">
        <v>100</v>
      </c>
      <c r="S1497" s="2" t="s">
        <v>4736</v>
      </c>
      <c r="T1497" s="2" t="s">
        <v>787</v>
      </c>
      <c r="U1497" s="2" t="s">
        <v>2150</v>
      </c>
      <c r="V1497" s="2" t="s">
        <v>805</v>
      </c>
      <c r="W1497" s="2" t="s">
        <v>105</v>
      </c>
      <c r="X1497" s="2" t="s">
        <v>976</v>
      </c>
      <c r="Y1497" s="2" t="s">
        <v>4672</v>
      </c>
      <c r="Z1497" s="4">
        <v>489</v>
      </c>
      <c r="AA1497" s="4">
        <f>=ROUNDDOWN(25.7368421052632,0)</f>
      </c>
      <c r="AB1497" s="5">
        <v>19</v>
      </c>
      <c r="AC1497" s="2" t="s">
        <v>400</v>
      </c>
      <c r="AD1497" s="4">
        <v>300</v>
      </c>
      <c r="AE1497" s="4">
        <v>1080</v>
      </c>
      <c r="AF1497" s="6">
        <v>63</v>
      </c>
      <c r="AG1497" s="6">
        <v>46</v>
      </c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1</v>
      </c>
      <c r="AQ1497" s="8">
        <v>29.24</v>
      </c>
      <c r="AR1497" s="4"/>
      <c r="AS1497" s="8"/>
      <c r="AT1497" s="7"/>
      <c r="AU1497" s="7"/>
      <c r="AV1497" s="4">
        <v>1</v>
      </c>
      <c r="AW1497" s="8">
        <v>29.24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>
        <v>1</v>
      </c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>
        <v>0.3333</v>
      </c>
      <c r="BJ1497" s="4">
        <v>19</v>
      </c>
      <c r="BK1497" s="8">
        <v>479.88</v>
      </c>
      <c r="BL1497" s="2" t="s">
        <v>4737</v>
      </c>
      <c r="BM1497" s="7">
        <v>0.0526</v>
      </c>
      <c r="BN1497" s="7">
        <v>0.0609</v>
      </c>
      <c r="BO1497" s="4">
        <v>1</v>
      </c>
      <c r="BP1497" s="8">
        <v>29.24</v>
      </c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4738</v>
      </c>
      <c r="BX1497" s="2" t="s">
        <v>1462</v>
      </c>
      <c r="BY1497" s="2" t="s">
        <v>112</v>
      </c>
      <c r="BZ1497" s="2" t="s">
        <v>100</v>
      </c>
    </row>
    <row r="1498">
      <c r="A1498" s="2" t="s">
        <v>4739</v>
      </c>
      <c r="B1498" s="2" t="s">
        <v>87</v>
      </c>
      <c r="C1498" s="2" t="s">
        <v>4613</v>
      </c>
      <c r="D1498" s="2" t="s">
        <v>89</v>
      </c>
      <c r="E1498" s="2" t="s">
        <v>2030</v>
      </c>
      <c r="F1498" s="2" t="s">
        <v>4723</v>
      </c>
      <c r="G1498" s="2" t="s">
        <v>4724</v>
      </c>
      <c r="H1498" s="2" t="s">
        <v>4725</v>
      </c>
      <c r="I1498" s="2" t="s">
        <v>4726</v>
      </c>
      <c r="J1498" s="2" t="s">
        <v>785</v>
      </c>
      <c r="K1498" s="2" t="s">
        <v>253</v>
      </c>
      <c r="L1498" s="3">
        <v>30.95</v>
      </c>
      <c r="M1498" s="3">
        <v>32.5</v>
      </c>
      <c r="N1498" s="3">
        <v>64.99</v>
      </c>
      <c r="O1498" s="2" t="s">
        <v>97</v>
      </c>
      <c r="P1498" s="2" t="s">
        <v>242</v>
      </c>
      <c r="Q1498" s="2" t="s">
        <v>99</v>
      </c>
      <c r="R1498" s="2" t="s">
        <v>100</v>
      </c>
      <c r="S1498" s="2" t="s">
        <v>4736</v>
      </c>
      <c r="T1498" s="2" t="s">
        <v>787</v>
      </c>
      <c r="U1498" s="2" t="s">
        <v>1508</v>
      </c>
      <c r="V1498" s="2" t="s">
        <v>805</v>
      </c>
      <c r="W1498" s="2" t="s">
        <v>105</v>
      </c>
      <c r="X1498" s="2" t="s">
        <v>976</v>
      </c>
      <c r="Y1498" s="2" t="s">
        <v>4672</v>
      </c>
      <c r="Z1498" s="4">
        <v>1308</v>
      </c>
      <c r="AA1498" s="4">
        <f>=ROUNDDOWN(25.6470588235294,0)</f>
      </c>
      <c r="AB1498" s="5">
        <v>51</v>
      </c>
      <c r="AC1498" s="2" t="s">
        <v>400</v>
      </c>
      <c r="AD1498" s="4">
        <v>560</v>
      </c>
      <c r="AE1498" s="4">
        <v>2930</v>
      </c>
      <c r="AF1498" s="6">
        <v>63</v>
      </c>
      <c r="AG1498" s="6">
        <v>46</v>
      </c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/>
      <c r="AQ1498" s="8"/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/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52</v>
      </c>
      <c r="BK1498" s="8">
        <v>1684.84</v>
      </c>
      <c r="BL1498" s="2" t="s">
        <v>4657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4738</v>
      </c>
      <c r="BX1498" s="2" t="s">
        <v>4740</v>
      </c>
      <c r="BY1498" s="2" t="s">
        <v>112</v>
      </c>
      <c r="BZ1498" s="2" t="s">
        <v>100</v>
      </c>
    </row>
    <row r="1499">
      <c r="A1499" s="2" t="s">
        <v>4741</v>
      </c>
      <c r="B1499" s="2" t="s">
        <v>87</v>
      </c>
      <c r="C1499" s="2" t="s">
        <v>4613</v>
      </c>
      <c r="D1499" s="2" t="s">
        <v>89</v>
      </c>
      <c r="E1499" s="2" t="s">
        <v>2030</v>
      </c>
      <c r="F1499" s="2" t="s">
        <v>4723</v>
      </c>
      <c r="G1499" s="2" t="s">
        <v>4724</v>
      </c>
      <c r="H1499" s="2" t="s">
        <v>4725</v>
      </c>
      <c r="I1499" s="2" t="s">
        <v>4726</v>
      </c>
      <c r="J1499" s="2" t="s">
        <v>795</v>
      </c>
      <c r="K1499" s="2" t="s">
        <v>253</v>
      </c>
      <c r="L1499" s="3">
        <v>33.33</v>
      </c>
      <c r="M1499" s="3">
        <v>35</v>
      </c>
      <c r="N1499" s="3">
        <v>69.99</v>
      </c>
      <c r="O1499" s="2" t="s">
        <v>97</v>
      </c>
      <c r="P1499" s="2" t="s">
        <v>242</v>
      </c>
      <c r="Q1499" s="2" t="s">
        <v>99</v>
      </c>
      <c r="R1499" s="2" t="s">
        <v>100</v>
      </c>
      <c r="S1499" s="2" t="s">
        <v>4736</v>
      </c>
      <c r="T1499" s="2" t="s">
        <v>787</v>
      </c>
      <c r="U1499" s="2" t="s">
        <v>1508</v>
      </c>
      <c r="V1499" s="2" t="s">
        <v>805</v>
      </c>
      <c r="W1499" s="2" t="s">
        <v>105</v>
      </c>
      <c r="X1499" s="2" t="s">
        <v>976</v>
      </c>
      <c r="Y1499" s="2" t="s">
        <v>4732</v>
      </c>
      <c r="Z1499" s="4">
        <v>938</v>
      </c>
      <c r="AA1499" s="4">
        <f>=ROUNDDOWN(30.258064516129,0)</f>
      </c>
      <c r="AB1499" s="5">
        <v>31</v>
      </c>
      <c r="AC1499" s="2" t="s">
        <v>400</v>
      </c>
      <c r="AD1499" s="4">
        <v>250</v>
      </c>
      <c r="AE1499" s="4">
        <v>1360</v>
      </c>
      <c r="AF1499" s="6">
        <v>63</v>
      </c>
      <c r="AG1499" s="6">
        <v>46</v>
      </c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>
        <v>0</v>
      </c>
      <c r="AP1499" s="4"/>
      <c r="AQ1499" s="8"/>
      <c r="AR1499" s="4"/>
      <c r="AS1499" s="8"/>
      <c r="AT1499" s="7"/>
      <c r="AU1499" s="7"/>
      <c r="AV1499" s="4" t="s">
        <v>100</v>
      </c>
      <c r="AW1499" s="8" t="s">
        <v>100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 t="s">
        <v>100</v>
      </c>
      <c r="BJ1499" s="4">
        <v>31</v>
      </c>
      <c r="BK1499" s="8">
        <v>1118.17</v>
      </c>
      <c r="BL1499" s="2" t="s">
        <v>4742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4738</v>
      </c>
      <c r="BX1499" s="2" t="s">
        <v>4740</v>
      </c>
      <c r="BY1499" s="2" t="s">
        <v>112</v>
      </c>
      <c r="BZ1499" s="2" t="s">
        <v>100</v>
      </c>
    </row>
    <row r="1500">
      <c r="A1500" s="2" t="s">
        <v>4743</v>
      </c>
      <c r="B1500" s="2" t="s">
        <v>87</v>
      </c>
      <c r="C1500" s="2" t="s">
        <v>4613</v>
      </c>
      <c r="D1500" s="2" t="s">
        <v>89</v>
      </c>
      <c r="E1500" s="2" t="s">
        <v>2030</v>
      </c>
      <c r="F1500" s="2" t="s">
        <v>4723</v>
      </c>
      <c r="G1500" s="2" t="s">
        <v>4724</v>
      </c>
      <c r="H1500" s="2" t="s">
        <v>4725</v>
      </c>
      <c r="I1500" s="2" t="s">
        <v>4726</v>
      </c>
      <c r="J1500" s="2" t="s">
        <v>673</v>
      </c>
      <c r="K1500" s="2" t="s">
        <v>4744</v>
      </c>
      <c r="L1500" s="3">
        <v>23.8</v>
      </c>
      <c r="M1500" s="3">
        <v>24.99</v>
      </c>
      <c r="N1500" s="3">
        <v>49.99</v>
      </c>
      <c r="O1500" s="2" t="s">
        <v>97</v>
      </c>
      <c r="P1500" s="2" t="s">
        <v>1216</v>
      </c>
      <c r="Q1500" s="2" t="s">
        <v>99</v>
      </c>
      <c r="R1500" s="2" t="s">
        <v>100</v>
      </c>
      <c r="S1500" s="2" t="s">
        <v>4745</v>
      </c>
      <c r="T1500" s="2" t="s">
        <v>787</v>
      </c>
      <c r="U1500" s="2" t="s">
        <v>2150</v>
      </c>
      <c r="V1500" s="2" t="s">
        <v>805</v>
      </c>
      <c r="W1500" s="2" t="s">
        <v>105</v>
      </c>
      <c r="X1500" s="2" t="s">
        <v>976</v>
      </c>
      <c r="Y1500" s="2" t="s">
        <v>583</v>
      </c>
      <c r="Z1500" s="4"/>
      <c r="AA1500" s="4">
        <f>=ROUNDDOWN({0},0)</f>
      </c>
      <c r="AB1500" s="5"/>
      <c r="AC1500" s="2" t="s">
        <v>4708</v>
      </c>
      <c r="AD1500" s="4">
        <v>100</v>
      </c>
      <c r="AE1500" s="4">
        <v>172</v>
      </c>
      <c r="AF1500" s="6">
        <v>63</v>
      </c>
      <c r="AG1500" s="6">
        <v>46</v>
      </c>
      <c r="AH1500" s="7">
        <v>0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>
        <v>0</v>
      </c>
      <c r="AP1500" s="4"/>
      <c r="AQ1500" s="8"/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/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/>
      <c r="BK1500" s="8"/>
      <c r="BL1500" s="2" t="s">
        <v>100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1338</v>
      </c>
      <c r="BV1500" s="2" t="s">
        <v>97</v>
      </c>
      <c r="BW1500" s="2" t="s">
        <v>100</v>
      </c>
      <c r="BX1500" s="2" t="s">
        <v>100</v>
      </c>
      <c r="BY1500" s="2" t="s">
        <v>112</v>
      </c>
      <c r="BZ1500" s="2" t="s">
        <v>100</v>
      </c>
    </row>
    <row r="1501">
      <c r="A1501" s="2" t="s">
        <v>4746</v>
      </c>
      <c r="B1501" s="2" t="s">
        <v>87</v>
      </c>
      <c r="C1501" s="2" t="s">
        <v>4613</v>
      </c>
      <c r="D1501" s="2" t="s">
        <v>89</v>
      </c>
      <c r="E1501" s="2" t="s">
        <v>2030</v>
      </c>
      <c r="F1501" s="2" t="s">
        <v>4723</v>
      </c>
      <c r="G1501" s="2" t="s">
        <v>4724</v>
      </c>
      <c r="H1501" s="2" t="s">
        <v>4725</v>
      </c>
      <c r="I1501" s="2" t="s">
        <v>4726</v>
      </c>
      <c r="J1501" s="2" t="s">
        <v>785</v>
      </c>
      <c r="K1501" s="2" t="s">
        <v>4744</v>
      </c>
      <c r="L1501" s="3">
        <v>30.95</v>
      </c>
      <c r="M1501" s="3">
        <v>32.5</v>
      </c>
      <c r="N1501" s="3">
        <v>64.99</v>
      </c>
      <c r="O1501" s="2" t="s">
        <v>97</v>
      </c>
      <c r="P1501" s="2" t="s">
        <v>1216</v>
      </c>
      <c r="Q1501" s="2" t="s">
        <v>99</v>
      </c>
      <c r="R1501" s="2" t="s">
        <v>100</v>
      </c>
      <c r="S1501" s="2" t="s">
        <v>4745</v>
      </c>
      <c r="T1501" s="2" t="s">
        <v>787</v>
      </c>
      <c r="U1501" s="2" t="s">
        <v>1508</v>
      </c>
      <c r="V1501" s="2" t="s">
        <v>805</v>
      </c>
      <c r="W1501" s="2" t="s">
        <v>105</v>
      </c>
      <c r="X1501" s="2" t="s">
        <v>976</v>
      </c>
      <c r="Y1501" s="2" t="s">
        <v>583</v>
      </c>
      <c r="Z1501" s="4"/>
      <c r="AA1501" s="4">
        <f>=ROUNDDOWN({0},0)</f>
      </c>
      <c r="AB1501" s="5"/>
      <c r="AC1501" s="2" t="s">
        <v>4708</v>
      </c>
      <c r="AD1501" s="4">
        <v>520</v>
      </c>
      <c r="AE1501" s="4">
        <v>870</v>
      </c>
      <c r="AF1501" s="6">
        <v>63</v>
      </c>
      <c r="AG1501" s="6">
        <v>46</v>
      </c>
      <c r="AH1501" s="7">
        <v>0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/>
      <c r="AQ1501" s="8"/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/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 t="s">
        <v>100</v>
      </c>
      <c r="BJ1501" s="4"/>
      <c r="BK1501" s="8"/>
      <c r="BL1501" s="2" t="s">
        <v>100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1338</v>
      </c>
      <c r="BV1501" s="2" t="s">
        <v>97</v>
      </c>
      <c r="BW1501" s="2" t="s">
        <v>100</v>
      </c>
      <c r="BX1501" s="2" t="s">
        <v>100</v>
      </c>
      <c r="BY1501" s="2" t="s">
        <v>112</v>
      </c>
      <c r="BZ1501" s="2" t="s">
        <v>100</v>
      </c>
    </row>
    <row r="1502">
      <c r="A1502" s="2" t="s">
        <v>4747</v>
      </c>
      <c r="B1502" s="2" t="s">
        <v>87</v>
      </c>
      <c r="C1502" s="2" t="s">
        <v>4613</v>
      </c>
      <c r="D1502" s="2" t="s">
        <v>89</v>
      </c>
      <c r="E1502" s="2" t="s">
        <v>2030</v>
      </c>
      <c r="F1502" s="2" t="s">
        <v>4723</v>
      </c>
      <c r="G1502" s="2" t="s">
        <v>4724</v>
      </c>
      <c r="H1502" s="2" t="s">
        <v>4725</v>
      </c>
      <c r="I1502" s="2" t="s">
        <v>4726</v>
      </c>
      <c r="J1502" s="2" t="s">
        <v>795</v>
      </c>
      <c r="K1502" s="2" t="s">
        <v>4744</v>
      </c>
      <c r="L1502" s="3">
        <v>33.33</v>
      </c>
      <c r="M1502" s="3">
        <v>35</v>
      </c>
      <c r="N1502" s="3">
        <v>69.99</v>
      </c>
      <c r="O1502" s="2" t="s">
        <v>97</v>
      </c>
      <c r="P1502" s="2" t="s">
        <v>1216</v>
      </c>
      <c r="Q1502" s="2" t="s">
        <v>99</v>
      </c>
      <c r="R1502" s="2" t="s">
        <v>100</v>
      </c>
      <c r="S1502" s="2" t="s">
        <v>4745</v>
      </c>
      <c r="T1502" s="2" t="s">
        <v>787</v>
      </c>
      <c r="U1502" s="2" t="s">
        <v>1508</v>
      </c>
      <c r="V1502" s="2" t="s">
        <v>805</v>
      </c>
      <c r="W1502" s="2" t="s">
        <v>105</v>
      </c>
      <c r="X1502" s="2" t="s">
        <v>976</v>
      </c>
      <c r="Y1502" s="2" t="s">
        <v>583</v>
      </c>
      <c r="Z1502" s="4"/>
      <c r="AA1502" s="4">
        <f>=ROUNDDOWN({0},0)</f>
      </c>
      <c r="AB1502" s="5"/>
      <c r="AC1502" s="2" t="s">
        <v>4708</v>
      </c>
      <c r="AD1502" s="4">
        <v>402</v>
      </c>
      <c r="AE1502" s="4">
        <v>676</v>
      </c>
      <c r="AF1502" s="6">
        <v>63</v>
      </c>
      <c r="AG1502" s="6">
        <v>46</v>
      </c>
      <c r="AH1502" s="7">
        <v>0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 t="s">
        <v>100</v>
      </c>
      <c r="AW1502" s="8" t="s">
        <v>100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 t="s">
        <v>100</v>
      </c>
      <c r="BJ1502" s="4"/>
      <c r="BK1502" s="8"/>
      <c r="BL1502" s="2" t="s">
        <v>100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1338</v>
      </c>
      <c r="BV1502" s="2" t="s">
        <v>97</v>
      </c>
      <c r="BW1502" s="2" t="s">
        <v>100</v>
      </c>
      <c r="BX1502" s="2" t="s">
        <v>100</v>
      </c>
      <c r="BY1502" s="2" t="s">
        <v>112</v>
      </c>
      <c r="BZ1502" s="2" t="s">
        <v>100</v>
      </c>
    </row>
    <row r="1503">
      <c r="A1503" s="2" t="s">
        <v>4748</v>
      </c>
      <c r="B1503" s="2" t="s">
        <v>87</v>
      </c>
      <c r="C1503" s="2" t="s">
        <v>4613</v>
      </c>
      <c r="D1503" s="2" t="s">
        <v>89</v>
      </c>
      <c r="E1503" s="2" t="s">
        <v>2030</v>
      </c>
      <c r="F1503" s="2" t="s">
        <v>4723</v>
      </c>
      <c r="G1503" s="2" t="s">
        <v>4724</v>
      </c>
      <c r="H1503" s="2" t="s">
        <v>4725</v>
      </c>
      <c r="I1503" s="2" t="s">
        <v>4726</v>
      </c>
      <c r="J1503" s="2" t="s">
        <v>673</v>
      </c>
      <c r="K1503" s="2" t="s">
        <v>763</v>
      </c>
      <c r="L1503" s="3">
        <v>23.8</v>
      </c>
      <c r="M1503" s="3">
        <v>24.99</v>
      </c>
      <c r="N1503" s="3">
        <v>49.99</v>
      </c>
      <c r="O1503" s="2" t="s">
        <v>97</v>
      </c>
      <c r="P1503" s="2" t="s">
        <v>98</v>
      </c>
      <c r="Q1503" s="2" t="s">
        <v>99</v>
      </c>
      <c r="R1503" s="2" t="s">
        <v>100</v>
      </c>
      <c r="S1503" s="2" t="s">
        <v>4749</v>
      </c>
      <c r="T1503" s="2" t="s">
        <v>787</v>
      </c>
      <c r="U1503" s="2" t="s">
        <v>2150</v>
      </c>
      <c r="V1503" s="2" t="s">
        <v>805</v>
      </c>
      <c r="W1503" s="2" t="s">
        <v>105</v>
      </c>
      <c r="X1503" s="2" t="s">
        <v>976</v>
      </c>
      <c r="Y1503" s="2" t="s">
        <v>4150</v>
      </c>
      <c r="Z1503" s="4">
        <v>242</v>
      </c>
      <c r="AA1503" s="4">
        <f>=ROUNDDOWN(30.25,0)</f>
      </c>
      <c r="AB1503" s="5">
        <v>8</v>
      </c>
      <c r="AC1503" s="2" t="s">
        <v>4708</v>
      </c>
      <c r="AD1503" s="4">
        <v>38</v>
      </c>
      <c r="AE1503" s="4">
        <v>190</v>
      </c>
      <c r="AF1503" s="6">
        <v>63</v>
      </c>
      <c r="AG1503" s="6">
        <v>46</v>
      </c>
      <c r="AH1503" s="7">
        <v>1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1</v>
      </c>
      <c r="BK1503" s="8">
        <v>25.19</v>
      </c>
      <c r="BL1503" s="2" t="s">
        <v>715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4750</v>
      </c>
      <c r="BX1503" s="2" t="s">
        <v>4751</v>
      </c>
      <c r="BY1503" s="2" t="s">
        <v>112</v>
      </c>
      <c r="BZ1503" s="2" t="s">
        <v>100</v>
      </c>
    </row>
    <row r="1504">
      <c r="A1504" s="2" t="s">
        <v>4752</v>
      </c>
      <c r="B1504" s="2" t="s">
        <v>87</v>
      </c>
      <c r="C1504" s="2" t="s">
        <v>4613</v>
      </c>
      <c r="D1504" s="2" t="s">
        <v>89</v>
      </c>
      <c r="E1504" s="2" t="s">
        <v>2030</v>
      </c>
      <c r="F1504" s="2" t="s">
        <v>4723</v>
      </c>
      <c r="G1504" s="2" t="s">
        <v>4724</v>
      </c>
      <c r="H1504" s="2" t="s">
        <v>4725</v>
      </c>
      <c r="I1504" s="2" t="s">
        <v>4726</v>
      </c>
      <c r="J1504" s="2" t="s">
        <v>785</v>
      </c>
      <c r="K1504" s="2" t="s">
        <v>763</v>
      </c>
      <c r="L1504" s="3">
        <v>30.95</v>
      </c>
      <c r="M1504" s="3">
        <v>32.5</v>
      </c>
      <c r="N1504" s="3">
        <v>64.99</v>
      </c>
      <c r="O1504" s="2" t="s">
        <v>97</v>
      </c>
      <c r="P1504" s="2" t="s">
        <v>98</v>
      </c>
      <c r="Q1504" s="2" t="s">
        <v>99</v>
      </c>
      <c r="R1504" s="2" t="s">
        <v>100</v>
      </c>
      <c r="S1504" s="2" t="s">
        <v>4749</v>
      </c>
      <c r="T1504" s="2" t="s">
        <v>787</v>
      </c>
      <c r="U1504" s="2" t="s">
        <v>1508</v>
      </c>
      <c r="V1504" s="2" t="s">
        <v>805</v>
      </c>
      <c r="W1504" s="2" t="s">
        <v>105</v>
      </c>
      <c r="X1504" s="2" t="s">
        <v>976</v>
      </c>
      <c r="Y1504" s="2" t="s">
        <v>4150</v>
      </c>
      <c r="Z1504" s="4">
        <v>958</v>
      </c>
      <c r="AA1504" s="4">
        <f>=ROUNDDOWN(41.6521739130435,0)</f>
      </c>
      <c r="AB1504" s="5">
        <v>23</v>
      </c>
      <c r="AC1504" s="2" t="s">
        <v>4708</v>
      </c>
      <c r="AD1504" s="4">
        <v>116</v>
      </c>
      <c r="AE1504" s="4">
        <v>538</v>
      </c>
      <c r="AF1504" s="6">
        <v>63</v>
      </c>
      <c r="AG1504" s="6">
        <v>46</v>
      </c>
      <c r="AH1504" s="7">
        <v>1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/>
      <c r="AQ1504" s="8"/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/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 t="s">
        <v>100</v>
      </c>
      <c r="BJ1504" s="4">
        <v>34</v>
      </c>
      <c r="BK1504" s="8">
        <v>1289.32</v>
      </c>
      <c r="BL1504" s="2" t="s">
        <v>4753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819</v>
      </c>
      <c r="BX1504" s="2" t="s">
        <v>4754</v>
      </c>
      <c r="BY1504" s="2" t="s">
        <v>112</v>
      </c>
      <c r="BZ1504" s="2" t="s">
        <v>100</v>
      </c>
    </row>
    <row r="1505">
      <c r="A1505" s="2" t="s">
        <v>4755</v>
      </c>
      <c r="B1505" s="2" t="s">
        <v>87</v>
      </c>
      <c r="C1505" s="2" t="s">
        <v>4613</v>
      </c>
      <c r="D1505" s="2" t="s">
        <v>89</v>
      </c>
      <c r="E1505" s="2" t="s">
        <v>2030</v>
      </c>
      <c r="F1505" s="2" t="s">
        <v>4723</v>
      </c>
      <c r="G1505" s="2" t="s">
        <v>4724</v>
      </c>
      <c r="H1505" s="2" t="s">
        <v>4725</v>
      </c>
      <c r="I1505" s="2" t="s">
        <v>4726</v>
      </c>
      <c r="J1505" s="2" t="s">
        <v>795</v>
      </c>
      <c r="K1505" s="2" t="s">
        <v>763</v>
      </c>
      <c r="L1505" s="3">
        <v>33.33</v>
      </c>
      <c r="M1505" s="3">
        <v>35</v>
      </c>
      <c r="N1505" s="3">
        <v>69.99</v>
      </c>
      <c r="O1505" s="2" t="s">
        <v>97</v>
      </c>
      <c r="P1505" s="2" t="s">
        <v>98</v>
      </c>
      <c r="Q1505" s="2" t="s">
        <v>99</v>
      </c>
      <c r="R1505" s="2" t="s">
        <v>100</v>
      </c>
      <c r="S1505" s="2" t="s">
        <v>4749</v>
      </c>
      <c r="T1505" s="2" t="s">
        <v>787</v>
      </c>
      <c r="U1505" s="2" t="s">
        <v>1508</v>
      </c>
      <c r="V1505" s="2" t="s">
        <v>805</v>
      </c>
      <c r="W1505" s="2" t="s">
        <v>105</v>
      </c>
      <c r="X1505" s="2" t="s">
        <v>976</v>
      </c>
      <c r="Y1505" s="2" t="s">
        <v>4150</v>
      </c>
      <c r="Z1505" s="4">
        <v>1181</v>
      </c>
      <c r="AA1505" s="4">
        <f>=ROUNDDOWN(36.90625,0)</f>
      </c>
      <c r="AB1505" s="5">
        <v>32</v>
      </c>
      <c r="AC1505" s="2" t="s">
        <v>4708</v>
      </c>
      <c r="AD1505" s="4">
        <v>202</v>
      </c>
      <c r="AE1505" s="4">
        <v>752</v>
      </c>
      <c r="AF1505" s="6">
        <v>63</v>
      </c>
      <c r="AG1505" s="6">
        <v>46</v>
      </c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/>
      <c r="AQ1505" s="8"/>
      <c r="AR1505" s="4"/>
      <c r="AS1505" s="8"/>
      <c r="AT1505" s="7"/>
      <c r="AU1505" s="7"/>
      <c r="AV1505" s="4" t="s">
        <v>100</v>
      </c>
      <c r="AW1505" s="8" t="s">
        <v>100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/>
      <c r="BC1505" s="4" t="s">
        <v>100</v>
      </c>
      <c r="BD1505" s="8" t="s">
        <v>100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 t="s">
        <v>100</v>
      </c>
      <c r="BJ1505" s="4">
        <v>22</v>
      </c>
      <c r="BK1505" s="8">
        <v>801.11</v>
      </c>
      <c r="BL1505" s="2" t="s">
        <v>4756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819</v>
      </c>
      <c r="BX1505" s="2" t="s">
        <v>100</v>
      </c>
      <c r="BY1505" s="2" t="s">
        <v>112</v>
      </c>
      <c r="BZ1505" s="2" t="s">
        <v>100</v>
      </c>
    </row>
    <row r="1506">
      <c r="A1506" s="2" t="s">
        <v>4757</v>
      </c>
      <c r="B1506" s="2" t="s">
        <v>87</v>
      </c>
      <c r="C1506" s="2" t="s">
        <v>4613</v>
      </c>
      <c r="D1506" s="2" t="s">
        <v>89</v>
      </c>
      <c r="E1506" s="2" t="s">
        <v>2030</v>
      </c>
      <c r="F1506" s="2" t="s">
        <v>4723</v>
      </c>
      <c r="G1506" s="2" t="s">
        <v>4724</v>
      </c>
      <c r="H1506" s="2" t="s">
        <v>4725</v>
      </c>
      <c r="I1506" s="2" t="s">
        <v>4726</v>
      </c>
      <c r="J1506" s="2" t="s">
        <v>673</v>
      </c>
      <c r="K1506" s="2" t="s">
        <v>409</v>
      </c>
      <c r="L1506" s="3">
        <v>23.8</v>
      </c>
      <c r="M1506" s="3">
        <v>24.99</v>
      </c>
      <c r="N1506" s="3">
        <v>49.99</v>
      </c>
      <c r="O1506" s="2" t="s">
        <v>97</v>
      </c>
      <c r="P1506" s="2" t="s">
        <v>1216</v>
      </c>
      <c r="Q1506" s="2" t="s">
        <v>99</v>
      </c>
      <c r="R1506" s="2" t="s">
        <v>100</v>
      </c>
      <c r="S1506" s="2" t="s">
        <v>4758</v>
      </c>
      <c r="T1506" s="2" t="s">
        <v>787</v>
      </c>
      <c r="U1506" s="2" t="s">
        <v>2150</v>
      </c>
      <c r="V1506" s="2" t="s">
        <v>805</v>
      </c>
      <c r="W1506" s="2" t="s">
        <v>105</v>
      </c>
      <c r="X1506" s="2" t="s">
        <v>976</v>
      </c>
      <c r="Y1506" s="2" t="s">
        <v>4759</v>
      </c>
      <c r="Z1506" s="4"/>
      <c r="AA1506" s="4">
        <f>=ROUNDDOWN({0},0)</f>
      </c>
      <c r="AB1506" s="5"/>
      <c r="AC1506" s="2" t="s">
        <v>132</v>
      </c>
      <c r="AD1506" s="4">
        <v>150</v>
      </c>
      <c r="AE1506" s="4">
        <v>338</v>
      </c>
      <c r="AF1506" s="6">
        <v>63</v>
      </c>
      <c r="AG1506" s="6">
        <v>46</v>
      </c>
      <c r="AH1506" s="7">
        <v>0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/>
      <c r="AQ1506" s="8"/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/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 t="s">
        <v>100</v>
      </c>
      <c r="BJ1506" s="4"/>
      <c r="BK1506" s="8"/>
      <c r="BL1506" s="2" t="s">
        <v>100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1338</v>
      </c>
      <c r="BV1506" s="2" t="s">
        <v>97</v>
      </c>
      <c r="BW1506" s="2" t="s">
        <v>100</v>
      </c>
      <c r="BX1506" s="2" t="s">
        <v>100</v>
      </c>
      <c r="BY1506" s="2" t="s">
        <v>112</v>
      </c>
      <c r="BZ1506" s="2" t="s">
        <v>100</v>
      </c>
    </row>
    <row r="1507">
      <c r="A1507" s="2" t="s">
        <v>4760</v>
      </c>
      <c r="B1507" s="2" t="s">
        <v>87</v>
      </c>
      <c r="C1507" s="2" t="s">
        <v>4613</v>
      </c>
      <c r="D1507" s="2" t="s">
        <v>89</v>
      </c>
      <c r="E1507" s="2" t="s">
        <v>2030</v>
      </c>
      <c r="F1507" s="2" t="s">
        <v>4723</v>
      </c>
      <c r="G1507" s="2" t="s">
        <v>4724</v>
      </c>
      <c r="H1507" s="2" t="s">
        <v>4725</v>
      </c>
      <c r="I1507" s="2" t="s">
        <v>4726</v>
      </c>
      <c r="J1507" s="2" t="s">
        <v>785</v>
      </c>
      <c r="K1507" s="2" t="s">
        <v>409</v>
      </c>
      <c r="L1507" s="3">
        <v>30.95</v>
      </c>
      <c r="M1507" s="3">
        <v>32.5</v>
      </c>
      <c r="N1507" s="3">
        <v>64.99</v>
      </c>
      <c r="O1507" s="2" t="s">
        <v>97</v>
      </c>
      <c r="P1507" s="2" t="s">
        <v>1216</v>
      </c>
      <c r="Q1507" s="2" t="s">
        <v>99</v>
      </c>
      <c r="R1507" s="2" t="s">
        <v>100</v>
      </c>
      <c r="S1507" s="2" t="s">
        <v>4758</v>
      </c>
      <c r="T1507" s="2" t="s">
        <v>787</v>
      </c>
      <c r="U1507" s="2" t="s">
        <v>1508</v>
      </c>
      <c r="V1507" s="2" t="s">
        <v>805</v>
      </c>
      <c r="W1507" s="2" t="s">
        <v>105</v>
      </c>
      <c r="X1507" s="2" t="s">
        <v>976</v>
      </c>
      <c r="Y1507" s="2" t="s">
        <v>4759</v>
      </c>
      <c r="Z1507" s="4"/>
      <c r="AA1507" s="4">
        <f>=ROUNDDOWN({0},0)</f>
      </c>
      <c r="AB1507" s="5"/>
      <c r="AC1507" s="2" t="s">
        <v>132</v>
      </c>
      <c r="AD1507" s="4">
        <v>684</v>
      </c>
      <c r="AE1507" s="4">
        <v>1544</v>
      </c>
      <c r="AF1507" s="6">
        <v>63</v>
      </c>
      <c r="AG1507" s="6">
        <v>46</v>
      </c>
      <c r="AH1507" s="7">
        <v>0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/>
      <c r="AQ1507" s="8"/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/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 t="s">
        <v>100</v>
      </c>
      <c r="BJ1507" s="4"/>
      <c r="BK1507" s="8"/>
      <c r="BL1507" s="2" t="s">
        <v>100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1338</v>
      </c>
      <c r="BV1507" s="2" t="s">
        <v>97</v>
      </c>
      <c r="BW1507" s="2" t="s">
        <v>100</v>
      </c>
      <c r="BX1507" s="2" t="s">
        <v>100</v>
      </c>
      <c r="BY1507" s="2" t="s">
        <v>112</v>
      </c>
      <c r="BZ1507" s="2" t="s">
        <v>100</v>
      </c>
    </row>
    <row r="1508">
      <c r="A1508" s="2" t="s">
        <v>4761</v>
      </c>
      <c r="B1508" s="2" t="s">
        <v>87</v>
      </c>
      <c r="C1508" s="2" t="s">
        <v>4613</v>
      </c>
      <c r="D1508" s="2" t="s">
        <v>89</v>
      </c>
      <c r="E1508" s="2" t="s">
        <v>2030</v>
      </c>
      <c r="F1508" s="2" t="s">
        <v>4723</v>
      </c>
      <c r="G1508" s="2" t="s">
        <v>4724</v>
      </c>
      <c r="H1508" s="2" t="s">
        <v>4725</v>
      </c>
      <c r="I1508" s="2" t="s">
        <v>4726</v>
      </c>
      <c r="J1508" s="2" t="s">
        <v>795</v>
      </c>
      <c r="K1508" s="2" t="s">
        <v>409</v>
      </c>
      <c r="L1508" s="3">
        <v>33.33</v>
      </c>
      <c r="M1508" s="3">
        <v>35</v>
      </c>
      <c r="N1508" s="3">
        <v>69.99</v>
      </c>
      <c r="O1508" s="2" t="s">
        <v>97</v>
      </c>
      <c r="P1508" s="2" t="s">
        <v>1216</v>
      </c>
      <c r="Q1508" s="2" t="s">
        <v>99</v>
      </c>
      <c r="R1508" s="2" t="s">
        <v>100</v>
      </c>
      <c r="S1508" s="2" t="s">
        <v>4758</v>
      </c>
      <c r="T1508" s="2" t="s">
        <v>787</v>
      </c>
      <c r="U1508" s="2" t="s">
        <v>1508</v>
      </c>
      <c r="V1508" s="2" t="s">
        <v>805</v>
      </c>
      <c r="W1508" s="2" t="s">
        <v>105</v>
      </c>
      <c r="X1508" s="2" t="s">
        <v>976</v>
      </c>
      <c r="Y1508" s="2" t="s">
        <v>4759</v>
      </c>
      <c r="Z1508" s="4"/>
      <c r="AA1508" s="4">
        <f>=ROUNDDOWN({0},0)</f>
      </c>
      <c r="AB1508" s="5"/>
      <c r="AC1508" s="2" t="s">
        <v>132</v>
      </c>
      <c r="AD1508" s="4">
        <v>522</v>
      </c>
      <c r="AE1508" s="4">
        <v>1186</v>
      </c>
      <c r="AF1508" s="6">
        <v>63</v>
      </c>
      <c r="AG1508" s="6">
        <v>46</v>
      </c>
      <c r="AH1508" s="7">
        <v>0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/>
      <c r="AQ1508" s="8"/>
      <c r="AR1508" s="4"/>
      <c r="AS1508" s="8"/>
      <c r="AT1508" s="7"/>
      <c r="AU1508" s="7"/>
      <c r="AV1508" s="4" t="s">
        <v>100</v>
      </c>
      <c r="AW1508" s="8" t="s">
        <v>100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/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 t="s">
        <v>100</v>
      </c>
      <c r="BJ1508" s="4"/>
      <c r="BK1508" s="8"/>
      <c r="BL1508" s="2" t="s">
        <v>100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1338</v>
      </c>
      <c r="BV1508" s="2" t="s">
        <v>97</v>
      </c>
      <c r="BW1508" s="2" t="s">
        <v>100</v>
      </c>
      <c r="BX1508" s="2" t="s">
        <v>100</v>
      </c>
      <c r="BY1508" s="2" t="s">
        <v>112</v>
      </c>
      <c r="BZ1508" s="2" t="s">
        <v>100</v>
      </c>
    </row>
    <row r="1509">
      <c r="A1509" s="2" t="s">
        <v>4762</v>
      </c>
      <c r="B1509" s="2" t="s">
        <v>87</v>
      </c>
      <c r="C1509" s="2" t="s">
        <v>4613</v>
      </c>
      <c r="D1509" s="2" t="s">
        <v>89</v>
      </c>
      <c r="E1509" s="2" t="s">
        <v>2030</v>
      </c>
      <c r="F1509" s="2" t="s">
        <v>4723</v>
      </c>
      <c r="G1509" s="2" t="s">
        <v>4724</v>
      </c>
      <c r="H1509" s="2" t="s">
        <v>4725</v>
      </c>
      <c r="I1509" s="2" t="s">
        <v>4726</v>
      </c>
      <c r="J1509" s="2" t="s">
        <v>673</v>
      </c>
      <c r="K1509" s="2" t="s">
        <v>416</v>
      </c>
      <c r="L1509" s="3">
        <v>23.8</v>
      </c>
      <c r="M1509" s="3">
        <v>24.99</v>
      </c>
      <c r="N1509" s="3">
        <v>49.99</v>
      </c>
      <c r="O1509" s="2" t="s">
        <v>97</v>
      </c>
      <c r="P1509" s="2" t="s">
        <v>1216</v>
      </c>
      <c r="Q1509" s="2" t="s">
        <v>99</v>
      </c>
      <c r="R1509" s="2" t="s">
        <v>100</v>
      </c>
      <c r="S1509" s="2" t="s">
        <v>4763</v>
      </c>
      <c r="T1509" s="2" t="s">
        <v>787</v>
      </c>
      <c r="U1509" s="2" t="s">
        <v>2150</v>
      </c>
      <c r="V1509" s="2" t="s">
        <v>805</v>
      </c>
      <c r="W1509" s="2" t="s">
        <v>105</v>
      </c>
      <c r="X1509" s="2" t="s">
        <v>976</v>
      </c>
      <c r="Y1509" s="2" t="s">
        <v>583</v>
      </c>
      <c r="Z1509" s="4"/>
      <c r="AA1509" s="4">
        <f>=ROUNDDOWN({0},0)</f>
      </c>
      <c r="AB1509" s="5"/>
      <c r="AC1509" s="2" t="s">
        <v>4708</v>
      </c>
      <c r="AD1509" s="4">
        <v>108</v>
      </c>
      <c r="AE1509" s="4">
        <v>210</v>
      </c>
      <c r="AF1509" s="6">
        <v>63</v>
      </c>
      <c r="AG1509" s="6">
        <v>46</v>
      </c>
      <c r="AH1509" s="7">
        <v>0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>
        <v>0</v>
      </c>
      <c r="AP1509" s="4"/>
      <c r="AQ1509" s="8"/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/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 t="s">
        <v>100</v>
      </c>
      <c r="BJ1509" s="4"/>
      <c r="BK1509" s="8"/>
      <c r="BL1509" s="2" t="s">
        <v>100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1338</v>
      </c>
      <c r="BV1509" s="2" t="s">
        <v>97</v>
      </c>
      <c r="BW1509" s="2" t="s">
        <v>100</v>
      </c>
      <c r="BX1509" s="2" t="s">
        <v>100</v>
      </c>
      <c r="BY1509" s="2" t="s">
        <v>112</v>
      </c>
      <c r="BZ1509" s="2" t="s">
        <v>100</v>
      </c>
    </row>
    <row r="1510">
      <c r="A1510" s="2" t="s">
        <v>4764</v>
      </c>
      <c r="B1510" s="2" t="s">
        <v>87</v>
      </c>
      <c r="C1510" s="2" t="s">
        <v>4613</v>
      </c>
      <c r="D1510" s="2" t="s">
        <v>89</v>
      </c>
      <c r="E1510" s="2" t="s">
        <v>2030</v>
      </c>
      <c r="F1510" s="2" t="s">
        <v>4723</v>
      </c>
      <c r="G1510" s="2" t="s">
        <v>4724</v>
      </c>
      <c r="H1510" s="2" t="s">
        <v>4725</v>
      </c>
      <c r="I1510" s="2" t="s">
        <v>4726</v>
      </c>
      <c r="J1510" s="2" t="s">
        <v>785</v>
      </c>
      <c r="K1510" s="2" t="s">
        <v>416</v>
      </c>
      <c r="L1510" s="3">
        <v>30.95</v>
      </c>
      <c r="M1510" s="3">
        <v>32.5</v>
      </c>
      <c r="N1510" s="3">
        <v>64.99</v>
      </c>
      <c r="O1510" s="2" t="s">
        <v>97</v>
      </c>
      <c r="P1510" s="2" t="s">
        <v>1216</v>
      </c>
      <c r="Q1510" s="2" t="s">
        <v>99</v>
      </c>
      <c r="R1510" s="2" t="s">
        <v>100</v>
      </c>
      <c r="S1510" s="2" t="s">
        <v>4763</v>
      </c>
      <c r="T1510" s="2" t="s">
        <v>787</v>
      </c>
      <c r="U1510" s="2" t="s">
        <v>1508</v>
      </c>
      <c r="V1510" s="2" t="s">
        <v>805</v>
      </c>
      <c r="W1510" s="2" t="s">
        <v>105</v>
      </c>
      <c r="X1510" s="2" t="s">
        <v>976</v>
      </c>
      <c r="Y1510" s="2" t="s">
        <v>583</v>
      </c>
      <c r="Z1510" s="4"/>
      <c r="AA1510" s="4">
        <f>=ROUNDDOWN({0},0)</f>
      </c>
      <c r="AB1510" s="5"/>
      <c r="AC1510" s="2" t="s">
        <v>4708</v>
      </c>
      <c r="AD1510" s="4">
        <v>508</v>
      </c>
      <c r="AE1510" s="4">
        <v>928</v>
      </c>
      <c r="AF1510" s="6">
        <v>63</v>
      </c>
      <c r="AG1510" s="6">
        <v>46</v>
      </c>
      <c r="AH1510" s="7">
        <v>0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/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 t="s">
        <v>100</v>
      </c>
      <c r="BJ1510" s="4"/>
      <c r="BK1510" s="8"/>
      <c r="BL1510" s="2" t="s">
        <v>100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1338</v>
      </c>
      <c r="BV1510" s="2" t="s">
        <v>97</v>
      </c>
      <c r="BW1510" s="2" t="s">
        <v>100</v>
      </c>
      <c r="BX1510" s="2" t="s">
        <v>100</v>
      </c>
      <c r="BY1510" s="2" t="s">
        <v>112</v>
      </c>
      <c r="BZ1510" s="2" t="s">
        <v>100</v>
      </c>
    </row>
    <row r="1511">
      <c r="A1511" s="2" t="s">
        <v>4765</v>
      </c>
      <c r="B1511" s="2" t="s">
        <v>87</v>
      </c>
      <c r="C1511" s="2" t="s">
        <v>4613</v>
      </c>
      <c r="D1511" s="2" t="s">
        <v>89</v>
      </c>
      <c r="E1511" s="2" t="s">
        <v>2030</v>
      </c>
      <c r="F1511" s="2" t="s">
        <v>4723</v>
      </c>
      <c r="G1511" s="2" t="s">
        <v>4724</v>
      </c>
      <c r="H1511" s="2" t="s">
        <v>4725</v>
      </c>
      <c r="I1511" s="2" t="s">
        <v>4726</v>
      </c>
      <c r="J1511" s="2" t="s">
        <v>795</v>
      </c>
      <c r="K1511" s="2" t="s">
        <v>416</v>
      </c>
      <c r="L1511" s="3">
        <v>33.33</v>
      </c>
      <c r="M1511" s="3">
        <v>35</v>
      </c>
      <c r="N1511" s="3">
        <v>69.99</v>
      </c>
      <c r="O1511" s="2" t="s">
        <v>97</v>
      </c>
      <c r="P1511" s="2" t="s">
        <v>1216</v>
      </c>
      <c r="Q1511" s="2" t="s">
        <v>99</v>
      </c>
      <c r="R1511" s="2" t="s">
        <v>100</v>
      </c>
      <c r="S1511" s="2" t="s">
        <v>4763</v>
      </c>
      <c r="T1511" s="2" t="s">
        <v>787</v>
      </c>
      <c r="U1511" s="2" t="s">
        <v>1508</v>
      </c>
      <c r="V1511" s="2" t="s">
        <v>805</v>
      </c>
      <c r="W1511" s="2" t="s">
        <v>105</v>
      </c>
      <c r="X1511" s="2" t="s">
        <v>976</v>
      </c>
      <c r="Y1511" s="2" t="s">
        <v>583</v>
      </c>
      <c r="Z1511" s="4"/>
      <c r="AA1511" s="4">
        <f>=ROUNDDOWN({0},0)</f>
      </c>
      <c r="AB1511" s="5"/>
      <c r="AC1511" s="2" t="s">
        <v>4708</v>
      </c>
      <c r="AD1511" s="4">
        <v>394</v>
      </c>
      <c r="AE1511" s="4">
        <v>722</v>
      </c>
      <c r="AF1511" s="6">
        <v>63</v>
      </c>
      <c r="AG1511" s="6">
        <v>46</v>
      </c>
      <c r="AH1511" s="7">
        <v>0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/>
      <c r="AQ1511" s="8"/>
      <c r="AR1511" s="4"/>
      <c r="AS1511" s="8"/>
      <c r="AT1511" s="7"/>
      <c r="AU1511" s="7"/>
      <c r="AV1511" s="4" t="s">
        <v>100</v>
      </c>
      <c r="AW1511" s="8" t="s">
        <v>100</v>
      </c>
      <c r="AX1511" s="4" t="s">
        <v>100</v>
      </c>
      <c r="AY1511" s="8" t="s">
        <v>100</v>
      </c>
      <c r="AZ1511" s="7" t="s">
        <v>100</v>
      </c>
      <c r="BA1511" s="7" t="s">
        <v>100</v>
      </c>
      <c r="BB1511" s="7"/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 t="s">
        <v>100</v>
      </c>
      <c r="BJ1511" s="4"/>
      <c r="BK1511" s="8"/>
      <c r="BL1511" s="2" t="s">
        <v>100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1338</v>
      </c>
      <c r="BV1511" s="2" t="s">
        <v>97</v>
      </c>
      <c r="BW1511" s="2" t="s">
        <v>100</v>
      </c>
      <c r="BX1511" s="2" t="s">
        <v>100</v>
      </c>
      <c r="BY1511" s="2" t="s">
        <v>112</v>
      </c>
      <c r="BZ1511" s="2" t="s">
        <v>100</v>
      </c>
    </row>
    <row r="1512">
      <c r="A1512" s="2" t="s">
        <v>4766</v>
      </c>
      <c r="B1512" s="2" t="s">
        <v>87</v>
      </c>
      <c r="C1512" s="2" t="s">
        <v>4613</v>
      </c>
      <c r="D1512" s="2" t="s">
        <v>89</v>
      </c>
      <c r="E1512" s="2" t="s">
        <v>2030</v>
      </c>
      <c r="F1512" s="2" t="s">
        <v>4767</v>
      </c>
      <c r="G1512" s="2" t="s">
        <v>4768</v>
      </c>
      <c r="H1512" s="2" t="s">
        <v>4769</v>
      </c>
      <c r="I1512" s="2" t="s">
        <v>4770</v>
      </c>
      <c r="J1512" s="2" t="s">
        <v>673</v>
      </c>
      <c r="K1512" s="2" t="s">
        <v>1555</v>
      </c>
      <c r="L1512" s="3">
        <v>21.42</v>
      </c>
      <c r="M1512" s="3">
        <v>22.49</v>
      </c>
      <c r="N1512" s="3">
        <v>44.99</v>
      </c>
      <c r="O1512" s="2" t="s">
        <v>97</v>
      </c>
      <c r="P1512" s="2" t="s">
        <v>341</v>
      </c>
      <c r="Q1512" s="2" t="s">
        <v>99</v>
      </c>
      <c r="R1512" s="2" t="s">
        <v>100</v>
      </c>
      <c r="S1512" s="2" t="s">
        <v>4771</v>
      </c>
      <c r="T1512" s="2" t="s">
        <v>787</v>
      </c>
      <c r="U1512" s="2" t="s">
        <v>2150</v>
      </c>
      <c r="V1512" s="2" t="s">
        <v>645</v>
      </c>
      <c r="W1512" s="2" t="s">
        <v>976</v>
      </c>
      <c r="X1512" s="2" t="s">
        <v>105</v>
      </c>
      <c r="Y1512" s="2" t="s">
        <v>4672</v>
      </c>
      <c r="Z1512" s="4">
        <v>1127</v>
      </c>
      <c r="AA1512" s="4">
        <f>=ROUNDDOWN(36.3548387096774,0)</f>
      </c>
      <c r="AB1512" s="5">
        <v>31</v>
      </c>
      <c r="AC1512" s="2" t="s">
        <v>132</v>
      </c>
      <c r="AD1512" s="4">
        <v>501</v>
      </c>
      <c r="AE1512" s="4">
        <v>1542</v>
      </c>
      <c r="AF1512" s="6">
        <v>63</v>
      </c>
      <c r="AG1512" s="6">
        <v>46</v>
      </c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/>
      <c r="AQ1512" s="8"/>
      <c r="AR1512" s="4"/>
      <c r="AS1512" s="8"/>
      <c r="AT1512" s="7"/>
      <c r="AU1512" s="7"/>
      <c r="AV1512" s="4">
        <v>1</v>
      </c>
      <c r="AW1512" s="8">
        <v>34.09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/>
      <c r="BC1512" s="4">
        <v>2</v>
      </c>
      <c r="BD1512" s="8">
        <v>65.08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>
        <v>0.5238</v>
      </c>
      <c r="BJ1512" s="4">
        <v>87</v>
      </c>
      <c r="BK1512" s="8">
        <v>2079.4</v>
      </c>
      <c r="BL1512" s="2" t="s">
        <v>4772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819</v>
      </c>
      <c r="BX1512" s="2" t="s">
        <v>4773</v>
      </c>
      <c r="BY1512" s="2" t="s">
        <v>112</v>
      </c>
      <c r="BZ1512" s="2" t="s">
        <v>100</v>
      </c>
    </row>
    <row r="1513">
      <c r="A1513" s="2" t="s">
        <v>4774</v>
      </c>
      <c r="B1513" s="2" t="s">
        <v>87</v>
      </c>
      <c r="C1513" s="2" t="s">
        <v>4613</v>
      </c>
      <c r="D1513" s="2" t="s">
        <v>89</v>
      </c>
      <c r="E1513" s="2" t="s">
        <v>2030</v>
      </c>
      <c r="F1513" s="2" t="s">
        <v>4767</v>
      </c>
      <c r="G1513" s="2" t="s">
        <v>4768</v>
      </c>
      <c r="H1513" s="2" t="s">
        <v>4769</v>
      </c>
      <c r="I1513" s="2" t="s">
        <v>4770</v>
      </c>
      <c r="J1513" s="2" t="s">
        <v>95</v>
      </c>
      <c r="K1513" s="2" t="s">
        <v>1555</v>
      </c>
      <c r="L1513" s="3">
        <v>25.23</v>
      </c>
      <c r="M1513" s="3">
        <v>26.49</v>
      </c>
      <c r="N1513" s="3">
        <v>52.99</v>
      </c>
      <c r="O1513" s="2" t="s">
        <v>97</v>
      </c>
      <c r="P1513" s="2" t="s">
        <v>1216</v>
      </c>
      <c r="Q1513" s="2" t="s">
        <v>99</v>
      </c>
      <c r="R1513" s="2" t="s">
        <v>100</v>
      </c>
      <c r="S1513" s="2" t="s">
        <v>4771</v>
      </c>
      <c r="T1513" s="2" t="s">
        <v>787</v>
      </c>
      <c r="U1513" s="2" t="s">
        <v>1508</v>
      </c>
      <c r="V1513" s="2" t="s">
        <v>645</v>
      </c>
      <c r="W1513" s="2" t="s">
        <v>976</v>
      </c>
      <c r="X1513" s="2" t="s">
        <v>105</v>
      </c>
      <c r="Y1513" s="2" t="s">
        <v>100</v>
      </c>
      <c r="Z1513" s="4"/>
      <c r="AA1513" s="4">
        <f>=ROUNDDOWN({0},0)</f>
      </c>
      <c r="AB1513" s="5"/>
      <c r="AC1513" s="2" t="s">
        <v>411</v>
      </c>
      <c r="AD1513" s="4">
        <v>861</v>
      </c>
      <c r="AE1513" s="4">
        <v>1692</v>
      </c>
      <c r="AF1513" s="6">
        <v>63</v>
      </c>
      <c r="AG1513" s="6">
        <v>46</v>
      </c>
      <c r="AH1513" s="7">
        <v>0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/>
      <c r="AQ1513" s="8"/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/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 t="s">
        <v>100</v>
      </c>
      <c r="BJ1513" s="4"/>
      <c r="BK1513" s="8"/>
      <c r="BL1513" s="2" t="s">
        <v>100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1338</v>
      </c>
      <c r="BV1513" s="2" t="s">
        <v>97</v>
      </c>
      <c r="BW1513" s="2" t="s">
        <v>100</v>
      </c>
      <c r="BX1513" s="2" t="s">
        <v>100</v>
      </c>
      <c r="BY1513" s="2" t="s">
        <v>112</v>
      </c>
      <c r="BZ1513" s="2" t="s">
        <v>100</v>
      </c>
    </row>
    <row r="1514">
      <c r="A1514" s="2" t="s">
        <v>4775</v>
      </c>
      <c r="B1514" s="2" t="s">
        <v>87</v>
      </c>
      <c r="C1514" s="2" t="s">
        <v>4613</v>
      </c>
      <c r="D1514" s="2" t="s">
        <v>89</v>
      </c>
      <c r="E1514" s="2" t="s">
        <v>2030</v>
      </c>
      <c r="F1514" s="2" t="s">
        <v>4767</v>
      </c>
      <c r="G1514" s="2" t="s">
        <v>4768</v>
      </c>
      <c r="H1514" s="2" t="s">
        <v>4769</v>
      </c>
      <c r="I1514" s="2" t="s">
        <v>4770</v>
      </c>
      <c r="J1514" s="2" t="s">
        <v>114</v>
      </c>
      <c r="K1514" s="2" t="s">
        <v>1555</v>
      </c>
      <c r="L1514" s="3">
        <v>26.19</v>
      </c>
      <c r="M1514" s="3">
        <v>27.5</v>
      </c>
      <c r="N1514" s="3">
        <v>54.99</v>
      </c>
      <c r="O1514" s="2" t="s">
        <v>97</v>
      </c>
      <c r="P1514" s="2" t="s">
        <v>341</v>
      </c>
      <c r="Q1514" s="2" t="s">
        <v>99</v>
      </c>
      <c r="R1514" s="2" t="s">
        <v>100</v>
      </c>
      <c r="S1514" s="2" t="s">
        <v>4771</v>
      </c>
      <c r="T1514" s="2" t="s">
        <v>787</v>
      </c>
      <c r="U1514" s="2" t="s">
        <v>1508</v>
      </c>
      <c r="V1514" s="2" t="s">
        <v>645</v>
      </c>
      <c r="W1514" s="2" t="s">
        <v>976</v>
      </c>
      <c r="X1514" s="2" t="s">
        <v>105</v>
      </c>
      <c r="Y1514" s="2" t="s">
        <v>4672</v>
      </c>
      <c r="Z1514" s="4">
        <v>3279</v>
      </c>
      <c r="AA1514" s="4">
        <f>=ROUNDDOWN(32.4653465346535,0)</f>
      </c>
      <c r="AB1514" s="5">
        <v>101</v>
      </c>
      <c r="AC1514" s="2" t="s">
        <v>132</v>
      </c>
      <c r="AD1514" s="4">
        <v>2049</v>
      </c>
      <c r="AE1514" s="4">
        <v>10161</v>
      </c>
      <c r="AF1514" s="6">
        <v>63</v>
      </c>
      <c r="AG1514" s="6">
        <v>46</v>
      </c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 t="s">
        <v>100</v>
      </c>
      <c r="BJ1514" s="4">
        <v>297</v>
      </c>
      <c r="BK1514" s="8">
        <v>10050.63</v>
      </c>
      <c r="BL1514" s="2" t="s">
        <v>4776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109</v>
      </c>
      <c r="BV1514" s="2" t="s">
        <v>97</v>
      </c>
      <c r="BW1514" s="2" t="s">
        <v>819</v>
      </c>
      <c r="BX1514" s="2" t="s">
        <v>4773</v>
      </c>
      <c r="BY1514" s="2" t="s">
        <v>112</v>
      </c>
      <c r="BZ1514" s="2" t="s">
        <v>100</v>
      </c>
    </row>
    <row r="1515">
      <c r="A1515" s="2" t="s">
        <v>4777</v>
      </c>
      <c r="B1515" s="2" t="s">
        <v>87</v>
      </c>
      <c r="C1515" s="2" t="s">
        <v>4613</v>
      </c>
      <c r="D1515" s="2" t="s">
        <v>89</v>
      </c>
      <c r="E1515" s="2" t="s">
        <v>2030</v>
      </c>
      <c r="F1515" s="2" t="s">
        <v>4767</v>
      </c>
      <c r="G1515" s="2" t="s">
        <v>4768</v>
      </c>
      <c r="H1515" s="2" t="s">
        <v>4769</v>
      </c>
      <c r="I1515" s="2" t="s">
        <v>4770</v>
      </c>
      <c r="J1515" s="2" t="s">
        <v>120</v>
      </c>
      <c r="K1515" s="2" t="s">
        <v>1555</v>
      </c>
      <c r="L1515" s="3">
        <v>28.57</v>
      </c>
      <c r="M1515" s="3">
        <v>30</v>
      </c>
      <c r="N1515" s="3">
        <v>59.99</v>
      </c>
      <c r="O1515" s="2" t="s">
        <v>97</v>
      </c>
      <c r="P1515" s="2" t="s">
        <v>341</v>
      </c>
      <c r="Q1515" s="2" t="s">
        <v>99</v>
      </c>
      <c r="R1515" s="2" t="s">
        <v>100</v>
      </c>
      <c r="S1515" s="2" t="s">
        <v>4771</v>
      </c>
      <c r="T1515" s="2" t="s">
        <v>787</v>
      </c>
      <c r="U1515" s="2" t="s">
        <v>1508</v>
      </c>
      <c r="V1515" s="2" t="s">
        <v>645</v>
      </c>
      <c r="W1515" s="2" t="s">
        <v>976</v>
      </c>
      <c r="X1515" s="2" t="s">
        <v>105</v>
      </c>
      <c r="Y1515" s="2" t="s">
        <v>2129</v>
      </c>
      <c r="Z1515" s="4">
        <v>1968</v>
      </c>
      <c r="AA1515" s="4">
        <f>=ROUNDDOWN(21.6263736263736,0)</f>
      </c>
      <c r="AB1515" s="5">
        <v>91</v>
      </c>
      <c r="AC1515" s="2" t="s">
        <v>1282</v>
      </c>
      <c r="AD1515" s="4">
        <v>1662</v>
      </c>
      <c r="AE1515" s="4">
        <v>16389</v>
      </c>
      <c r="AF1515" s="6">
        <v>63</v>
      </c>
      <c r="AG1515" s="6">
        <v>46</v>
      </c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>
        <v>0</v>
      </c>
      <c r="AP1515" s="4">
        <v>1</v>
      </c>
      <c r="AQ1515" s="8">
        <v>34.09</v>
      </c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>
        <v>1</v>
      </c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 t="s">
        <v>100</v>
      </c>
      <c r="BJ1515" s="4">
        <v>495</v>
      </c>
      <c r="BK1515" s="8">
        <v>20084.62</v>
      </c>
      <c r="BL1515" s="2" t="s">
        <v>4778</v>
      </c>
      <c r="BM1515" s="7">
        <v>0.002</v>
      </c>
      <c r="BN1515" s="7">
        <v>0.0017</v>
      </c>
      <c r="BO1515" s="4">
        <v>1</v>
      </c>
      <c r="BP1515" s="8">
        <v>34.09</v>
      </c>
      <c r="BQ1515" s="4"/>
      <c r="BR1515" s="8"/>
      <c r="BS1515" s="7"/>
      <c r="BT1515" s="7"/>
      <c r="BU1515" s="2" t="s">
        <v>109</v>
      </c>
      <c r="BV1515" s="2" t="s">
        <v>97</v>
      </c>
      <c r="BW1515" s="2" t="s">
        <v>819</v>
      </c>
      <c r="BX1515" s="2" t="s">
        <v>3026</v>
      </c>
      <c r="BY1515" s="2" t="s">
        <v>112</v>
      </c>
      <c r="BZ1515" s="2" t="s">
        <v>100</v>
      </c>
    </row>
    <row r="1516">
      <c r="A1516" s="2" t="s">
        <v>4779</v>
      </c>
      <c r="B1516" s="2" t="s">
        <v>87</v>
      </c>
      <c r="C1516" s="2" t="s">
        <v>4613</v>
      </c>
      <c r="D1516" s="2" t="s">
        <v>89</v>
      </c>
      <c r="E1516" s="2" t="s">
        <v>2030</v>
      </c>
      <c r="F1516" s="2" t="s">
        <v>4767</v>
      </c>
      <c r="G1516" s="2" t="s">
        <v>4768</v>
      </c>
      <c r="H1516" s="2" t="s">
        <v>4769</v>
      </c>
      <c r="I1516" s="2" t="s">
        <v>4770</v>
      </c>
      <c r="J1516" s="2" t="s">
        <v>124</v>
      </c>
      <c r="K1516" s="2" t="s">
        <v>1555</v>
      </c>
      <c r="L1516" s="3">
        <v>30.95</v>
      </c>
      <c r="M1516" s="3">
        <v>32.5</v>
      </c>
      <c r="N1516" s="3">
        <v>64.99</v>
      </c>
      <c r="O1516" s="2" t="s">
        <v>97</v>
      </c>
      <c r="P1516" s="2" t="s">
        <v>1216</v>
      </c>
      <c r="Q1516" s="2" t="s">
        <v>99</v>
      </c>
      <c r="R1516" s="2" t="s">
        <v>100</v>
      </c>
      <c r="S1516" s="2" t="s">
        <v>4771</v>
      </c>
      <c r="T1516" s="2" t="s">
        <v>787</v>
      </c>
      <c r="U1516" s="2" t="s">
        <v>1508</v>
      </c>
      <c r="V1516" s="2" t="s">
        <v>645</v>
      </c>
      <c r="W1516" s="2" t="s">
        <v>976</v>
      </c>
      <c r="X1516" s="2" t="s">
        <v>105</v>
      </c>
      <c r="Y1516" s="2" t="s">
        <v>100</v>
      </c>
      <c r="Z1516" s="4"/>
      <c r="AA1516" s="4">
        <f>=ROUNDDOWN({0},0)</f>
      </c>
      <c r="AB1516" s="5"/>
      <c r="AC1516" s="2" t="s">
        <v>411</v>
      </c>
      <c r="AD1516" s="4">
        <v>1455</v>
      </c>
      <c r="AE1516" s="4">
        <v>2304</v>
      </c>
      <c r="AF1516" s="6">
        <v>63</v>
      </c>
      <c r="AG1516" s="6">
        <v>46</v>
      </c>
      <c r="AH1516" s="7">
        <v>0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 t="s">
        <v>100</v>
      </c>
      <c r="BJ1516" s="4"/>
      <c r="BK1516" s="8"/>
      <c r="BL1516" s="2" t="s">
        <v>100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1338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4780</v>
      </c>
      <c r="B1517" s="2" t="s">
        <v>87</v>
      </c>
      <c r="C1517" s="2" t="s">
        <v>4613</v>
      </c>
      <c r="D1517" s="2" t="s">
        <v>89</v>
      </c>
      <c r="E1517" s="2" t="s">
        <v>2030</v>
      </c>
      <c r="F1517" s="2" t="s">
        <v>4767</v>
      </c>
      <c r="G1517" s="2" t="s">
        <v>4768</v>
      </c>
      <c r="H1517" s="2" t="s">
        <v>4769</v>
      </c>
      <c r="I1517" s="2" t="s">
        <v>4770</v>
      </c>
      <c r="J1517" s="2" t="s">
        <v>673</v>
      </c>
      <c r="K1517" s="2" t="s">
        <v>213</v>
      </c>
      <c r="L1517" s="3">
        <v>21.42</v>
      </c>
      <c r="M1517" s="3">
        <v>22.49</v>
      </c>
      <c r="N1517" s="3">
        <v>44.99</v>
      </c>
      <c r="O1517" s="2" t="s">
        <v>97</v>
      </c>
      <c r="P1517" s="2" t="s">
        <v>341</v>
      </c>
      <c r="Q1517" s="2" t="s">
        <v>99</v>
      </c>
      <c r="R1517" s="2" t="s">
        <v>100</v>
      </c>
      <c r="S1517" s="2" t="s">
        <v>4781</v>
      </c>
      <c r="T1517" s="2" t="s">
        <v>787</v>
      </c>
      <c r="U1517" s="2" t="s">
        <v>2150</v>
      </c>
      <c r="V1517" s="2" t="s">
        <v>645</v>
      </c>
      <c r="W1517" s="2" t="s">
        <v>976</v>
      </c>
      <c r="X1517" s="2" t="s">
        <v>105</v>
      </c>
      <c r="Y1517" s="2" t="s">
        <v>2129</v>
      </c>
      <c r="Z1517" s="4">
        <v>345</v>
      </c>
      <c r="AA1517" s="4">
        <f>=ROUNDDOWN(21.5625,0)</f>
      </c>
      <c r="AB1517" s="5">
        <v>16</v>
      </c>
      <c r="AC1517" s="2" t="s">
        <v>871</v>
      </c>
      <c r="AD1517" s="4">
        <v>12</v>
      </c>
      <c r="AE1517" s="4">
        <v>843</v>
      </c>
      <c r="AF1517" s="6">
        <v>63</v>
      </c>
      <c r="AG1517" s="6">
        <v>46</v>
      </c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>
        <v>1</v>
      </c>
      <c r="AW1517" s="8">
        <v>30.99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>
        <v>0.4762</v>
      </c>
      <c r="BJ1517" s="4">
        <v>37</v>
      </c>
      <c r="BK1517" s="8">
        <v>935.05</v>
      </c>
      <c r="BL1517" s="2" t="s">
        <v>4782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109</v>
      </c>
      <c r="BV1517" s="2" t="s">
        <v>97</v>
      </c>
      <c r="BW1517" s="2" t="s">
        <v>819</v>
      </c>
      <c r="BX1517" s="2" t="s">
        <v>1653</v>
      </c>
      <c r="BY1517" s="2" t="s">
        <v>112</v>
      </c>
      <c r="BZ1517" s="2" t="s">
        <v>100</v>
      </c>
    </row>
    <row r="1518">
      <c r="A1518" s="2" t="s">
        <v>4783</v>
      </c>
      <c r="B1518" s="2" t="s">
        <v>87</v>
      </c>
      <c r="C1518" s="2" t="s">
        <v>4613</v>
      </c>
      <c r="D1518" s="2" t="s">
        <v>89</v>
      </c>
      <c r="E1518" s="2" t="s">
        <v>2030</v>
      </c>
      <c r="F1518" s="2" t="s">
        <v>4767</v>
      </c>
      <c r="G1518" s="2" t="s">
        <v>4768</v>
      </c>
      <c r="H1518" s="2" t="s">
        <v>4769</v>
      </c>
      <c r="I1518" s="2" t="s">
        <v>4770</v>
      </c>
      <c r="J1518" s="2" t="s">
        <v>95</v>
      </c>
      <c r="K1518" s="2" t="s">
        <v>213</v>
      </c>
      <c r="L1518" s="3">
        <v>25.23</v>
      </c>
      <c r="M1518" s="3">
        <v>26.49</v>
      </c>
      <c r="N1518" s="3">
        <v>52.99</v>
      </c>
      <c r="O1518" s="2" t="s">
        <v>97</v>
      </c>
      <c r="P1518" s="2" t="s">
        <v>1216</v>
      </c>
      <c r="Q1518" s="2" t="s">
        <v>99</v>
      </c>
      <c r="R1518" s="2" t="s">
        <v>100</v>
      </c>
      <c r="S1518" s="2" t="s">
        <v>4781</v>
      </c>
      <c r="T1518" s="2" t="s">
        <v>787</v>
      </c>
      <c r="U1518" s="2" t="s">
        <v>1508</v>
      </c>
      <c r="V1518" s="2" t="s">
        <v>645</v>
      </c>
      <c r="W1518" s="2" t="s">
        <v>976</v>
      </c>
      <c r="X1518" s="2" t="s">
        <v>105</v>
      </c>
      <c r="Y1518" s="2" t="s">
        <v>100</v>
      </c>
      <c r="Z1518" s="4"/>
      <c r="AA1518" s="4">
        <f>=ROUNDDOWN({0},0)</f>
      </c>
      <c r="AB1518" s="5"/>
      <c r="AC1518" s="2" t="s">
        <v>411</v>
      </c>
      <c r="AD1518" s="4">
        <v>351</v>
      </c>
      <c r="AE1518" s="4">
        <v>759</v>
      </c>
      <c r="AF1518" s="6">
        <v>63</v>
      </c>
      <c r="AG1518" s="6">
        <v>46</v>
      </c>
      <c r="AH1518" s="7">
        <v>0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 t="s">
        <v>100</v>
      </c>
      <c r="BJ1518" s="4"/>
      <c r="BK1518" s="8"/>
      <c r="BL1518" s="2" t="s">
        <v>100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1338</v>
      </c>
      <c r="BV1518" s="2" t="s">
        <v>97</v>
      </c>
      <c r="BW1518" s="2" t="s">
        <v>100</v>
      </c>
      <c r="BX1518" s="2" t="s">
        <v>100</v>
      </c>
      <c r="BY1518" s="2" t="s">
        <v>112</v>
      </c>
      <c r="BZ1518" s="2" t="s">
        <v>100</v>
      </c>
    </row>
    <row r="1519">
      <c r="A1519" s="2" t="s">
        <v>4784</v>
      </c>
      <c r="B1519" s="2" t="s">
        <v>87</v>
      </c>
      <c r="C1519" s="2" t="s">
        <v>4613</v>
      </c>
      <c r="D1519" s="2" t="s">
        <v>89</v>
      </c>
      <c r="E1519" s="2" t="s">
        <v>2030</v>
      </c>
      <c r="F1519" s="2" t="s">
        <v>4767</v>
      </c>
      <c r="G1519" s="2" t="s">
        <v>4768</v>
      </c>
      <c r="H1519" s="2" t="s">
        <v>4769</v>
      </c>
      <c r="I1519" s="2" t="s">
        <v>4770</v>
      </c>
      <c r="J1519" s="2" t="s">
        <v>114</v>
      </c>
      <c r="K1519" s="2" t="s">
        <v>213</v>
      </c>
      <c r="L1519" s="3">
        <v>26.19</v>
      </c>
      <c r="M1519" s="3">
        <v>27.5</v>
      </c>
      <c r="N1519" s="3">
        <v>54.99</v>
      </c>
      <c r="O1519" s="2" t="s">
        <v>97</v>
      </c>
      <c r="P1519" s="2" t="s">
        <v>341</v>
      </c>
      <c r="Q1519" s="2" t="s">
        <v>99</v>
      </c>
      <c r="R1519" s="2" t="s">
        <v>100</v>
      </c>
      <c r="S1519" s="2" t="s">
        <v>4781</v>
      </c>
      <c r="T1519" s="2" t="s">
        <v>787</v>
      </c>
      <c r="U1519" s="2" t="s">
        <v>1508</v>
      </c>
      <c r="V1519" s="2" t="s">
        <v>645</v>
      </c>
      <c r="W1519" s="2" t="s">
        <v>976</v>
      </c>
      <c r="X1519" s="2" t="s">
        <v>105</v>
      </c>
      <c r="Y1519" s="2" t="s">
        <v>2129</v>
      </c>
      <c r="Z1519" s="4">
        <v>1408</v>
      </c>
      <c r="AA1519" s="4">
        <f>=ROUNDDOWN(26.5660377358491,0)</f>
      </c>
      <c r="AB1519" s="5">
        <v>53</v>
      </c>
      <c r="AC1519" s="2" t="s">
        <v>132</v>
      </c>
      <c r="AD1519" s="4">
        <v>600</v>
      </c>
      <c r="AE1519" s="4">
        <v>5238</v>
      </c>
      <c r="AF1519" s="6">
        <v>63</v>
      </c>
      <c r="AG1519" s="6">
        <v>46</v>
      </c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>
        <v>0</v>
      </c>
      <c r="AP1519" s="4">
        <v>1</v>
      </c>
      <c r="AQ1519" s="8">
        <v>30.99</v>
      </c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>
        <v>1</v>
      </c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 t="s">
        <v>100</v>
      </c>
      <c r="BJ1519" s="4">
        <v>78</v>
      </c>
      <c r="BK1519" s="8">
        <v>2616.93</v>
      </c>
      <c r="BL1519" s="2" t="s">
        <v>4785</v>
      </c>
      <c r="BM1519" s="7">
        <v>0.0128</v>
      </c>
      <c r="BN1519" s="7">
        <v>0.0118</v>
      </c>
      <c r="BO1519" s="4">
        <v>1</v>
      </c>
      <c r="BP1519" s="8">
        <v>30.99</v>
      </c>
      <c r="BQ1519" s="4"/>
      <c r="BR1519" s="8"/>
      <c r="BS1519" s="7"/>
      <c r="BT1519" s="7"/>
      <c r="BU1519" s="2" t="s">
        <v>109</v>
      </c>
      <c r="BV1519" s="2" t="s">
        <v>97</v>
      </c>
      <c r="BW1519" s="2" t="s">
        <v>819</v>
      </c>
      <c r="BX1519" s="2" t="s">
        <v>4624</v>
      </c>
      <c r="BY1519" s="2" t="s">
        <v>112</v>
      </c>
      <c r="BZ1519" s="2" t="s">
        <v>100</v>
      </c>
    </row>
    <row r="1520">
      <c r="A1520" s="2" t="s">
        <v>4786</v>
      </c>
      <c r="B1520" s="2" t="s">
        <v>87</v>
      </c>
      <c r="C1520" s="2" t="s">
        <v>4613</v>
      </c>
      <c r="D1520" s="2" t="s">
        <v>89</v>
      </c>
      <c r="E1520" s="2" t="s">
        <v>2030</v>
      </c>
      <c r="F1520" s="2" t="s">
        <v>4767</v>
      </c>
      <c r="G1520" s="2" t="s">
        <v>4768</v>
      </c>
      <c r="H1520" s="2" t="s">
        <v>4769</v>
      </c>
      <c r="I1520" s="2" t="s">
        <v>4770</v>
      </c>
      <c r="J1520" s="2" t="s">
        <v>120</v>
      </c>
      <c r="K1520" s="2" t="s">
        <v>213</v>
      </c>
      <c r="L1520" s="3">
        <v>28.57</v>
      </c>
      <c r="M1520" s="3">
        <v>30</v>
      </c>
      <c r="N1520" s="3">
        <v>59.99</v>
      </c>
      <c r="O1520" s="2" t="s">
        <v>97</v>
      </c>
      <c r="P1520" s="2" t="s">
        <v>341</v>
      </c>
      <c r="Q1520" s="2" t="s">
        <v>99</v>
      </c>
      <c r="R1520" s="2" t="s">
        <v>100</v>
      </c>
      <c r="S1520" s="2" t="s">
        <v>4781</v>
      </c>
      <c r="T1520" s="2" t="s">
        <v>787</v>
      </c>
      <c r="U1520" s="2" t="s">
        <v>1508</v>
      </c>
      <c r="V1520" s="2" t="s">
        <v>645</v>
      </c>
      <c r="W1520" s="2" t="s">
        <v>976</v>
      </c>
      <c r="X1520" s="2" t="s">
        <v>105</v>
      </c>
      <c r="Y1520" s="2" t="s">
        <v>2129</v>
      </c>
      <c r="Z1520" s="4">
        <v>1471</v>
      </c>
      <c r="AA1520" s="4">
        <f>=ROUNDDOWN(27.2407407407407,0)</f>
      </c>
      <c r="AB1520" s="5">
        <v>54</v>
      </c>
      <c r="AC1520" s="2" t="s">
        <v>871</v>
      </c>
      <c r="AD1520" s="4">
        <v>888</v>
      </c>
      <c r="AE1520" s="4">
        <v>6591</v>
      </c>
      <c r="AF1520" s="6">
        <v>63</v>
      </c>
      <c r="AG1520" s="6">
        <v>46</v>
      </c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>
        <v>0</v>
      </c>
      <c r="AP1520" s="4"/>
      <c r="AQ1520" s="8"/>
      <c r="AR1520" s="4"/>
      <c r="AS1520" s="8"/>
      <c r="AT1520" s="7"/>
      <c r="AU1520" s="7"/>
      <c r="AV1520" s="4" t="s">
        <v>100</v>
      </c>
      <c r="AW1520" s="8" t="s">
        <v>100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/>
      <c r="BC1520" s="4" t="s">
        <v>100</v>
      </c>
      <c r="BD1520" s="8" t="s">
        <v>100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 t="s">
        <v>100</v>
      </c>
      <c r="BJ1520" s="4">
        <v>105</v>
      </c>
      <c r="BK1520" s="8">
        <v>4309.1</v>
      </c>
      <c r="BL1520" s="2" t="s">
        <v>4787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109</v>
      </c>
      <c r="BV1520" s="2" t="s">
        <v>97</v>
      </c>
      <c r="BW1520" s="2" t="s">
        <v>819</v>
      </c>
      <c r="BX1520" s="2" t="s">
        <v>4754</v>
      </c>
      <c r="BY1520" s="2" t="s">
        <v>112</v>
      </c>
      <c r="BZ1520" s="2" t="s">
        <v>100</v>
      </c>
    </row>
    <row r="1521">
      <c r="A1521" s="2" t="s">
        <v>4788</v>
      </c>
      <c r="B1521" s="2" t="s">
        <v>87</v>
      </c>
      <c r="C1521" s="2" t="s">
        <v>4613</v>
      </c>
      <c r="D1521" s="2" t="s">
        <v>89</v>
      </c>
      <c r="E1521" s="2" t="s">
        <v>2030</v>
      </c>
      <c r="F1521" s="2" t="s">
        <v>4767</v>
      </c>
      <c r="G1521" s="2" t="s">
        <v>4768</v>
      </c>
      <c r="H1521" s="2" t="s">
        <v>4769</v>
      </c>
      <c r="I1521" s="2" t="s">
        <v>4770</v>
      </c>
      <c r="J1521" s="2" t="s">
        <v>124</v>
      </c>
      <c r="K1521" s="2" t="s">
        <v>213</v>
      </c>
      <c r="L1521" s="3">
        <v>30.95</v>
      </c>
      <c r="M1521" s="3">
        <v>32.5</v>
      </c>
      <c r="N1521" s="3">
        <v>64.99</v>
      </c>
      <c r="O1521" s="2" t="s">
        <v>97</v>
      </c>
      <c r="P1521" s="2" t="s">
        <v>1216</v>
      </c>
      <c r="Q1521" s="2" t="s">
        <v>99</v>
      </c>
      <c r="R1521" s="2" t="s">
        <v>100</v>
      </c>
      <c r="S1521" s="2" t="s">
        <v>4781</v>
      </c>
      <c r="T1521" s="2" t="s">
        <v>787</v>
      </c>
      <c r="U1521" s="2" t="s">
        <v>1508</v>
      </c>
      <c r="V1521" s="2" t="s">
        <v>645</v>
      </c>
      <c r="W1521" s="2" t="s">
        <v>976</v>
      </c>
      <c r="X1521" s="2" t="s">
        <v>105</v>
      </c>
      <c r="Y1521" s="2" t="s">
        <v>100</v>
      </c>
      <c r="Z1521" s="4"/>
      <c r="AA1521" s="4">
        <f>=ROUNDDOWN({0},0)</f>
      </c>
      <c r="AB1521" s="5"/>
      <c r="AC1521" s="2" t="s">
        <v>411</v>
      </c>
      <c r="AD1521" s="4">
        <v>462</v>
      </c>
      <c r="AE1521" s="4">
        <v>603</v>
      </c>
      <c r="AF1521" s="6">
        <v>63</v>
      </c>
      <c r="AG1521" s="6">
        <v>46</v>
      </c>
      <c r="AH1521" s="7">
        <v>0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>
        <v>0</v>
      </c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/>
      <c r="BK1521" s="8"/>
      <c r="BL1521" s="2" t="s">
        <v>100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1338</v>
      </c>
      <c r="BV1521" s="2" t="s">
        <v>97</v>
      </c>
      <c r="BW1521" s="2" t="s">
        <v>100</v>
      </c>
      <c r="BX1521" s="2" t="s">
        <v>100</v>
      </c>
      <c r="BY1521" s="2" t="s">
        <v>112</v>
      </c>
      <c r="BZ1521" s="2" t="s">
        <v>100</v>
      </c>
    </row>
    <row r="1522">
      <c r="A1522" s="2" t="s">
        <v>4789</v>
      </c>
      <c r="B1522" s="2" t="s">
        <v>87</v>
      </c>
      <c r="C1522" s="2" t="s">
        <v>4613</v>
      </c>
      <c r="D1522" s="2" t="s">
        <v>89</v>
      </c>
      <c r="E1522" s="2" t="s">
        <v>2030</v>
      </c>
      <c r="F1522" s="2" t="s">
        <v>4767</v>
      </c>
      <c r="G1522" s="2" t="s">
        <v>4768</v>
      </c>
      <c r="H1522" s="2" t="s">
        <v>4769</v>
      </c>
      <c r="I1522" s="2" t="s">
        <v>4770</v>
      </c>
      <c r="J1522" s="2" t="s">
        <v>673</v>
      </c>
      <c r="K1522" s="2" t="s">
        <v>185</v>
      </c>
      <c r="L1522" s="3">
        <v>21.42</v>
      </c>
      <c r="M1522" s="3">
        <v>22.49</v>
      </c>
      <c r="N1522" s="3">
        <v>44.99</v>
      </c>
      <c r="O1522" s="2" t="s">
        <v>97</v>
      </c>
      <c r="P1522" s="2" t="s">
        <v>1216</v>
      </c>
      <c r="Q1522" s="2" t="s">
        <v>99</v>
      </c>
      <c r="R1522" s="2" t="s">
        <v>100</v>
      </c>
      <c r="S1522" s="2" t="s">
        <v>4790</v>
      </c>
      <c r="T1522" s="2" t="s">
        <v>787</v>
      </c>
      <c r="U1522" s="2" t="s">
        <v>2150</v>
      </c>
      <c r="V1522" s="2" t="s">
        <v>645</v>
      </c>
      <c r="W1522" s="2" t="s">
        <v>976</v>
      </c>
      <c r="X1522" s="2" t="s">
        <v>105</v>
      </c>
      <c r="Y1522" s="2" t="s">
        <v>4791</v>
      </c>
      <c r="Z1522" s="4">
        <v>205</v>
      </c>
      <c r="AA1522" s="4">
        <f>=ROUNDDOWN(7.32142857142857,0)</f>
      </c>
      <c r="AB1522" s="5">
        <v>28</v>
      </c>
      <c r="AC1522" s="2" t="s">
        <v>871</v>
      </c>
      <c r="AD1522" s="4">
        <v>15</v>
      </c>
      <c r="AE1522" s="4">
        <v>915</v>
      </c>
      <c r="AF1522" s="6">
        <v>63</v>
      </c>
      <c r="AG1522" s="6">
        <v>46</v>
      </c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 t="s">
        <v>100</v>
      </c>
      <c r="BJ1522" s="4">
        <v>30</v>
      </c>
      <c r="BK1522" s="8">
        <v>635.53</v>
      </c>
      <c r="BL1522" s="2" t="s">
        <v>153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109</v>
      </c>
      <c r="BV1522" s="2" t="s">
        <v>97</v>
      </c>
      <c r="BW1522" s="2" t="s">
        <v>4792</v>
      </c>
      <c r="BX1522" s="2" t="s">
        <v>2130</v>
      </c>
      <c r="BY1522" s="2" t="s">
        <v>112</v>
      </c>
      <c r="BZ1522" s="2" t="s">
        <v>100</v>
      </c>
    </row>
    <row r="1523">
      <c r="A1523" s="2" t="s">
        <v>4793</v>
      </c>
      <c r="B1523" s="2" t="s">
        <v>87</v>
      </c>
      <c r="C1523" s="2" t="s">
        <v>4613</v>
      </c>
      <c r="D1523" s="2" t="s">
        <v>89</v>
      </c>
      <c r="E1523" s="2" t="s">
        <v>2030</v>
      </c>
      <c r="F1523" s="2" t="s">
        <v>4767</v>
      </c>
      <c r="G1523" s="2" t="s">
        <v>4768</v>
      </c>
      <c r="H1523" s="2" t="s">
        <v>4769</v>
      </c>
      <c r="I1523" s="2" t="s">
        <v>4770</v>
      </c>
      <c r="J1523" s="2" t="s">
        <v>95</v>
      </c>
      <c r="K1523" s="2" t="s">
        <v>185</v>
      </c>
      <c r="L1523" s="3">
        <v>25.23</v>
      </c>
      <c r="M1523" s="3">
        <v>26.49</v>
      </c>
      <c r="N1523" s="3">
        <v>52.99</v>
      </c>
      <c r="O1523" s="2" t="s">
        <v>97</v>
      </c>
      <c r="P1523" s="2" t="s">
        <v>1216</v>
      </c>
      <c r="Q1523" s="2" t="s">
        <v>99</v>
      </c>
      <c r="R1523" s="2" t="s">
        <v>100</v>
      </c>
      <c r="S1523" s="2" t="s">
        <v>4790</v>
      </c>
      <c r="T1523" s="2" t="s">
        <v>787</v>
      </c>
      <c r="U1523" s="2" t="s">
        <v>1508</v>
      </c>
      <c r="V1523" s="2" t="s">
        <v>645</v>
      </c>
      <c r="W1523" s="2" t="s">
        <v>976</v>
      </c>
      <c r="X1523" s="2" t="s">
        <v>105</v>
      </c>
      <c r="Y1523" s="2" t="s">
        <v>100</v>
      </c>
      <c r="Z1523" s="4"/>
      <c r="AA1523" s="4">
        <f>=ROUNDDOWN({0},0)</f>
      </c>
      <c r="AB1523" s="5"/>
      <c r="AC1523" s="2" t="s">
        <v>2598</v>
      </c>
      <c r="AD1523" s="4">
        <v>258</v>
      </c>
      <c r="AE1523" s="4">
        <v>633</v>
      </c>
      <c r="AF1523" s="6">
        <v>63</v>
      </c>
      <c r="AG1523" s="6">
        <v>46</v>
      </c>
      <c r="AH1523" s="7">
        <v>0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 t="s">
        <v>100</v>
      </c>
      <c r="BJ1523" s="4"/>
      <c r="BK1523" s="8"/>
      <c r="BL1523" s="2" t="s">
        <v>100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1338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4794</v>
      </c>
      <c r="B1524" s="2" t="s">
        <v>87</v>
      </c>
      <c r="C1524" s="2" t="s">
        <v>4613</v>
      </c>
      <c r="D1524" s="2" t="s">
        <v>89</v>
      </c>
      <c r="E1524" s="2" t="s">
        <v>2030</v>
      </c>
      <c r="F1524" s="2" t="s">
        <v>4767</v>
      </c>
      <c r="G1524" s="2" t="s">
        <v>4768</v>
      </c>
      <c r="H1524" s="2" t="s">
        <v>4769</v>
      </c>
      <c r="I1524" s="2" t="s">
        <v>4770</v>
      </c>
      <c r="J1524" s="2" t="s">
        <v>114</v>
      </c>
      <c r="K1524" s="2" t="s">
        <v>185</v>
      </c>
      <c r="L1524" s="3">
        <v>26.19</v>
      </c>
      <c r="M1524" s="3">
        <v>27.5</v>
      </c>
      <c r="N1524" s="3">
        <v>54.99</v>
      </c>
      <c r="O1524" s="2" t="s">
        <v>97</v>
      </c>
      <c r="P1524" s="2" t="s">
        <v>1216</v>
      </c>
      <c r="Q1524" s="2" t="s">
        <v>99</v>
      </c>
      <c r="R1524" s="2" t="s">
        <v>100</v>
      </c>
      <c r="S1524" s="2" t="s">
        <v>4790</v>
      </c>
      <c r="T1524" s="2" t="s">
        <v>787</v>
      </c>
      <c r="U1524" s="2" t="s">
        <v>1508</v>
      </c>
      <c r="V1524" s="2" t="s">
        <v>645</v>
      </c>
      <c r="W1524" s="2" t="s">
        <v>976</v>
      </c>
      <c r="X1524" s="2" t="s">
        <v>105</v>
      </c>
      <c r="Y1524" s="2" t="s">
        <v>4791</v>
      </c>
      <c r="Z1524" s="4">
        <v>1130</v>
      </c>
      <c r="AA1524" s="4">
        <f>=ROUNDDOWN(12.4175824175824,0)</f>
      </c>
      <c r="AB1524" s="5">
        <v>91</v>
      </c>
      <c r="AC1524" s="2" t="s">
        <v>871</v>
      </c>
      <c r="AD1524" s="4">
        <v>366</v>
      </c>
      <c r="AE1524" s="4">
        <v>3996</v>
      </c>
      <c r="AF1524" s="6">
        <v>63</v>
      </c>
      <c r="AG1524" s="6">
        <v>46</v>
      </c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 t="s">
        <v>100</v>
      </c>
      <c r="BJ1524" s="4">
        <v>57</v>
      </c>
      <c r="BK1524" s="8">
        <v>1829.6</v>
      </c>
      <c r="BL1524" s="2" t="s">
        <v>4795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109</v>
      </c>
      <c r="BV1524" s="2" t="s">
        <v>97</v>
      </c>
      <c r="BW1524" s="2" t="s">
        <v>4791</v>
      </c>
      <c r="BX1524" s="2" t="s">
        <v>4305</v>
      </c>
      <c r="BY1524" s="2" t="s">
        <v>112</v>
      </c>
      <c r="BZ1524" s="2" t="s">
        <v>100</v>
      </c>
    </row>
    <row r="1525">
      <c r="A1525" s="2" t="s">
        <v>4796</v>
      </c>
      <c r="B1525" s="2" t="s">
        <v>87</v>
      </c>
      <c r="C1525" s="2" t="s">
        <v>4613</v>
      </c>
      <c r="D1525" s="2" t="s">
        <v>89</v>
      </c>
      <c r="E1525" s="2" t="s">
        <v>2030</v>
      </c>
      <c r="F1525" s="2" t="s">
        <v>4767</v>
      </c>
      <c r="G1525" s="2" t="s">
        <v>4768</v>
      </c>
      <c r="H1525" s="2" t="s">
        <v>4769</v>
      </c>
      <c r="I1525" s="2" t="s">
        <v>4770</v>
      </c>
      <c r="J1525" s="2" t="s">
        <v>120</v>
      </c>
      <c r="K1525" s="2" t="s">
        <v>185</v>
      </c>
      <c r="L1525" s="3">
        <v>28.57</v>
      </c>
      <c r="M1525" s="3">
        <v>30</v>
      </c>
      <c r="N1525" s="3">
        <v>59.99</v>
      </c>
      <c r="O1525" s="2" t="s">
        <v>97</v>
      </c>
      <c r="P1525" s="2" t="s">
        <v>1216</v>
      </c>
      <c r="Q1525" s="2" t="s">
        <v>99</v>
      </c>
      <c r="R1525" s="2" t="s">
        <v>100</v>
      </c>
      <c r="S1525" s="2" t="s">
        <v>4790</v>
      </c>
      <c r="T1525" s="2" t="s">
        <v>787</v>
      </c>
      <c r="U1525" s="2" t="s">
        <v>1508</v>
      </c>
      <c r="V1525" s="2" t="s">
        <v>645</v>
      </c>
      <c r="W1525" s="2" t="s">
        <v>976</v>
      </c>
      <c r="X1525" s="2" t="s">
        <v>105</v>
      </c>
      <c r="Y1525" s="2" t="s">
        <v>4797</v>
      </c>
      <c r="Z1525" s="4">
        <v>665</v>
      </c>
      <c r="AA1525" s="4">
        <f>=ROUNDDOWN(5.54166666666667,0)</f>
      </c>
      <c r="AB1525" s="5">
        <v>120</v>
      </c>
      <c r="AC1525" s="2" t="s">
        <v>871</v>
      </c>
      <c r="AD1525" s="4">
        <v>990</v>
      </c>
      <c r="AE1525" s="4">
        <v>5877</v>
      </c>
      <c r="AF1525" s="6">
        <v>63</v>
      </c>
      <c r="AG1525" s="6">
        <v>46</v>
      </c>
      <c r="AH1525" s="7">
        <v>1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 t="s">
        <v>100</v>
      </c>
      <c r="BJ1525" s="4">
        <v>66</v>
      </c>
      <c r="BK1525" s="8">
        <v>2454.63</v>
      </c>
      <c r="BL1525" s="2" t="s">
        <v>153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109</v>
      </c>
      <c r="BV1525" s="2" t="s">
        <v>97</v>
      </c>
      <c r="BW1525" s="2" t="s">
        <v>4703</v>
      </c>
      <c r="BX1525" s="2" t="s">
        <v>2130</v>
      </c>
      <c r="BY1525" s="2" t="s">
        <v>112</v>
      </c>
      <c r="BZ1525" s="2" t="s">
        <v>100</v>
      </c>
    </row>
    <row r="1526">
      <c r="A1526" s="2" t="s">
        <v>4798</v>
      </c>
      <c r="B1526" s="2" t="s">
        <v>87</v>
      </c>
      <c r="C1526" s="2" t="s">
        <v>4613</v>
      </c>
      <c r="D1526" s="2" t="s">
        <v>89</v>
      </c>
      <c r="E1526" s="2" t="s">
        <v>2030</v>
      </c>
      <c r="F1526" s="2" t="s">
        <v>4767</v>
      </c>
      <c r="G1526" s="2" t="s">
        <v>4768</v>
      </c>
      <c r="H1526" s="2" t="s">
        <v>4769</v>
      </c>
      <c r="I1526" s="2" t="s">
        <v>4770</v>
      </c>
      <c r="J1526" s="2" t="s">
        <v>124</v>
      </c>
      <c r="K1526" s="2" t="s">
        <v>185</v>
      </c>
      <c r="L1526" s="3">
        <v>30.95</v>
      </c>
      <c r="M1526" s="3">
        <v>32.5</v>
      </c>
      <c r="N1526" s="3">
        <v>64.99</v>
      </c>
      <c r="O1526" s="2" t="s">
        <v>97</v>
      </c>
      <c r="P1526" s="2" t="s">
        <v>1216</v>
      </c>
      <c r="Q1526" s="2" t="s">
        <v>99</v>
      </c>
      <c r="R1526" s="2" t="s">
        <v>100</v>
      </c>
      <c r="S1526" s="2" t="s">
        <v>4790</v>
      </c>
      <c r="T1526" s="2" t="s">
        <v>787</v>
      </c>
      <c r="U1526" s="2" t="s">
        <v>1508</v>
      </c>
      <c r="V1526" s="2" t="s">
        <v>645</v>
      </c>
      <c r="W1526" s="2" t="s">
        <v>976</v>
      </c>
      <c r="X1526" s="2" t="s">
        <v>105</v>
      </c>
      <c r="Y1526" s="2" t="s">
        <v>100</v>
      </c>
      <c r="Z1526" s="4"/>
      <c r="AA1526" s="4">
        <f>=ROUNDDOWN({0},0)</f>
      </c>
      <c r="AB1526" s="5"/>
      <c r="AC1526" s="2" t="s">
        <v>2598</v>
      </c>
      <c r="AD1526" s="4">
        <v>321</v>
      </c>
      <c r="AE1526" s="4">
        <v>603</v>
      </c>
      <c r="AF1526" s="6">
        <v>63</v>
      </c>
      <c r="AG1526" s="6">
        <v>46</v>
      </c>
      <c r="AH1526" s="7">
        <v>0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>
        <v>0</v>
      </c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 t="s">
        <v>100</v>
      </c>
      <c r="BJ1526" s="4"/>
      <c r="BK1526" s="8"/>
      <c r="BL1526" s="2" t="s">
        <v>100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1338</v>
      </c>
      <c r="BV1526" s="2" t="s">
        <v>97</v>
      </c>
      <c r="BW1526" s="2" t="s">
        <v>100</v>
      </c>
      <c r="BX1526" s="2" t="s">
        <v>100</v>
      </c>
      <c r="BY1526" s="2" t="s">
        <v>112</v>
      </c>
      <c r="BZ1526" s="2" t="s">
        <v>100</v>
      </c>
    </row>
    <row r="1527">
      <c r="A1527" s="2" t="s">
        <v>4799</v>
      </c>
      <c r="B1527" s="2" t="s">
        <v>87</v>
      </c>
      <c r="C1527" s="2" t="s">
        <v>4613</v>
      </c>
      <c r="D1527" s="2" t="s">
        <v>89</v>
      </c>
      <c r="E1527" s="2" t="s">
        <v>2030</v>
      </c>
      <c r="F1527" s="2" t="s">
        <v>4767</v>
      </c>
      <c r="G1527" s="2" t="s">
        <v>4768</v>
      </c>
      <c r="H1527" s="2" t="s">
        <v>4769</v>
      </c>
      <c r="I1527" s="2" t="s">
        <v>4770</v>
      </c>
      <c r="J1527" s="2" t="s">
        <v>673</v>
      </c>
      <c r="K1527" s="2" t="s">
        <v>3669</v>
      </c>
      <c r="L1527" s="3">
        <v>21.42</v>
      </c>
      <c r="M1527" s="3">
        <v>22.49</v>
      </c>
      <c r="N1527" s="3">
        <v>44.99</v>
      </c>
      <c r="O1527" s="2" t="s">
        <v>97</v>
      </c>
      <c r="P1527" s="2" t="s">
        <v>1216</v>
      </c>
      <c r="Q1527" s="2" t="s">
        <v>99</v>
      </c>
      <c r="R1527" s="2" t="s">
        <v>100</v>
      </c>
      <c r="S1527" s="2" t="s">
        <v>4800</v>
      </c>
      <c r="T1527" s="2" t="s">
        <v>787</v>
      </c>
      <c r="U1527" s="2" t="s">
        <v>2150</v>
      </c>
      <c r="V1527" s="2" t="s">
        <v>645</v>
      </c>
      <c r="W1527" s="2" t="s">
        <v>976</v>
      </c>
      <c r="X1527" s="2" t="s">
        <v>105</v>
      </c>
      <c r="Y1527" s="2" t="s">
        <v>4797</v>
      </c>
      <c r="Z1527" s="4">
        <v>21</v>
      </c>
      <c r="AA1527" s="4">
        <f>=ROUNDDOWN(0.5,0)</f>
      </c>
      <c r="AB1527" s="5">
        <v>42</v>
      </c>
      <c r="AC1527" s="2" t="s">
        <v>1282</v>
      </c>
      <c r="AD1527" s="4">
        <v>15</v>
      </c>
      <c r="AE1527" s="4">
        <v>1434</v>
      </c>
      <c r="AF1527" s="6">
        <v>63</v>
      </c>
      <c r="AG1527" s="6">
        <v>46</v>
      </c>
      <c r="AH1527" s="7">
        <v>1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 t="s">
        <v>100</v>
      </c>
      <c r="BJ1527" s="4">
        <v>47</v>
      </c>
      <c r="BK1527" s="8">
        <v>1058.39</v>
      </c>
      <c r="BL1527" s="2" t="s">
        <v>4801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109</v>
      </c>
      <c r="BV1527" s="2" t="s">
        <v>97</v>
      </c>
      <c r="BW1527" s="2" t="s">
        <v>4792</v>
      </c>
      <c r="BX1527" s="2" t="s">
        <v>4802</v>
      </c>
      <c r="BY1527" s="2" t="s">
        <v>112</v>
      </c>
      <c r="BZ1527" s="2" t="s">
        <v>100</v>
      </c>
    </row>
    <row r="1528">
      <c r="A1528" s="2" t="s">
        <v>4803</v>
      </c>
      <c r="B1528" s="2" t="s">
        <v>87</v>
      </c>
      <c r="C1528" s="2" t="s">
        <v>4613</v>
      </c>
      <c r="D1528" s="2" t="s">
        <v>89</v>
      </c>
      <c r="E1528" s="2" t="s">
        <v>2030</v>
      </c>
      <c r="F1528" s="2" t="s">
        <v>4767</v>
      </c>
      <c r="G1528" s="2" t="s">
        <v>4768</v>
      </c>
      <c r="H1528" s="2" t="s">
        <v>4769</v>
      </c>
      <c r="I1528" s="2" t="s">
        <v>4770</v>
      </c>
      <c r="J1528" s="2" t="s">
        <v>95</v>
      </c>
      <c r="K1528" s="2" t="s">
        <v>3669</v>
      </c>
      <c r="L1528" s="3">
        <v>25.23</v>
      </c>
      <c r="M1528" s="3">
        <v>26.49</v>
      </c>
      <c r="N1528" s="3">
        <v>52.99</v>
      </c>
      <c r="O1528" s="2" t="s">
        <v>97</v>
      </c>
      <c r="P1528" s="2" t="s">
        <v>1216</v>
      </c>
      <c r="Q1528" s="2" t="s">
        <v>99</v>
      </c>
      <c r="R1528" s="2" t="s">
        <v>100</v>
      </c>
      <c r="S1528" s="2" t="s">
        <v>4800</v>
      </c>
      <c r="T1528" s="2" t="s">
        <v>787</v>
      </c>
      <c r="U1528" s="2" t="s">
        <v>1508</v>
      </c>
      <c r="V1528" s="2" t="s">
        <v>645</v>
      </c>
      <c r="W1528" s="2" t="s">
        <v>976</v>
      </c>
      <c r="X1528" s="2" t="s">
        <v>105</v>
      </c>
      <c r="Y1528" s="2" t="s">
        <v>100</v>
      </c>
      <c r="Z1528" s="4"/>
      <c r="AA1528" s="4">
        <f>=ROUNDDOWN({0},0)</f>
      </c>
      <c r="AB1528" s="5"/>
      <c r="AC1528" s="2" t="s">
        <v>2598</v>
      </c>
      <c r="AD1528" s="4">
        <v>450</v>
      </c>
      <c r="AE1528" s="4">
        <v>1146</v>
      </c>
      <c r="AF1528" s="6">
        <v>63</v>
      </c>
      <c r="AG1528" s="6">
        <v>46</v>
      </c>
      <c r="AH1528" s="7">
        <v>0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>
        <v>0</v>
      </c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 t="s">
        <v>100</v>
      </c>
      <c r="BJ1528" s="4"/>
      <c r="BK1528" s="8"/>
      <c r="BL1528" s="2" t="s">
        <v>100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1338</v>
      </c>
      <c r="BV1528" s="2" t="s">
        <v>97</v>
      </c>
      <c r="BW1528" s="2" t="s">
        <v>100</v>
      </c>
      <c r="BX1528" s="2" t="s">
        <v>100</v>
      </c>
      <c r="BY1528" s="2" t="s">
        <v>112</v>
      </c>
      <c r="BZ1528" s="2" t="s">
        <v>100</v>
      </c>
    </row>
    <row r="1529">
      <c r="A1529" s="2" t="s">
        <v>4804</v>
      </c>
      <c r="B1529" s="2" t="s">
        <v>87</v>
      </c>
      <c r="C1529" s="2" t="s">
        <v>4613</v>
      </c>
      <c r="D1529" s="2" t="s">
        <v>89</v>
      </c>
      <c r="E1529" s="2" t="s">
        <v>2030</v>
      </c>
      <c r="F1529" s="2" t="s">
        <v>4767</v>
      </c>
      <c r="G1529" s="2" t="s">
        <v>4768</v>
      </c>
      <c r="H1529" s="2" t="s">
        <v>4769</v>
      </c>
      <c r="I1529" s="2" t="s">
        <v>4770</v>
      </c>
      <c r="J1529" s="2" t="s">
        <v>114</v>
      </c>
      <c r="K1529" s="2" t="s">
        <v>3669</v>
      </c>
      <c r="L1529" s="3">
        <v>26.19</v>
      </c>
      <c r="M1529" s="3">
        <v>27.5</v>
      </c>
      <c r="N1529" s="3">
        <v>54.99</v>
      </c>
      <c r="O1529" s="2" t="s">
        <v>97</v>
      </c>
      <c r="P1529" s="2" t="s">
        <v>1216</v>
      </c>
      <c r="Q1529" s="2" t="s">
        <v>99</v>
      </c>
      <c r="R1529" s="2" t="s">
        <v>100</v>
      </c>
      <c r="S1529" s="2" t="s">
        <v>4800</v>
      </c>
      <c r="T1529" s="2" t="s">
        <v>787</v>
      </c>
      <c r="U1529" s="2" t="s">
        <v>1508</v>
      </c>
      <c r="V1529" s="2" t="s">
        <v>645</v>
      </c>
      <c r="W1529" s="2" t="s">
        <v>976</v>
      </c>
      <c r="X1529" s="2" t="s">
        <v>105</v>
      </c>
      <c r="Y1529" s="2" t="s">
        <v>4791</v>
      </c>
      <c r="Z1529" s="4">
        <v>15</v>
      </c>
      <c r="AA1529" s="4">
        <f>=ROUNDDOWN(0.174418604651163,0)</f>
      </c>
      <c r="AB1529" s="5">
        <v>86</v>
      </c>
      <c r="AC1529" s="2" t="s">
        <v>871</v>
      </c>
      <c r="AD1529" s="4">
        <v>366</v>
      </c>
      <c r="AE1529" s="4">
        <v>9123</v>
      </c>
      <c r="AF1529" s="6">
        <v>63</v>
      </c>
      <c r="AG1529" s="6">
        <v>46</v>
      </c>
      <c r="AH1529" s="7">
        <v>0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 t="s">
        <v>100</v>
      </c>
      <c r="BJ1529" s="4">
        <v>3</v>
      </c>
      <c r="BK1529" s="8">
        <v>97.88</v>
      </c>
      <c r="BL1529" s="2" t="s">
        <v>4805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109</v>
      </c>
      <c r="BV1529" s="2" t="s">
        <v>97</v>
      </c>
      <c r="BW1529" s="2" t="s">
        <v>4791</v>
      </c>
      <c r="BX1529" s="2" t="s">
        <v>1133</v>
      </c>
      <c r="BY1529" s="2" t="s">
        <v>112</v>
      </c>
      <c r="BZ1529" s="2" t="s">
        <v>100</v>
      </c>
    </row>
    <row r="1530">
      <c r="A1530" s="2" t="s">
        <v>4806</v>
      </c>
      <c r="B1530" s="2" t="s">
        <v>87</v>
      </c>
      <c r="C1530" s="2" t="s">
        <v>4613</v>
      </c>
      <c r="D1530" s="2" t="s">
        <v>89</v>
      </c>
      <c r="E1530" s="2" t="s">
        <v>2030</v>
      </c>
      <c r="F1530" s="2" t="s">
        <v>4767</v>
      </c>
      <c r="G1530" s="2" t="s">
        <v>4768</v>
      </c>
      <c r="H1530" s="2" t="s">
        <v>4769</v>
      </c>
      <c r="I1530" s="2" t="s">
        <v>4770</v>
      </c>
      <c r="J1530" s="2" t="s">
        <v>120</v>
      </c>
      <c r="K1530" s="2" t="s">
        <v>3669</v>
      </c>
      <c r="L1530" s="3">
        <v>28.57</v>
      </c>
      <c r="M1530" s="3">
        <v>30</v>
      </c>
      <c r="N1530" s="3">
        <v>59.99</v>
      </c>
      <c r="O1530" s="2" t="s">
        <v>97</v>
      </c>
      <c r="P1530" s="2" t="s">
        <v>1216</v>
      </c>
      <c r="Q1530" s="2" t="s">
        <v>99</v>
      </c>
      <c r="R1530" s="2" t="s">
        <v>100</v>
      </c>
      <c r="S1530" s="2" t="s">
        <v>4800</v>
      </c>
      <c r="T1530" s="2" t="s">
        <v>787</v>
      </c>
      <c r="U1530" s="2" t="s">
        <v>1508</v>
      </c>
      <c r="V1530" s="2" t="s">
        <v>645</v>
      </c>
      <c r="W1530" s="2" t="s">
        <v>976</v>
      </c>
      <c r="X1530" s="2" t="s">
        <v>105</v>
      </c>
      <c r="Y1530" s="2" t="s">
        <v>4797</v>
      </c>
      <c r="Z1530" s="4">
        <v>1</v>
      </c>
      <c r="AA1530" s="4">
        <f>=ROUNDDOWN(0.00917431192660551,0)</f>
      </c>
      <c r="AB1530" s="5">
        <v>109</v>
      </c>
      <c r="AC1530" s="2" t="s">
        <v>871</v>
      </c>
      <c r="AD1530" s="4">
        <v>990</v>
      </c>
      <c r="AE1530" s="4">
        <v>12360</v>
      </c>
      <c r="AF1530" s="6">
        <v>63</v>
      </c>
      <c r="AG1530" s="6">
        <v>46</v>
      </c>
      <c r="AH1530" s="7">
        <v>0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 t="s">
        <v>100</v>
      </c>
      <c r="BJ1530" s="4"/>
      <c r="BK1530" s="8"/>
      <c r="BL1530" s="2" t="s">
        <v>100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109</v>
      </c>
      <c r="BV1530" s="2" t="s">
        <v>97</v>
      </c>
      <c r="BW1530" s="2" t="s">
        <v>4792</v>
      </c>
      <c r="BX1530" s="2" t="s">
        <v>1133</v>
      </c>
      <c r="BY1530" s="2" t="s">
        <v>112</v>
      </c>
      <c r="BZ1530" s="2" t="s">
        <v>100</v>
      </c>
    </row>
    <row r="1531">
      <c r="A1531" s="2" t="s">
        <v>4807</v>
      </c>
      <c r="B1531" s="2" t="s">
        <v>87</v>
      </c>
      <c r="C1531" s="2" t="s">
        <v>4613</v>
      </c>
      <c r="D1531" s="2" t="s">
        <v>89</v>
      </c>
      <c r="E1531" s="2" t="s">
        <v>2030</v>
      </c>
      <c r="F1531" s="2" t="s">
        <v>4767</v>
      </c>
      <c r="G1531" s="2" t="s">
        <v>4768</v>
      </c>
      <c r="H1531" s="2" t="s">
        <v>4769</v>
      </c>
      <c r="I1531" s="2" t="s">
        <v>4770</v>
      </c>
      <c r="J1531" s="2" t="s">
        <v>124</v>
      </c>
      <c r="K1531" s="2" t="s">
        <v>3669</v>
      </c>
      <c r="L1531" s="3">
        <v>30.95</v>
      </c>
      <c r="M1531" s="3">
        <v>32.5</v>
      </c>
      <c r="N1531" s="3">
        <v>64.99</v>
      </c>
      <c r="O1531" s="2" t="s">
        <v>97</v>
      </c>
      <c r="P1531" s="2" t="s">
        <v>1216</v>
      </c>
      <c r="Q1531" s="2" t="s">
        <v>99</v>
      </c>
      <c r="R1531" s="2" t="s">
        <v>100</v>
      </c>
      <c r="S1531" s="2" t="s">
        <v>4800</v>
      </c>
      <c r="T1531" s="2" t="s">
        <v>787</v>
      </c>
      <c r="U1531" s="2" t="s">
        <v>1508</v>
      </c>
      <c r="V1531" s="2" t="s">
        <v>645</v>
      </c>
      <c r="W1531" s="2" t="s">
        <v>976</v>
      </c>
      <c r="X1531" s="2" t="s">
        <v>105</v>
      </c>
      <c r="Y1531" s="2" t="s">
        <v>100</v>
      </c>
      <c r="Z1531" s="4"/>
      <c r="AA1531" s="4">
        <f>=ROUNDDOWN({0},0)</f>
      </c>
      <c r="AB1531" s="5"/>
      <c r="AC1531" s="2" t="s">
        <v>2598</v>
      </c>
      <c r="AD1531" s="4">
        <v>507</v>
      </c>
      <c r="AE1531" s="4">
        <v>702</v>
      </c>
      <c r="AF1531" s="6">
        <v>63</v>
      </c>
      <c r="AG1531" s="6">
        <v>46</v>
      </c>
      <c r="AH1531" s="7">
        <v>0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>
        <v>0</v>
      </c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 t="s">
        <v>100</v>
      </c>
      <c r="BJ1531" s="4"/>
      <c r="BK1531" s="8"/>
      <c r="BL1531" s="2" t="s">
        <v>100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1338</v>
      </c>
      <c r="BV1531" s="2" t="s">
        <v>97</v>
      </c>
      <c r="BW1531" s="2" t="s">
        <v>100</v>
      </c>
      <c r="BX1531" s="2" t="s">
        <v>100</v>
      </c>
      <c r="BY1531" s="2" t="s">
        <v>112</v>
      </c>
      <c r="BZ1531" s="2" t="s">
        <v>100</v>
      </c>
    </row>
    <row r="1532">
      <c r="A1532" s="2" t="s">
        <v>4808</v>
      </c>
      <c r="B1532" s="2" t="s">
        <v>87</v>
      </c>
      <c r="C1532" s="2" t="s">
        <v>4613</v>
      </c>
      <c r="D1532" s="2" t="s">
        <v>89</v>
      </c>
      <c r="E1532" s="2" t="s">
        <v>2030</v>
      </c>
      <c r="F1532" s="2" t="s">
        <v>4767</v>
      </c>
      <c r="G1532" s="2" t="s">
        <v>4768</v>
      </c>
      <c r="H1532" s="2" t="s">
        <v>4769</v>
      </c>
      <c r="I1532" s="2" t="s">
        <v>4770</v>
      </c>
      <c r="J1532" s="2" t="s">
        <v>673</v>
      </c>
      <c r="K1532" s="2" t="s">
        <v>96</v>
      </c>
      <c r="L1532" s="3">
        <v>21.42</v>
      </c>
      <c r="M1532" s="3">
        <v>22.49</v>
      </c>
      <c r="N1532" s="3">
        <v>44.99</v>
      </c>
      <c r="O1532" s="2" t="s">
        <v>97</v>
      </c>
      <c r="P1532" s="2" t="s">
        <v>1216</v>
      </c>
      <c r="Q1532" s="2" t="s">
        <v>99</v>
      </c>
      <c r="R1532" s="2" t="s">
        <v>100</v>
      </c>
      <c r="S1532" s="2" t="s">
        <v>4809</v>
      </c>
      <c r="T1532" s="2" t="s">
        <v>787</v>
      </c>
      <c r="U1532" s="2" t="s">
        <v>2150</v>
      </c>
      <c r="V1532" s="2" t="s">
        <v>645</v>
      </c>
      <c r="W1532" s="2" t="s">
        <v>976</v>
      </c>
      <c r="X1532" s="2" t="s">
        <v>105</v>
      </c>
      <c r="Y1532" s="2" t="s">
        <v>4797</v>
      </c>
      <c r="Z1532" s="4">
        <v>182</v>
      </c>
      <c r="AA1532" s="4">
        <f>=ROUNDDOWN(8.66666666666667,0)</f>
      </c>
      <c r="AB1532" s="5">
        <v>21</v>
      </c>
      <c r="AC1532" s="2" t="s">
        <v>1282</v>
      </c>
      <c r="AD1532" s="4">
        <v>15</v>
      </c>
      <c r="AE1532" s="4">
        <v>603</v>
      </c>
      <c r="AF1532" s="6">
        <v>63</v>
      </c>
      <c r="AG1532" s="6">
        <v>46</v>
      </c>
      <c r="AH1532" s="7">
        <v>1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 t="s">
        <v>100</v>
      </c>
      <c r="BJ1532" s="4">
        <v>18</v>
      </c>
      <c r="BK1532" s="8">
        <v>421.82</v>
      </c>
      <c r="BL1532" s="2" t="s">
        <v>4810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109</v>
      </c>
      <c r="BV1532" s="2" t="s">
        <v>97</v>
      </c>
      <c r="BW1532" s="2" t="s">
        <v>4792</v>
      </c>
      <c r="BX1532" s="2" t="s">
        <v>100</v>
      </c>
      <c r="BY1532" s="2" t="s">
        <v>112</v>
      </c>
      <c r="BZ1532" s="2" t="s">
        <v>100</v>
      </c>
    </row>
    <row r="1533">
      <c r="A1533" s="2" t="s">
        <v>4811</v>
      </c>
      <c r="B1533" s="2" t="s">
        <v>87</v>
      </c>
      <c r="C1533" s="2" t="s">
        <v>4613</v>
      </c>
      <c r="D1533" s="2" t="s">
        <v>89</v>
      </c>
      <c r="E1533" s="2" t="s">
        <v>2030</v>
      </c>
      <c r="F1533" s="2" t="s">
        <v>4767</v>
      </c>
      <c r="G1533" s="2" t="s">
        <v>4768</v>
      </c>
      <c r="H1533" s="2" t="s">
        <v>4769</v>
      </c>
      <c r="I1533" s="2" t="s">
        <v>4770</v>
      </c>
      <c r="J1533" s="2" t="s">
        <v>95</v>
      </c>
      <c r="K1533" s="2" t="s">
        <v>96</v>
      </c>
      <c r="L1533" s="3">
        <v>25.23</v>
      </c>
      <c r="M1533" s="3">
        <v>26.49</v>
      </c>
      <c r="N1533" s="3">
        <v>52.99</v>
      </c>
      <c r="O1533" s="2" t="s">
        <v>97</v>
      </c>
      <c r="P1533" s="2" t="s">
        <v>1216</v>
      </c>
      <c r="Q1533" s="2" t="s">
        <v>99</v>
      </c>
      <c r="R1533" s="2" t="s">
        <v>100</v>
      </c>
      <c r="S1533" s="2" t="s">
        <v>4809</v>
      </c>
      <c r="T1533" s="2" t="s">
        <v>787</v>
      </c>
      <c r="U1533" s="2" t="s">
        <v>1508</v>
      </c>
      <c r="V1533" s="2" t="s">
        <v>645</v>
      </c>
      <c r="W1533" s="2" t="s">
        <v>976</v>
      </c>
      <c r="X1533" s="2" t="s">
        <v>105</v>
      </c>
      <c r="Y1533" s="2" t="s">
        <v>100</v>
      </c>
      <c r="Z1533" s="4"/>
      <c r="AA1533" s="4">
        <f>=ROUNDDOWN({0},0)</f>
      </c>
      <c r="AB1533" s="5"/>
      <c r="AC1533" s="2" t="s">
        <v>2598</v>
      </c>
      <c r="AD1533" s="4">
        <v>222</v>
      </c>
      <c r="AE1533" s="4">
        <v>543</v>
      </c>
      <c r="AF1533" s="6">
        <v>63</v>
      </c>
      <c r="AG1533" s="6">
        <v>46</v>
      </c>
      <c r="AH1533" s="7">
        <v>0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>
        <v>0</v>
      </c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 t="s">
        <v>100</v>
      </c>
      <c r="BJ1533" s="4"/>
      <c r="BK1533" s="8"/>
      <c r="BL1533" s="2" t="s">
        <v>100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1338</v>
      </c>
      <c r="BV1533" s="2" t="s">
        <v>97</v>
      </c>
      <c r="BW1533" s="2" t="s">
        <v>100</v>
      </c>
      <c r="BX1533" s="2" t="s">
        <v>100</v>
      </c>
      <c r="BY1533" s="2" t="s">
        <v>112</v>
      </c>
      <c r="BZ1533" s="2" t="s">
        <v>100</v>
      </c>
    </row>
    <row r="1534">
      <c r="A1534" s="2" t="s">
        <v>4812</v>
      </c>
      <c r="B1534" s="2" t="s">
        <v>87</v>
      </c>
      <c r="C1534" s="2" t="s">
        <v>4613</v>
      </c>
      <c r="D1534" s="2" t="s">
        <v>89</v>
      </c>
      <c r="E1534" s="2" t="s">
        <v>2030</v>
      </c>
      <c r="F1534" s="2" t="s">
        <v>4767</v>
      </c>
      <c r="G1534" s="2" t="s">
        <v>4768</v>
      </c>
      <c r="H1534" s="2" t="s">
        <v>4769</v>
      </c>
      <c r="I1534" s="2" t="s">
        <v>4770</v>
      </c>
      <c r="J1534" s="2" t="s">
        <v>114</v>
      </c>
      <c r="K1534" s="2" t="s">
        <v>96</v>
      </c>
      <c r="L1534" s="3">
        <v>26.19</v>
      </c>
      <c r="M1534" s="3">
        <v>27.5</v>
      </c>
      <c r="N1534" s="3">
        <v>54.99</v>
      </c>
      <c r="O1534" s="2" t="s">
        <v>97</v>
      </c>
      <c r="P1534" s="2" t="s">
        <v>1216</v>
      </c>
      <c r="Q1534" s="2" t="s">
        <v>99</v>
      </c>
      <c r="R1534" s="2" t="s">
        <v>100</v>
      </c>
      <c r="S1534" s="2" t="s">
        <v>4809</v>
      </c>
      <c r="T1534" s="2" t="s">
        <v>787</v>
      </c>
      <c r="U1534" s="2" t="s">
        <v>1508</v>
      </c>
      <c r="V1534" s="2" t="s">
        <v>645</v>
      </c>
      <c r="W1534" s="2" t="s">
        <v>976</v>
      </c>
      <c r="X1534" s="2" t="s">
        <v>105</v>
      </c>
      <c r="Y1534" s="2" t="s">
        <v>4791</v>
      </c>
      <c r="Z1534" s="4">
        <v>537</v>
      </c>
      <c r="AA1534" s="4">
        <f>=ROUNDDOWN(5.96666666666667,0)</f>
      </c>
      <c r="AB1534" s="5">
        <v>90</v>
      </c>
      <c r="AC1534" s="2" t="s">
        <v>1282</v>
      </c>
      <c r="AD1534" s="4">
        <v>366</v>
      </c>
      <c r="AE1534" s="4">
        <v>4497</v>
      </c>
      <c r="AF1534" s="6">
        <v>63</v>
      </c>
      <c r="AG1534" s="6">
        <v>46</v>
      </c>
      <c r="AH1534" s="7">
        <v>1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 t="s">
        <v>100</v>
      </c>
      <c r="BJ1534" s="4">
        <v>67</v>
      </c>
      <c r="BK1534" s="8">
        <v>2059.9</v>
      </c>
      <c r="BL1534" s="2" t="s">
        <v>4813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109</v>
      </c>
      <c r="BV1534" s="2" t="s">
        <v>97</v>
      </c>
      <c r="BW1534" s="2" t="s">
        <v>4792</v>
      </c>
      <c r="BX1534" s="2" t="s">
        <v>4740</v>
      </c>
      <c r="BY1534" s="2" t="s">
        <v>112</v>
      </c>
      <c r="BZ1534" s="2" t="s">
        <v>100</v>
      </c>
    </row>
    <row r="1535">
      <c r="A1535" s="2" t="s">
        <v>4814</v>
      </c>
      <c r="B1535" s="2" t="s">
        <v>87</v>
      </c>
      <c r="C1535" s="2" t="s">
        <v>4613</v>
      </c>
      <c r="D1535" s="2" t="s">
        <v>89</v>
      </c>
      <c r="E1535" s="2" t="s">
        <v>2030</v>
      </c>
      <c r="F1535" s="2" t="s">
        <v>4767</v>
      </c>
      <c r="G1535" s="2" t="s">
        <v>4768</v>
      </c>
      <c r="H1535" s="2" t="s">
        <v>4769</v>
      </c>
      <c r="I1535" s="2" t="s">
        <v>4770</v>
      </c>
      <c r="J1535" s="2" t="s">
        <v>120</v>
      </c>
      <c r="K1535" s="2" t="s">
        <v>96</v>
      </c>
      <c r="L1535" s="3">
        <v>28.57</v>
      </c>
      <c r="M1535" s="3">
        <v>30</v>
      </c>
      <c r="N1535" s="3">
        <v>59.99</v>
      </c>
      <c r="O1535" s="2" t="s">
        <v>97</v>
      </c>
      <c r="P1535" s="2" t="s">
        <v>1216</v>
      </c>
      <c r="Q1535" s="2" t="s">
        <v>99</v>
      </c>
      <c r="R1535" s="2" t="s">
        <v>100</v>
      </c>
      <c r="S1535" s="2" t="s">
        <v>4809</v>
      </c>
      <c r="T1535" s="2" t="s">
        <v>787</v>
      </c>
      <c r="U1535" s="2" t="s">
        <v>1508</v>
      </c>
      <c r="V1535" s="2" t="s">
        <v>645</v>
      </c>
      <c r="W1535" s="2" t="s">
        <v>976</v>
      </c>
      <c r="X1535" s="2" t="s">
        <v>105</v>
      </c>
      <c r="Y1535" s="2" t="s">
        <v>4797</v>
      </c>
      <c r="Z1535" s="4">
        <v>1129</v>
      </c>
      <c r="AA1535" s="4">
        <f>=ROUNDDOWN({0},0)</f>
      </c>
      <c r="AB1535" s="5">
        <v>115</v>
      </c>
      <c r="AC1535" s="2" t="s">
        <v>1282</v>
      </c>
      <c r="AD1535" s="4">
        <v>990</v>
      </c>
      <c r="AE1535" s="4">
        <v>5565</v>
      </c>
      <c r="AF1535" s="6">
        <v>63</v>
      </c>
      <c r="AG1535" s="6">
        <v>46</v>
      </c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>
        <v>0</v>
      </c>
      <c r="AP1535" s="4"/>
      <c r="AQ1535" s="8"/>
      <c r="AR1535" s="4"/>
      <c r="AS1535" s="8"/>
      <c r="AT1535" s="7"/>
      <c r="AU1535" s="7"/>
      <c r="AV1535" s="4" t="s">
        <v>100</v>
      </c>
      <c r="AW1535" s="8" t="s">
        <v>100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/>
      <c r="BC1535" s="4" t="s">
        <v>100</v>
      </c>
      <c r="BD1535" s="8" t="s">
        <v>100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 t="s">
        <v>100</v>
      </c>
      <c r="BJ1535" s="4">
        <v>58</v>
      </c>
      <c r="BK1535" s="8">
        <v>2169.06</v>
      </c>
      <c r="BL1535" s="2" t="s">
        <v>1154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109</v>
      </c>
      <c r="BV1535" s="2" t="s">
        <v>97</v>
      </c>
      <c r="BW1535" s="2" t="s">
        <v>4791</v>
      </c>
      <c r="BX1535" s="2" t="s">
        <v>4667</v>
      </c>
      <c r="BY1535" s="2" t="s">
        <v>112</v>
      </c>
      <c r="BZ1535" s="2" t="s">
        <v>100</v>
      </c>
    </row>
    <row r="1536">
      <c r="A1536" s="2" t="s">
        <v>4815</v>
      </c>
      <c r="B1536" s="2" t="s">
        <v>87</v>
      </c>
      <c r="C1536" s="2" t="s">
        <v>4613</v>
      </c>
      <c r="D1536" s="2" t="s">
        <v>89</v>
      </c>
      <c r="E1536" s="2" t="s">
        <v>2030</v>
      </c>
      <c r="F1536" s="2" t="s">
        <v>4767</v>
      </c>
      <c r="G1536" s="2" t="s">
        <v>4768</v>
      </c>
      <c r="H1536" s="2" t="s">
        <v>4769</v>
      </c>
      <c r="I1536" s="2" t="s">
        <v>4770</v>
      </c>
      <c r="J1536" s="2" t="s">
        <v>124</v>
      </c>
      <c r="K1536" s="2" t="s">
        <v>96</v>
      </c>
      <c r="L1536" s="3">
        <v>30.95</v>
      </c>
      <c r="M1536" s="3">
        <v>32.5</v>
      </c>
      <c r="N1536" s="3">
        <v>64.99</v>
      </c>
      <c r="O1536" s="2" t="s">
        <v>97</v>
      </c>
      <c r="P1536" s="2" t="s">
        <v>1216</v>
      </c>
      <c r="Q1536" s="2" t="s">
        <v>99</v>
      </c>
      <c r="R1536" s="2" t="s">
        <v>100</v>
      </c>
      <c r="S1536" s="2" t="s">
        <v>4809</v>
      </c>
      <c r="T1536" s="2" t="s">
        <v>787</v>
      </c>
      <c r="U1536" s="2" t="s">
        <v>1508</v>
      </c>
      <c r="V1536" s="2" t="s">
        <v>645</v>
      </c>
      <c r="W1536" s="2" t="s">
        <v>976</v>
      </c>
      <c r="X1536" s="2" t="s">
        <v>105</v>
      </c>
      <c r="Y1536" s="2" t="s">
        <v>100</v>
      </c>
      <c r="Z1536" s="4"/>
      <c r="AA1536" s="4">
        <f>=ROUNDDOWN({0},0)</f>
      </c>
      <c r="AB1536" s="5"/>
      <c r="AC1536" s="2" t="s">
        <v>2598</v>
      </c>
      <c r="AD1536" s="4">
        <v>273</v>
      </c>
      <c r="AE1536" s="4">
        <v>618</v>
      </c>
      <c r="AF1536" s="6">
        <v>63</v>
      </c>
      <c r="AG1536" s="6">
        <v>46</v>
      </c>
      <c r="AH1536" s="7">
        <v>0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>
        <v>0</v>
      </c>
      <c r="AP1536" s="4"/>
      <c r="AQ1536" s="8"/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/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 t="s">
        <v>100</v>
      </c>
      <c r="BJ1536" s="4"/>
      <c r="BK1536" s="8"/>
      <c r="BL1536" s="2" t="s">
        <v>100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1338</v>
      </c>
      <c r="BV1536" s="2" t="s">
        <v>97</v>
      </c>
      <c r="BW1536" s="2" t="s">
        <v>100</v>
      </c>
      <c r="BX1536" s="2" t="s">
        <v>100</v>
      </c>
      <c r="BY1536" s="2" t="s">
        <v>112</v>
      </c>
      <c r="BZ1536" s="2" t="s">
        <v>100</v>
      </c>
    </row>
    <row r="1537">
      <c r="A1537" s="2" t="s">
        <v>4816</v>
      </c>
      <c r="B1537" s="2" t="s">
        <v>87</v>
      </c>
      <c r="C1537" s="2" t="s">
        <v>4613</v>
      </c>
      <c r="D1537" s="2" t="s">
        <v>89</v>
      </c>
      <c r="E1537" s="2" t="s">
        <v>2030</v>
      </c>
      <c r="F1537" s="2" t="s">
        <v>4767</v>
      </c>
      <c r="G1537" s="2" t="s">
        <v>4768</v>
      </c>
      <c r="H1537" s="2" t="s">
        <v>4769</v>
      </c>
      <c r="I1537" s="2" t="s">
        <v>4770</v>
      </c>
      <c r="J1537" s="2" t="s">
        <v>673</v>
      </c>
      <c r="K1537" s="2" t="s">
        <v>4817</v>
      </c>
      <c r="L1537" s="3">
        <v>21.42</v>
      </c>
      <c r="M1537" s="3">
        <v>22.49</v>
      </c>
      <c r="N1537" s="3">
        <v>44.99</v>
      </c>
      <c r="O1537" s="2" t="s">
        <v>97</v>
      </c>
      <c r="P1537" s="2" t="s">
        <v>1216</v>
      </c>
      <c r="Q1537" s="2" t="s">
        <v>99</v>
      </c>
      <c r="R1537" s="2" t="s">
        <v>100</v>
      </c>
      <c r="S1537" s="2" t="s">
        <v>4818</v>
      </c>
      <c r="T1537" s="2" t="s">
        <v>787</v>
      </c>
      <c r="U1537" s="2" t="s">
        <v>2150</v>
      </c>
      <c r="V1537" s="2" t="s">
        <v>645</v>
      </c>
      <c r="W1537" s="2" t="s">
        <v>976</v>
      </c>
      <c r="X1537" s="2" t="s">
        <v>105</v>
      </c>
      <c r="Y1537" s="2" t="s">
        <v>100</v>
      </c>
      <c r="Z1537" s="4"/>
      <c r="AA1537" s="4">
        <f>=ROUNDDOWN({0},0)</f>
      </c>
      <c r="AB1537" s="5"/>
      <c r="AC1537" s="2" t="s">
        <v>648</v>
      </c>
      <c r="AD1537" s="4">
        <v>138</v>
      </c>
      <c r="AE1537" s="4">
        <v>336</v>
      </c>
      <c r="AF1537" s="6">
        <v>63</v>
      </c>
      <c r="AG1537" s="6">
        <v>46</v>
      </c>
      <c r="AH1537" s="7">
        <v>0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>
        <v>0</v>
      </c>
      <c r="AP1537" s="4"/>
      <c r="AQ1537" s="8"/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/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 t="s">
        <v>100</v>
      </c>
      <c r="BJ1537" s="4"/>
      <c r="BK1537" s="8"/>
      <c r="BL1537" s="2" t="s">
        <v>100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1338</v>
      </c>
      <c r="BV1537" s="2" t="s">
        <v>97</v>
      </c>
      <c r="BW1537" s="2" t="s">
        <v>100</v>
      </c>
      <c r="BX1537" s="2" t="s">
        <v>100</v>
      </c>
      <c r="BY1537" s="2" t="s">
        <v>112</v>
      </c>
      <c r="BZ1537" s="2" t="s">
        <v>100</v>
      </c>
    </row>
    <row r="1538">
      <c r="A1538" s="2" t="s">
        <v>4819</v>
      </c>
      <c r="B1538" s="2" t="s">
        <v>87</v>
      </c>
      <c r="C1538" s="2" t="s">
        <v>4613</v>
      </c>
      <c r="D1538" s="2" t="s">
        <v>89</v>
      </c>
      <c r="E1538" s="2" t="s">
        <v>2030</v>
      </c>
      <c r="F1538" s="2" t="s">
        <v>4767</v>
      </c>
      <c r="G1538" s="2" t="s">
        <v>4768</v>
      </c>
      <c r="H1538" s="2" t="s">
        <v>4769</v>
      </c>
      <c r="I1538" s="2" t="s">
        <v>4770</v>
      </c>
      <c r="J1538" s="2" t="s">
        <v>95</v>
      </c>
      <c r="K1538" s="2" t="s">
        <v>4817</v>
      </c>
      <c r="L1538" s="3">
        <v>25.23</v>
      </c>
      <c r="M1538" s="3">
        <v>26.49</v>
      </c>
      <c r="N1538" s="3">
        <v>52.99</v>
      </c>
      <c r="O1538" s="2" t="s">
        <v>97</v>
      </c>
      <c r="P1538" s="2" t="s">
        <v>1216</v>
      </c>
      <c r="Q1538" s="2" t="s">
        <v>99</v>
      </c>
      <c r="R1538" s="2" t="s">
        <v>100</v>
      </c>
      <c r="S1538" s="2" t="s">
        <v>4818</v>
      </c>
      <c r="T1538" s="2" t="s">
        <v>787</v>
      </c>
      <c r="U1538" s="2" t="s">
        <v>1508</v>
      </c>
      <c r="V1538" s="2" t="s">
        <v>645</v>
      </c>
      <c r="W1538" s="2" t="s">
        <v>976</v>
      </c>
      <c r="X1538" s="2" t="s">
        <v>105</v>
      </c>
      <c r="Y1538" s="2" t="s">
        <v>100</v>
      </c>
      <c r="Z1538" s="4"/>
      <c r="AA1538" s="4">
        <f>=ROUNDDOWN({0},0)</f>
      </c>
      <c r="AB1538" s="5"/>
      <c r="AC1538" s="2" t="s">
        <v>2598</v>
      </c>
      <c r="AD1538" s="4">
        <v>222</v>
      </c>
      <c r="AE1538" s="4">
        <v>645</v>
      </c>
      <c r="AF1538" s="6">
        <v>63</v>
      </c>
      <c r="AG1538" s="6">
        <v>46</v>
      </c>
      <c r="AH1538" s="7">
        <v>0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 t="s">
        <v>100</v>
      </c>
      <c r="AW1538" s="8" t="s">
        <v>100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/>
      <c r="BC1538" s="4" t="s">
        <v>100</v>
      </c>
      <c r="BD1538" s="8" t="s">
        <v>100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 t="s">
        <v>100</v>
      </c>
      <c r="BJ1538" s="4"/>
      <c r="BK1538" s="8"/>
      <c r="BL1538" s="2" t="s">
        <v>100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1338</v>
      </c>
      <c r="BV1538" s="2" t="s">
        <v>97</v>
      </c>
      <c r="BW1538" s="2" t="s">
        <v>100</v>
      </c>
      <c r="BX1538" s="2" t="s">
        <v>100</v>
      </c>
      <c r="BY1538" s="2" t="s">
        <v>112</v>
      </c>
      <c r="BZ1538" s="2" t="s">
        <v>100</v>
      </c>
    </row>
    <row r="1539">
      <c r="A1539" s="2" t="s">
        <v>4820</v>
      </c>
      <c r="B1539" s="2" t="s">
        <v>87</v>
      </c>
      <c r="C1539" s="2" t="s">
        <v>4613</v>
      </c>
      <c r="D1539" s="2" t="s">
        <v>89</v>
      </c>
      <c r="E1539" s="2" t="s">
        <v>2030</v>
      </c>
      <c r="F1539" s="2" t="s">
        <v>4767</v>
      </c>
      <c r="G1539" s="2" t="s">
        <v>4768</v>
      </c>
      <c r="H1539" s="2" t="s">
        <v>4769</v>
      </c>
      <c r="I1539" s="2" t="s">
        <v>4770</v>
      </c>
      <c r="J1539" s="2" t="s">
        <v>114</v>
      </c>
      <c r="K1539" s="2" t="s">
        <v>4817</v>
      </c>
      <c r="L1539" s="3">
        <v>26.19</v>
      </c>
      <c r="M1539" s="3">
        <v>27.5</v>
      </c>
      <c r="N1539" s="3">
        <v>54.99</v>
      </c>
      <c r="O1539" s="2" t="s">
        <v>97</v>
      </c>
      <c r="P1539" s="2" t="s">
        <v>1216</v>
      </c>
      <c r="Q1539" s="2" t="s">
        <v>99</v>
      </c>
      <c r="R1539" s="2" t="s">
        <v>100</v>
      </c>
      <c r="S1539" s="2" t="s">
        <v>4818</v>
      </c>
      <c r="T1539" s="2" t="s">
        <v>787</v>
      </c>
      <c r="U1539" s="2" t="s">
        <v>1508</v>
      </c>
      <c r="V1539" s="2" t="s">
        <v>645</v>
      </c>
      <c r="W1539" s="2" t="s">
        <v>976</v>
      </c>
      <c r="X1539" s="2" t="s">
        <v>105</v>
      </c>
      <c r="Y1539" s="2" t="s">
        <v>100</v>
      </c>
      <c r="Z1539" s="4"/>
      <c r="AA1539" s="4">
        <f>=ROUNDDOWN({0},0)</f>
      </c>
      <c r="AB1539" s="5"/>
      <c r="AC1539" s="2" t="s">
        <v>648</v>
      </c>
      <c r="AD1539" s="4">
        <v>378</v>
      </c>
      <c r="AE1539" s="4">
        <v>1113</v>
      </c>
      <c r="AF1539" s="6">
        <v>63</v>
      </c>
      <c r="AG1539" s="6">
        <v>46</v>
      </c>
      <c r="AH1539" s="7">
        <v>0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>
        <v>0</v>
      </c>
      <c r="AP1539" s="4"/>
      <c r="AQ1539" s="8"/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/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 t="s">
        <v>100</v>
      </c>
      <c r="BJ1539" s="4"/>
      <c r="BK1539" s="8"/>
      <c r="BL1539" s="2" t="s">
        <v>100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1338</v>
      </c>
      <c r="BV1539" s="2" t="s">
        <v>97</v>
      </c>
      <c r="BW1539" s="2" t="s">
        <v>100</v>
      </c>
      <c r="BX1539" s="2" t="s">
        <v>100</v>
      </c>
      <c r="BY1539" s="2" t="s">
        <v>112</v>
      </c>
      <c r="BZ1539" s="2" t="s">
        <v>100</v>
      </c>
    </row>
    <row r="1540">
      <c r="A1540" s="2" t="s">
        <v>4821</v>
      </c>
      <c r="B1540" s="2" t="s">
        <v>87</v>
      </c>
      <c r="C1540" s="2" t="s">
        <v>4613</v>
      </c>
      <c r="D1540" s="2" t="s">
        <v>89</v>
      </c>
      <c r="E1540" s="2" t="s">
        <v>2030</v>
      </c>
      <c r="F1540" s="2" t="s">
        <v>4767</v>
      </c>
      <c r="G1540" s="2" t="s">
        <v>4768</v>
      </c>
      <c r="H1540" s="2" t="s">
        <v>4769</v>
      </c>
      <c r="I1540" s="2" t="s">
        <v>4770</v>
      </c>
      <c r="J1540" s="2" t="s">
        <v>120</v>
      </c>
      <c r="K1540" s="2" t="s">
        <v>4817</v>
      </c>
      <c r="L1540" s="3">
        <v>28.57</v>
      </c>
      <c r="M1540" s="3">
        <v>30</v>
      </c>
      <c r="N1540" s="3">
        <v>59.99</v>
      </c>
      <c r="O1540" s="2" t="s">
        <v>97</v>
      </c>
      <c r="P1540" s="2" t="s">
        <v>1216</v>
      </c>
      <c r="Q1540" s="2" t="s">
        <v>99</v>
      </c>
      <c r="R1540" s="2" t="s">
        <v>100</v>
      </c>
      <c r="S1540" s="2" t="s">
        <v>4818</v>
      </c>
      <c r="T1540" s="2" t="s">
        <v>787</v>
      </c>
      <c r="U1540" s="2" t="s">
        <v>1508</v>
      </c>
      <c r="V1540" s="2" t="s">
        <v>645</v>
      </c>
      <c r="W1540" s="2" t="s">
        <v>976</v>
      </c>
      <c r="X1540" s="2" t="s">
        <v>105</v>
      </c>
      <c r="Y1540" s="2" t="s">
        <v>100</v>
      </c>
      <c r="Z1540" s="4"/>
      <c r="AA1540" s="4">
        <f>=ROUNDDOWN({0},0)</f>
      </c>
      <c r="AB1540" s="5"/>
      <c r="AC1540" s="2" t="s">
        <v>648</v>
      </c>
      <c r="AD1540" s="4">
        <v>723</v>
      </c>
      <c r="AE1540" s="4">
        <v>1602</v>
      </c>
      <c r="AF1540" s="6">
        <v>63</v>
      </c>
      <c r="AG1540" s="6">
        <v>46</v>
      </c>
      <c r="AH1540" s="7">
        <v>0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>
        <v>0</v>
      </c>
      <c r="AP1540" s="4"/>
      <c r="AQ1540" s="8"/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/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 t="s">
        <v>100</v>
      </c>
      <c r="BJ1540" s="4"/>
      <c r="BK1540" s="8"/>
      <c r="BL1540" s="2" t="s">
        <v>100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1338</v>
      </c>
      <c r="BV1540" s="2" t="s">
        <v>97</v>
      </c>
      <c r="BW1540" s="2" t="s">
        <v>100</v>
      </c>
      <c r="BX1540" s="2" t="s">
        <v>100</v>
      </c>
      <c r="BY1540" s="2" t="s">
        <v>112</v>
      </c>
      <c r="BZ1540" s="2" t="s">
        <v>100</v>
      </c>
    </row>
    <row r="1541">
      <c r="A1541" s="2" t="s">
        <v>4822</v>
      </c>
      <c r="B1541" s="2" t="s">
        <v>87</v>
      </c>
      <c r="C1541" s="2" t="s">
        <v>4613</v>
      </c>
      <c r="D1541" s="2" t="s">
        <v>89</v>
      </c>
      <c r="E1541" s="2" t="s">
        <v>2030</v>
      </c>
      <c r="F1541" s="2" t="s">
        <v>4767</v>
      </c>
      <c r="G1541" s="2" t="s">
        <v>4768</v>
      </c>
      <c r="H1541" s="2" t="s">
        <v>4769</v>
      </c>
      <c r="I1541" s="2" t="s">
        <v>4770</v>
      </c>
      <c r="J1541" s="2" t="s">
        <v>124</v>
      </c>
      <c r="K1541" s="2" t="s">
        <v>4817</v>
      </c>
      <c r="L1541" s="3">
        <v>30.95</v>
      </c>
      <c r="M1541" s="3">
        <v>32.5</v>
      </c>
      <c r="N1541" s="3">
        <v>64.99</v>
      </c>
      <c r="O1541" s="2" t="s">
        <v>97</v>
      </c>
      <c r="P1541" s="2" t="s">
        <v>1216</v>
      </c>
      <c r="Q1541" s="2" t="s">
        <v>99</v>
      </c>
      <c r="R1541" s="2" t="s">
        <v>100</v>
      </c>
      <c r="S1541" s="2" t="s">
        <v>4818</v>
      </c>
      <c r="T1541" s="2" t="s">
        <v>787</v>
      </c>
      <c r="U1541" s="2" t="s">
        <v>1508</v>
      </c>
      <c r="V1541" s="2" t="s">
        <v>645</v>
      </c>
      <c r="W1541" s="2" t="s">
        <v>976</v>
      </c>
      <c r="X1541" s="2" t="s">
        <v>105</v>
      </c>
      <c r="Y1541" s="2" t="s">
        <v>100</v>
      </c>
      <c r="Z1541" s="4"/>
      <c r="AA1541" s="4">
        <f>=ROUNDDOWN({0},0)</f>
      </c>
      <c r="AB1541" s="5"/>
      <c r="AC1541" s="2" t="s">
        <v>2598</v>
      </c>
      <c r="AD1541" s="4">
        <v>309</v>
      </c>
      <c r="AE1541" s="4">
        <v>600</v>
      </c>
      <c r="AF1541" s="6">
        <v>63</v>
      </c>
      <c r="AG1541" s="6">
        <v>46</v>
      </c>
      <c r="AH1541" s="7">
        <v>0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>
        <v>0</v>
      </c>
      <c r="AP1541" s="4"/>
      <c r="AQ1541" s="8"/>
      <c r="AR1541" s="4"/>
      <c r="AS1541" s="8"/>
      <c r="AT1541" s="7"/>
      <c r="AU1541" s="7"/>
      <c r="AV1541" s="4" t="s">
        <v>100</v>
      </c>
      <c r="AW1541" s="8" t="s">
        <v>100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/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 t="s">
        <v>100</v>
      </c>
      <c r="BJ1541" s="4"/>
      <c r="BK1541" s="8"/>
      <c r="BL1541" s="2" t="s">
        <v>100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1338</v>
      </c>
      <c r="BV1541" s="2" t="s">
        <v>97</v>
      </c>
      <c r="BW1541" s="2" t="s">
        <v>100</v>
      </c>
      <c r="BX1541" s="2" t="s">
        <v>100</v>
      </c>
      <c r="BY1541" s="2" t="s">
        <v>112</v>
      </c>
      <c r="BZ1541" s="2" t="s">
        <v>100</v>
      </c>
    </row>
    <row r="1542">
      <c r="A1542" s="2" t="s">
        <v>4823</v>
      </c>
      <c r="B1542" s="2" t="s">
        <v>87</v>
      </c>
      <c r="C1542" s="2" t="s">
        <v>4613</v>
      </c>
      <c r="D1542" s="2" t="s">
        <v>89</v>
      </c>
      <c r="E1542" s="2" t="s">
        <v>2030</v>
      </c>
      <c r="F1542" s="2" t="s">
        <v>4767</v>
      </c>
      <c r="G1542" s="2" t="s">
        <v>4768</v>
      </c>
      <c r="H1542" s="2" t="s">
        <v>4769</v>
      </c>
      <c r="I1542" s="2" t="s">
        <v>4770</v>
      </c>
      <c r="J1542" s="2" t="s">
        <v>673</v>
      </c>
      <c r="K1542" s="2" t="s">
        <v>146</v>
      </c>
      <c r="L1542" s="3">
        <v>21.42</v>
      </c>
      <c r="M1542" s="3">
        <v>22.49</v>
      </c>
      <c r="N1542" s="3">
        <v>44.99</v>
      </c>
      <c r="O1542" s="2" t="s">
        <v>97</v>
      </c>
      <c r="P1542" s="2" t="s">
        <v>341</v>
      </c>
      <c r="Q1542" s="2" t="s">
        <v>99</v>
      </c>
      <c r="R1542" s="2" t="s">
        <v>100</v>
      </c>
      <c r="S1542" s="2" t="s">
        <v>4824</v>
      </c>
      <c r="T1542" s="2" t="s">
        <v>787</v>
      </c>
      <c r="U1542" s="2" t="s">
        <v>2150</v>
      </c>
      <c r="V1542" s="2" t="s">
        <v>645</v>
      </c>
      <c r="W1542" s="2" t="s">
        <v>976</v>
      </c>
      <c r="X1542" s="2" t="s">
        <v>105</v>
      </c>
      <c r="Y1542" s="2" t="s">
        <v>4672</v>
      </c>
      <c r="Z1542" s="4">
        <v>599</v>
      </c>
      <c r="AA1542" s="4">
        <f>=ROUNDDOWN(27.2272727272727,0)</f>
      </c>
      <c r="AB1542" s="5">
        <v>22</v>
      </c>
      <c r="AC1542" s="2" t="s">
        <v>871</v>
      </c>
      <c r="AD1542" s="4">
        <v>21</v>
      </c>
      <c r="AE1542" s="4">
        <v>540</v>
      </c>
      <c r="AF1542" s="6">
        <v>63</v>
      </c>
      <c r="AG1542" s="6">
        <v>46</v>
      </c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>
        <v>0</v>
      </c>
      <c r="AP1542" s="4"/>
      <c r="AQ1542" s="8"/>
      <c r="AR1542" s="4"/>
      <c r="AS1542" s="8"/>
      <c r="AT1542" s="7"/>
      <c r="AU1542" s="7"/>
      <c r="AV1542" s="4" t="s">
        <v>100</v>
      </c>
      <c r="AW1542" s="8" t="s">
        <v>100</v>
      </c>
      <c r="AX1542" s="4" t="s">
        <v>100</v>
      </c>
      <c r="AY1542" s="8" t="s">
        <v>100</v>
      </c>
      <c r="AZ1542" s="7" t="s">
        <v>100</v>
      </c>
      <c r="BA1542" s="7" t="s">
        <v>100</v>
      </c>
      <c r="BB1542" s="7"/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 t="s">
        <v>100</v>
      </c>
      <c r="BJ1542" s="4">
        <v>49</v>
      </c>
      <c r="BK1542" s="8">
        <v>1111.02</v>
      </c>
      <c r="BL1542" s="2" t="s">
        <v>4825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109</v>
      </c>
      <c r="BV1542" s="2" t="s">
        <v>97</v>
      </c>
      <c r="BW1542" s="2" t="s">
        <v>819</v>
      </c>
      <c r="BX1542" s="2" t="s">
        <v>100</v>
      </c>
      <c r="BY1542" s="2" t="s">
        <v>112</v>
      </c>
      <c r="BZ1542" s="2" t="s">
        <v>100</v>
      </c>
    </row>
    <row r="1543">
      <c r="A1543" s="2" t="s">
        <v>4826</v>
      </c>
      <c r="B1543" s="2" t="s">
        <v>87</v>
      </c>
      <c r="C1543" s="2" t="s">
        <v>4613</v>
      </c>
      <c r="D1543" s="2" t="s">
        <v>89</v>
      </c>
      <c r="E1543" s="2" t="s">
        <v>2030</v>
      </c>
      <c r="F1543" s="2" t="s">
        <v>4767</v>
      </c>
      <c r="G1543" s="2" t="s">
        <v>4768</v>
      </c>
      <c r="H1543" s="2" t="s">
        <v>4769</v>
      </c>
      <c r="I1543" s="2" t="s">
        <v>4770</v>
      </c>
      <c r="J1543" s="2" t="s">
        <v>95</v>
      </c>
      <c r="K1543" s="2" t="s">
        <v>146</v>
      </c>
      <c r="L1543" s="3">
        <v>25.23</v>
      </c>
      <c r="M1543" s="3">
        <v>26.49</v>
      </c>
      <c r="N1543" s="3">
        <v>52.99</v>
      </c>
      <c r="O1543" s="2" t="s">
        <v>97</v>
      </c>
      <c r="P1543" s="2" t="s">
        <v>1216</v>
      </c>
      <c r="Q1543" s="2" t="s">
        <v>99</v>
      </c>
      <c r="R1543" s="2" t="s">
        <v>100</v>
      </c>
      <c r="S1543" s="2" t="s">
        <v>4824</v>
      </c>
      <c r="T1543" s="2" t="s">
        <v>787</v>
      </c>
      <c r="U1543" s="2" t="s">
        <v>1508</v>
      </c>
      <c r="V1543" s="2" t="s">
        <v>645</v>
      </c>
      <c r="W1543" s="2" t="s">
        <v>976</v>
      </c>
      <c r="X1543" s="2" t="s">
        <v>105</v>
      </c>
      <c r="Y1543" s="2" t="s">
        <v>100</v>
      </c>
      <c r="Z1543" s="4"/>
      <c r="AA1543" s="4">
        <f>=ROUNDDOWN({0},0)</f>
      </c>
      <c r="AB1543" s="5"/>
      <c r="AC1543" s="2" t="s">
        <v>411</v>
      </c>
      <c r="AD1543" s="4">
        <v>381</v>
      </c>
      <c r="AE1543" s="4">
        <v>861</v>
      </c>
      <c r="AF1543" s="6">
        <v>63</v>
      </c>
      <c r="AG1543" s="6">
        <v>46</v>
      </c>
      <c r="AH1543" s="7">
        <v>0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 t="s">
        <v>100</v>
      </c>
      <c r="AW1543" s="8" t="s">
        <v>100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 t="s">
        <v>100</v>
      </c>
      <c r="BJ1543" s="4"/>
      <c r="BK1543" s="8"/>
      <c r="BL1543" s="2" t="s">
        <v>100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1338</v>
      </c>
      <c r="BV1543" s="2" t="s">
        <v>97</v>
      </c>
      <c r="BW1543" s="2" t="s">
        <v>100</v>
      </c>
      <c r="BX1543" s="2" t="s">
        <v>100</v>
      </c>
      <c r="BY1543" s="2" t="s">
        <v>112</v>
      </c>
      <c r="BZ1543" s="2" t="s">
        <v>100</v>
      </c>
    </row>
    <row r="1544">
      <c r="A1544" s="2" t="s">
        <v>4827</v>
      </c>
      <c r="B1544" s="2" t="s">
        <v>87</v>
      </c>
      <c r="C1544" s="2" t="s">
        <v>4613</v>
      </c>
      <c r="D1544" s="2" t="s">
        <v>89</v>
      </c>
      <c r="E1544" s="2" t="s">
        <v>2030</v>
      </c>
      <c r="F1544" s="2" t="s">
        <v>4767</v>
      </c>
      <c r="G1544" s="2" t="s">
        <v>4768</v>
      </c>
      <c r="H1544" s="2" t="s">
        <v>4769</v>
      </c>
      <c r="I1544" s="2" t="s">
        <v>4770</v>
      </c>
      <c r="J1544" s="2" t="s">
        <v>114</v>
      </c>
      <c r="K1544" s="2" t="s">
        <v>146</v>
      </c>
      <c r="L1544" s="3">
        <v>26.19</v>
      </c>
      <c r="M1544" s="3">
        <v>27.5</v>
      </c>
      <c r="N1544" s="3">
        <v>54.99</v>
      </c>
      <c r="O1544" s="2" t="s">
        <v>97</v>
      </c>
      <c r="P1544" s="2" t="s">
        <v>341</v>
      </c>
      <c r="Q1544" s="2" t="s">
        <v>99</v>
      </c>
      <c r="R1544" s="2" t="s">
        <v>100</v>
      </c>
      <c r="S1544" s="2" t="s">
        <v>4824</v>
      </c>
      <c r="T1544" s="2" t="s">
        <v>787</v>
      </c>
      <c r="U1544" s="2" t="s">
        <v>1508</v>
      </c>
      <c r="V1544" s="2" t="s">
        <v>645</v>
      </c>
      <c r="W1544" s="2" t="s">
        <v>976</v>
      </c>
      <c r="X1544" s="2" t="s">
        <v>105</v>
      </c>
      <c r="Y1544" s="2" t="s">
        <v>4672</v>
      </c>
      <c r="Z1544" s="4">
        <v>2045</v>
      </c>
      <c r="AA1544" s="4">
        <f>=ROUNDDOWN(28.013698630137,0)</f>
      </c>
      <c r="AB1544" s="5">
        <v>73</v>
      </c>
      <c r="AC1544" s="2" t="s">
        <v>2404</v>
      </c>
      <c r="AD1544" s="4">
        <v>531</v>
      </c>
      <c r="AE1544" s="4">
        <v>5004</v>
      </c>
      <c r="AF1544" s="6">
        <v>63</v>
      </c>
      <c r="AG1544" s="6">
        <v>46</v>
      </c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>
        <v>0</v>
      </c>
      <c r="AP1544" s="4"/>
      <c r="AQ1544" s="8"/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/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 t="s">
        <v>100</v>
      </c>
      <c r="BJ1544" s="4">
        <v>114</v>
      </c>
      <c r="BK1544" s="8">
        <v>3762.63</v>
      </c>
      <c r="BL1544" s="2" t="s">
        <v>4828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109</v>
      </c>
      <c r="BV1544" s="2" t="s">
        <v>97</v>
      </c>
      <c r="BW1544" s="2" t="s">
        <v>819</v>
      </c>
      <c r="BX1544" s="2" t="s">
        <v>3026</v>
      </c>
      <c r="BY1544" s="2" t="s">
        <v>112</v>
      </c>
      <c r="BZ1544" s="2" t="s">
        <v>100</v>
      </c>
    </row>
    <row r="1545">
      <c r="A1545" s="2" t="s">
        <v>4829</v>
      </c>
      <c r="B1545" s="2" t="s">
        <v>87</v>
      </c>
      <c r="C1545" s="2" t="s">
        <v>4613</v>
      </c>
      <c r="D1545" s="2" t="s">
        <v>89</v>
      </c>
      <c r="E1545" s="2" t="s">
        <v>2030</v>
      </c>
      <c r="F1545" s="2" t="s">
        <v>4767</v>
      </c>
      <c r="G1545" s="2" t="s">
        <v>4768</v>
      </c>
      <c r="H1545" s="2" t="s">
        <v>4769</v>
      </c>
      <c r="I1545" s="2" t="s">
        <v>4770</v>
      </c>
      <c r="J1545" s="2" t="s">
        <v>120</v>
      </c>
      <c r="K1545" s="2" t="s">
        <v>146</v>
      </c>
      <c r="L1545" s="3">
        <v>28.57</v>
      </c>
      <c r="M1545" s="3">
        <v>30</v>
      </c>
      <c r="N1545" s="3">
        <v>59.99</v>
      </c>
      <c r="O1545" s="2" t="s">
        <v>97</v>
      </c>
      <c r="P1545" s="2" t="s">
        <v>341</v>
      </c>
      <c r="Q1545" s="2" t="s">
        <v>99</v>
      </c>
      <c r="R1545" s="2" t="s">
        <v>100</v>
      </c>
      <c r="S1545" s="2" t="s">
        <v>4824</v>
      </c>
      <c r="T1545" s="2" t="s">
        <v>787</v>
      </c>
      <c r="U1545" s="2" t="s">
        <v>1508</v>
      </c>
      <c r="V1545" s="2" t="s">
        <v>645</v>
      </c>
      <c r="W1545" s="2" t="s">
        <v>976</v>
      </c>
      <c r="X1545" s="2" t="s">
        <v>105</v>
      </c>
      <c r="Y1545" s="2" t="s">
        <v>2129</v>
      </c>
      <c r="Z1545" s="4">
        <v>3724</v>
      </c>
      <c r="AA1545" s="4">
        <f>=ROUNDDOWN(66.5,0)</f>
      </c>
      <c r="AB1545" s="5">
        <v>56</v>
      </c>
      <c r="AC1545" s="2" t="s">
        <v>2404</v>
      </c>
      <c r="AD1545" s="4">
        <v>1005</v>
      </c>
      <c r="AE1545" s="4">
        <v>5994</v>
      </c>
      <c r="AF1545" s="6">
        <v>63</v>
      </c>
      <c r="AG1545" s="6">
        <v>46</v>
      </c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>
        <v>0</v>
      </c>
      <c r="AP1545" s="4"/>
      <c r="AQ1545" s="8"/>
      <c r="AR1545" s="4"/>
      <c r="AS1545" s="8"/>
      <c r="AT1545" s="7"/>
      <c r="AU1545" s="7"/>
      <c r="AV1545" s="4" t="s">
        <v>100</v>
      </c>
      <c r="AW1545" s="8" t="s">
        <v>100</v>
      </c>
      <c r="AX1545" s="4" t="s">
        <v>100</v>
      </c>
      <c r="AY1545" s="8" t="s">
        <v>100</v>
      </c>
      <c r="AZ1545" s="7" t="s">
        <v>100</v>
      </c>
      <c r="BA1545" s="7" t="s">
        <v>100</v>
      </c>
      <c r="BB1545" s="7"/>
      <c r="BC1545" s="4" t="s">
        <v>100</v>
      </c>
      <c r="BD1545" s="8" t="s">
        <v>100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 t="s">
        <v>100</v>
      </c>
      <c r="BJ1545" s="4">
        <v>171</v>
      </c>
      <c r="BK1545" s="8">
        <v>6968.83</v>
      </c>
      <c r="BL1545" s="2" t="s">
        <v>4795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109</v>
      </c>
      <c r="BV1545" s="2" t="s">
        <v>97</v>
      </c>
      <c r="BW1545" s="2" t="s">
        <v>819</v>
      </c>
      <c r="BX1545" s="2" t="s">
        <v>2183</v>
      </c>
      <c r="BY1545" s="2" t="s">
        <v>112</v>
      </c>
      <c r="BZ1545" s="2" t="s">
        <v>100</v>
      </c>
    </row>
    <row r="1546">
      <c r="A1546" s="2" t="s">
        <v>4830</v>
      </c>
      <c r="B1546" s="2" t="s">
        <v>87</v>
      </c>
      <c r="C1546" s="2" t="s">
        <v>4613</v>
      </c>
      <c r="D1546" s="2" t="s">
        <v>89</v>
      </c>
      <c r="E1546" s="2" t="s">
        <v>2030</v>
      </c>
      <c r="F1546" s="2" t="s">
        <v>4767</v>
      </c>
      <c r="G1546" s="2" t="s">
        <v>4768</v>
      </c>
      <c r="H1546" s="2" t="s">
        <v>4769</v>
      </c>
      <c r="I1546" s="2" t="s">
        <v>4770</v>
      </c>
      <c r="J1546" s="2" t="s">
        <v>124</v>
      </c>
      <c r="K1546" s="2" t="s">
        <v>146</v>
      </c>
      <c r="L1546" s="3">
        <v>30.95</v>
      </c>
      <c r="M1546" s="3">
        <v>32.5</v>
      </c>
      <c r="N1546" s="3">
        <v>64.99</v>
      </c>
      <c r="O1546" s="2" t="s">
        <v>97</v>
      </c>
      <c r="P1546" s="2" t="s">
        <v>1216</v>
      </c>
      <c r="Q1546" s="2" t="s">
        <v>99</v>
      </c>
      <c r="R1546" s="2" t="s">
        <v>100</v>
      </c>
      <c r="S1546" s="2" t="s">
        <v>4824</v>
      </c>
      <c r="T1546" s="2" t="s">
        <v>787</v>
      </c>
      <c r="U1546" s="2" t="s">
        <v>1508</v>
      </c>
      <c r="V1546" s="2" t="s">
        <v>645</v>
      </c>
      <c r="W1546" s="2" t="s">
        <v>976</v>
      </c>
      <c r="X1546" s="2" t="s">
        <v>105</v>
      </c>
      <c r="Y1546" s="2" t="s">
        <v>100</v>
      </c>
      <c r="Z1546" s="4"/>
      <c r="AA1546" s="4">
        <f>=ROUNDDOWN({0},0)</f>
      </c>
      <c r="AB1546" s="5"/>
      <c r="AC1546" s="2" t="s">
        <v>411</v>
      </c>
      <c r="AD1546" s="4">
        <v>552</v>
      </c>
      <c r="AE1546" s="4">
        <v>603</v>
      </c>
      <c r="AF1546" s="6">
        <v>63</v>
      </c>
      <c r="AG1546" s="6">
        <v>46</v>
      </c>
      <c r="AH1546" s="7">
        <v>0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>
        <v>0</v>
      </c>
      <c r="AP1546" s="4"/>
      <c r="AQ1546" s="8"/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/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 t="s">
        <v>100</v>
      </c>
      <c r="BJ1546" s="4"/>
      <c r="BK1546" s="8"/>
      <c r="BL1546" s="2" t="s">
        <v>100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1338</v>
      </c>
      <c r="BV1546" s="2" t="s">
        <v>97</v>
      </c>
      <c r="BW1546" s="2" t="s">
        <v>100</v>
      </c>
      <c r="BX1546" s="2" t="s">
        <v>100</v>
      </c>
      <c r="BY1546" s="2" t="s">
        <v>112</v>
      </c>
      <c r="BZ1546" s="2" t="s">
        <v>100</v>
      </c>
    </row>
    <row r="1547">
      <c r="A1547" s="2" t="s">
        <v>4831</v>
      </c>
      <c r="B1547" s="2" t="s">
        <v>87</v>
      </c>
      <c r="C1547" s="2" t="s">
        <v>4613</v>
      </c>
      <c r="D1547" s="2" t="s">
        <v>89</v>
      </c>
      <c r="E1547" s="2" t="s">
        <v>2030</v>
      </c>
      <c r="F1547" s="2" t="s">
        <v>4767</v>
      </c>
      <c r="G1547" s="2" t="s">
        <v>4768</v>
      </c>
      <c r="H1547" s="2" t="s">
        <v>4769</v>
      </c>
      <c r="I1547" s="2" t="s">
        <v>4770</v>
      </c>
      <c r="J1547" s="2" t="s">
        <v>673</v>
      </c>
      <c r="K1547" s="2" t="s">
        <v>1746</v>
      </c>
      <c r="L1547" s="3">
        <v>21.42</v>
      </c>
      <c r="M1547" s="3">
        <v>22.49</v>
      </c>
      <c r="N1547" s="3">
        <v>44.99</v>
      </c>
      <c r="O1547" s="2" t="s">
        <v>97</v>
      </c>
      <c r="P1547" s="2" t="s">
        <v>1216</v>
      </c>
      <c r="Q1547" s="2" t="s">
        <v>99</v>
      </c>
      <c r="R1547" s="2" t="s">
        <v>100</v>
      </c>
      <c r="S1547" s="2" t="s">
        <v>4832</v>
      </c>
      <c r="T1547" s="2" t="s">
        <v>787</v>
      </c>
      <c r="U1547" s="2" t="s">
        <v>2150</v>
      </c>
      <c r="V1547" s="2" t="s">
        <v>645</v>
      </c>
      <c r="W1547" s="2" t="s">
        <v>976</v>
      </c>
      <c r="X1547" s="2" t="s">
        <v>105</v>
      </c>
      <c r="Y1547" s="2" t="s">
        <v>100</v>
      </c>
      <c r="Z1547" s="4"/>
      <c r="AA1547" s="4">
        <f>=ROUNDDOWN({0},0)</f>
      </c>
      <c r="AB1547" s="5"/>
      <c r="AC1547" s="2" t="s">
        <v>648</v>
      </c>
      <c r="AD1547" s="4">
        <v>138</v>
      </c>
      <c r="AE1547" s="4">
        <v>375</v>
      </c>
      <c r="AF1547" s="6">
        <v>63</v>
      </c>
      <c r="AG1547" s="6">
        <v>46</v>
      </c>
      <c r="AH1547" s="7">
        <v>0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>
        <v>0</v>
      </c>
      <c r="AP1547" s="4"/>
      <c r="AQ1547" s="8"/>
      <c r="AR1547" s="4"/>
      <c r="AS1547" s="8"/>
      <c r="AT1547" s="7"/>
      <c r="AU1547" s="7"/>
      <c r="AV1547" s="4" t="s">
        <v>100</v>
      </c>
      <c r="AW1547" s="8" t="s">
        <v>100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/>
      <c r="BC1547" s="4" t="s">
        <v>100</v>
      </c>
      <c r="BD1547" s="8" t="s">
        <v>100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 t="s">
        <v>100</v>
      </c>
      <c r="BJ1547" s="4"/>
      <c r="BK1547" s="8"/>
      <c r="BL1547" s="2" t="s">
        <v>100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1338</v>
      </c>
      <c r="BV1547" s="2" t="s">
        <v>97</v>
      </c>
      <c r="BW1547" s="2" t="s">
        <v>100</v>
      </c>
      <c r="BX1547" s="2" t="s">
        <v>100</v>
      </c>
      <c r="BY1547" s="2" t="s">
        <v>112</v>
      </c>
      <c r="BZ1547" s="2" t="s">
        <v>100</v>
      </c>
    </row>
    <row r="1548">
      <c r="A1548" s="2" t="s">
        <v>4833</v>
      </c>
      <c r="B1548" s="2" t="s">
        <v>87</v>
      </c>
      <c r="C1548" s="2" t="s">
        <v>4613</v>
      </c>
      <c r="D1548" s="2" t="s">
        <v>89</v>
      </c>
      <c r="E1548" s="2" t="s">
        <v>2030</v>
      </c>
      <c r="F1548" s="2" t="s">
        <v>4767</v>
      </c>
      <c r="G1548" s="2" t="s">
        <v>4768</v>
      </c>
      <c r="H1548" s="2" t="s">
        <v>4769</v>
      </c>
      <c r="I1548" s="2" t="s">
        <v>4770</v>
      </c>
      <c r="J1548" s="2" t="s">
        <v>95</v>
      </c>
      <c r="K1548" s="2" t="s">
        <v>1746</v>
      </c>
      <c r="L1548" s="3">
        <v>25.23</v>
      </c>
      <c r="M1548" s="3">
        <v>26.49</v>
      </c>
      <c r="N1548" s="3">
        <v>52.99</v>
      </c>
      <c r="O1548" s="2" t="s">
        <v>97</v>
      </c>
      <c r="P1548" s="2" t="s">
        <v>1216</v>
      </c>
      <c r="Q1548" s="2" t="s">
        <v>99</v>
      </c>
      <c r="R1548" s="2" t="s">
        <v>100</v>
      </c>
      <c r="S1548" s="2" t="s">
        <v>4832</v>
      </c>
      <c r="T1548" s="2" t="s">
        <v>787</v>
      </c>
      <c r="U1548" s="2" t="s">
        <v>1508</v>
      </c>
      <c r="V1548" s="2" t="s">
        <v>645</v>
      </c>
      <c r="W1548" s="2" t="s">
        <v>976</v>
      </c>
      <c r="X1548" s="2" t="s">
        <v>105</v>
      </c>
      <c r="Y1548" s="2" t="s">
        <v>100</v>
      </c>
      <c r="Z1548" s="4"/>
      <c r="AA1548" s="4">
        <f>=ROUNDDOWN({0},0)</f>
      </c>
      <c r="AB1548" s="5"/>
      <c r="AC1548" s="2" t="s">
        <v>2598</v>
      </c>
      <c r="AD1548" s="4">
        <v>216</v>
      </c>
      <c r="AE1548" s="4">
        <v>627</v>
      </c>
      <c r="AF1548" s="6">
        <v>63</v>
      </c>
      <c r="AG1548" s="6">
        <v>46</v>
      </c>
      <c r="AH1548" s="7">
        <v>0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>
        <v>0</v>
      </c>
      <c r="AP1548" s="4"/>
      <c r="AQ1548" s="8"/>
      <c r="AR1548" s="4"/>
      <c r="AS1548" s="8"/>
      <c r="AT1548" s="7"/>
      <c r="AU1548" s="7"/>
      <c r="AV1548" s="4" t="s">
        <v>100</v>
      </c>
      <c r="AW1548" s="8" t="s">
        <v>100</v>
      </c>
      <c r="AX1548" s="4" t="s">
        <v>100</v>
      </c>
      <c r="AY1548" s="8" t="s">
        <v>100</v>
      </c>
      <c r="AZ1548" s="7" t="s">
        <v>100</v>
      </c>
      <c r="BA1548" s="7" t="s">
        <v>100</v>
      </c>
      <c r="BB1548" s="7"/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 t="s">
        <v>100</v>
      </c>
      <c r="BJ1548" s="4"/>
      <c r="BK1548" s="8"/>
      <c r="BL1548" s="2" t="s">
        <v>100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1338</v>
      </c>
      <c r="BV1548" s="2" t="s">
        <v>97</v>
      </c>
      <c r="BW1548" s="2" t="s">
        <v>100</v>
      </c>
      <c r="BX1548" s="2" t="s">
        <v>100</v>
      </c>
      <c r="BY1548" s="2" t="s">
        <v>112</v>
      </c>
      <c r="BZ1548" s="2" t="s">
        <v>100</v>
      </c>
    </row>
    <row r="1549">
      <c r="A1549" s="2" t="s">
        <v>4834</v>
      </c>
      <c r="B1549" s="2" t="s">
        <v>87</v>
      </c>
      <c r="C1549" s="2" t="s">
        <v>4613</v>
      </c>
      <c r="D1549" s="2" t="s">
        <v>89</v>
      </c>
      <c r="E1549" s="2" t="s">
        <v>2030</v>
      </c>
      <c r="F1549" s="2" t="s">
        <v>4767</v>
      </c>
      <c r="G1549" s="2" t="s">
        <v>4768</v>
      </c>
      <c r="H1549" s="2" t="s">
        <v>4769</v>
      </c>
      <c r="I1549" s="2" t="s">
        <v>4770</v>
      </c>
      <c r="J1549" s="2" t="s">
        <v>114</v>
      </c>
      <c r="K1549" s="2" t="s">
        <v>1746</v>
      </c>
      <c r="L1549" s="3">
        <v>26.19</v>
      </c>
      <c r="M1549" s="3">
        <v>27.5</v>
      </c>
      <c r="N1549" s="3">
        <v>54.99</v>
      </c>
      <c r="O1549" s="2" t="s">
        <v>97</v>
      </c>
      <c r="P1549" s="2" t="s">
        <v>1216</v>
      </c>
      <c r="Q1549" s="2" t="s">
        <v>99</v>
      </c>
      <c r="R1549" s="2" t="s">
        <v>100</v>
      </c>
      <c r="S1549" s="2" t="s">
        <v>4832</v>
      </c>
      <c r="T1549" s="2" t="s">
        <v>787</v>
      </c>
      <c r="U1549" s="2" t="s">
        <v>1508</v>
      </c>
      <c r="V1549" s="2" t="s">
        <v>645</v>
      </c>
      <c r="W1549" s="2" t="s">
        <v>976</v>
      </c>
      <c r="X1549" s="2" t="s">
        <v>105</v>
      </c>
      <c r="Y1549" s="2" t="s">
        <v>100</v>
      </c>
      <c r="Z1549" s="4"/>
      <c r="AA1549" s="4">
        <f>=ROUNDDOWN({0},0)</f>
      </c>
      <c r="AB1549" s="5"/>
      <c r="AC1549" s="2" t="s">
        <v>648</v>
      </c>
      <c r="AD1549" s="4">
        <v>348</v>
      </c>
      <c r="AE1549" s="4">
        <v>1263</v>
      </c>
      <c r="AF1549" s="6">
        <v>63</v>
      </c>
      <c r="AG1549" s="6">
        <v>46</v>
      </c>
      <c r="AH1549" s="7">
        <v>0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>
        <v>0</v>
      </c>
      <c r="AP1549" s="4"/>
      <c r="AQ1549" s="8"/>
      <c r="AR1549" s="4"/>
      <c r="AS1549" s="8"/>
      <c r="AT1549" s="7"/>
      <c r="AU1549" s="7"/>
      <c r="AV1549" s="4" t="s">
        <v>100</v>
      </c>
      <c r="AW1549" s="8" t="s">
        <v>100</v>
      </c>
      <c r="AX1549" s="4" t="s">
        <v>100</v>
      </c>
      <c r="AY1549" s="8" t="s">
        <v>100</v>
      </c>
      <c r="AZ1549" s="7" t="s">
        <v>100</v>
      </c>
      <c r="BA1549" s="7" t="s">
        <v>100</v>
      </c>
      <c r="BB1549" s="7"/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 t="s">
        <v>100</v>
      </c>
      <c r="BJ1549" s="4"/>
      <c r="BK1549" s="8"/>
      <c r="BL1549" s="2" t="s">
        <v>100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1338</v>
      </c>
      <c r="BV1549" s="2" t="s">
        <v>97</v>
      </c>
      <c r="BW1549" s="2" t="s">
        <v>100</v>
      </c>
      <c r="BX1549" s="2" t="s">
        <v>100</v>
      </c>
      <c r="BY1549" s="2" t="s">
        <v>112</v>
      </c>
      <c r="BZ1549" s="2" t="s">
        <v>100</v>
      </c>
    </row>
    <row r="1550">
      <c r="A1550" s="2" t="s">
        <v>4835</v>
      </c>
      <c r="B1550" s="2" t="s">
        <v>87</v>
      </c>
      <c r="C1550" s="2" t="s">
        <v>4613</v>
      </c>
      <c r="D1550" s="2" t="s">
        <v>89</v>
      </c>
      <c r="E1550" s="2" t="s">
        <v>2030</v>
      </c>
      <c r="F1550" s="2" t="s">
        <v>4767</v>
      </c>
      <c r="G1550" s="2" t="s">
        <v>4768</v>
      </c>
      <c r="H1550" s="2" t="s">
        <v>4769</v>
      </c>
      <c r="I1550" s="2" t="s">
        <v>4770</v>
      </c>
      <c r="J1550" s="2" t="s">
        <v>120</v>
      </c>
      <c r="K1550" s="2" t="s">
        <v>1746</v>
      </c>
      <c r="L1550" s="3">
        <v>28.57</v>
      </c>
      <c r="M1550" s="3">
        <v>30</v>
      </c>
      <c r="N1550" s="3">
        <v>59.99</v>
      </c>
      <c r="O1550" s="2" t="s">
        <v>97</v>
      </c>
      <c r="P1550" s="2" t="s">
        <v>1216</v>
      </c>
      <c r="Q1550" s="2" t="s">
        <v>99</v>
      </c>
      <c r="R1550" s="2" t="s">
        <v>100</v>
      </c>
      <c r="S1550" s="2" t="s">
        <v>4832</v>
      </c>
      <c r="T1550" s="2" t="s">
        <v>787</v>
      </c>
      <c r="U1550" s="2" t="s">
        <v>1508</v>
      </c>
      <c r="V1550" s="2" t="s">
        <v>645</v>
      </c>
      <c r="W1550" s="2" t="s">
        <v>976</v>
      </c>
      <c r="X1550" s="2" t="s">
        <v>105</v>
      </c>
      <c r="Y1550" s="2" t="s">
        <v>100</v>
      </c>
      <c r="Z1550" s="4"/>
      <c r="AA1550" s="4">
        <f>=ROUNDDOWN({0},0)</f>
      </c>
      <c r="AB1550" s="5"/>
      <c r="AC1550" s="2" t="s">
        <v>648</v>
      </c>
      <c r="AD1550" s="4">
        <v>687</v>
      </c>
      <c r="AE1550" s="4">
        <v>1725</v>
      </c>
      <c r="AF1550" s="6">
        <v>63</v>
      </c>
      <c r="AG1550" s="6">
        <v>46</v>
      </c>
      <c r="AH1550" s="7">
        <v>0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>
        <v>0</v>
      </c>
      <c r="AP1550" s="4"/>
      <c r="AQ1550" s="8"/>
      <c r="AR1550" s="4"/>
      <c r="AS1550" s="8"/>
      <c r="AT1550" s="7"/>
      <c r="AU1550" s="7"/>
      <c r="AV1550" s="4" t="s">
        <v>100</v>
      </c>
      <c r="AW1550" s="8" t="s">
        <v>100</v>
      </c>
      <c r="AX1550" s="4" t="s">
        <v>100</v>
      </c>
      <c r="AY1550" s="8" t="s">
        <v>100</v>
      </c>
      <c r="AZ1550" s="7" t="s">
        <v>100</v>
      </c>
      <c r="BA1550" s="7" t="s">
        <v>100</v>
      </c>
      <c r="BB1550" s="7"/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 t="s">
        <v>100</v>
      </c>
      <c r="BJ1550" s="4"/>
      <c r="BK1550" s="8"/>
      <c r="BL1550" s="2" t="s">
        <v>100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1338</v>
      </c>
      <c r="BV1550" s="2" t="s">
        <v>97</v>
      </c>
      <c r="BW1550" s="2" t="s">
        <v>100</v>
      </c>
      <c r="BX1550" s="2" t="s">
        <v>100</v>
      </c>
      <c r="BY1550" s="2" t="s">
        <v>112</v>
      </c>
      <c r="BZ1550" s="2" t="s">
        <v>100</v>
      </c>
    </row>
    <row r="1551">
      <c r="A1551" s="2" t="s">
        <v>4836</v>
      </c>
      <c r="B1551" s="2" t="s">
        <v>87</v>
      </c>
      <c r="C1551" s="2" t="s">
        <v>4613</v>
      </c>
      <c r="D1551" s="2" t="s">
        <v>89</v>
      </c>
      <c r="E1551" s="2" t="s">
        <v>2030</v>
      </c>
      <c r="F1551" s="2" t="s">
        <v>4767</v>
      </c>
      <c r="G1551" s="2" t="s">
        <v>4768</v>
      </c>
      <c r="H1551" s="2" t="s">
        <v>4769</v>
      </c>
      <c r="I1551" s="2" t="s">
        <v>4770</v>
      </c>
      <c r="J1551" s="2" t="s">
        <v>124</v>
      </c>
      <c r="K1551" s="2" t="s">
        <v>1746</v>
      </c>
      <c r="L1551" s="3">
        <v>30.95</v>
      </c>
      <c r="M1551" s="3">
        <v>32.5</v>
      </c>
      <c r="N1551" s="3">
        <v>64.99</v>
      </c>
      <c r="O1551" s="2" t="s">
        <v>97</v>
      </c>
      <c r="P1551" s="2" t="s">
        <v>1216</v>
      </c>
      <c r="Q1551" s="2" t="s">
        <v>99</v>
      </c>
      <c r="R1551" s="2" t="s">
        <v>100</v>
      </c>
      <c r="S1551" s="2" t="s">
        <v>4832</v>
      </c>
      <c r="T1551" s="2" t="s">
        <v>787</v>
      </c>
      <c r="U1551" s="2" t="s">
        <v>1508</v>
      </c>
      <c r="V1551" s="2" t="s">
        <v>645</v>
      </c>
      <c r="W1551" s="2" t="s">
        <v>976</v>
      </c>
      <c r="X1551" s="2" t="s">
        <v>105</v>
      </c>
      <c r="Y1551" s="2" t="s">
        <v>100</v>
      </c>
      <c r="Z1551" s="4"/>
      <c r="AA1551" s="4">
        <f>=ROUNDDOWN({0},0)</f>
      </c>
      <c r="AB1551" s="5"/>
      <c r="AC1551" s="2" t="s">
        <v>2598</v>
      </c>
      <c r="AD1551" s="4">
        <v>288</v>
      </c>
      <c r="AE1551" s="4">
        <v>600</v>
      </c>
      <c r="AF1551" s="6">
        <v>63</v>
      </c>
      <c r="AG1551" s="6">
        <v>46</v>
      </c>
      <c r="AH1551" s="7">
        <v>0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>
        <v>0</v>
      </c>
      <c r="AP1551" s="4"/>
      <c r="AQ1551" s="8"/>
      <c r="AR1551" s="4"/>
      <c r="AS1551" s="8"/>
      <c r="AT1551" s="7"/>
      <c r="AU1551" s="7"/>
      <c r="AV1551" s="4" t="s">
        <v>100</v>
      </c>
      <c r="AW1551" s="8" t="s">
        <v>100</v>
      </c>
      <c r="AX1551" s="4" t="s">
        <v>100</v>
      </c>
      <c r="AY1551" s="8" t="s">
        <v>100</v>
      </c>
      <c r="AZ1551" s="7" t="s">
        <v>100</v>
      </c>
      <c r="BA1551" s="7" t="s">
        <v>100</v>
      </c>
      <c r="BB1551" s="7"/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 t="s">
        <v>100</v>
      </c>
      <c r="BJ1551" s="4"/>
      <c r="BK1551" s="8"/>
      <c r="BL1551" s="2" t="s">
        <v>100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1338</v>
      </c>
      <c r="BV1551" s="2" t="s">
        <v>97</v>
      </c>
      <c r="BW1551" s="2" t="s">
        <v>100</v>
      </c>
      <c r="BX1551" s="2" t="s">
        <v>100</v>
      </c>
      <c r="BY1551" s="2" t="s">
        <v>112</v>
      </c>
      <c r="BZ1551" s="2" t="s">
        <v>100</v>
      </c>
    </row>
    <row r="1552">
      <c r="A1552" s="2" t="s">
        <v>4837</v>
      </c>
      <c r="B1552" s="2" t="s">
        <v>87</v>
      </c>
      <c r="C1552" s="2" t="s">
        <v>4613</v>
      </c>
      <c r="D1552" s="2" t="s">
        <v>89</v>
      </c>
      <c r="E1552" s="2" t="s">
        <v>2030</v>
      </c>
      <c r="F1552" s="2" t="s">
        <v>4767</v>
      </c>
      <c r="G1552" s="2" t="s">
        <v>4768</v>
      </c>
      <c r="H1552" s="2" t="s">
        <v>4769</v>
      </c>
      <c r="I1552" s="2" t="s">
        <v>4770</v>
      </c>
      <c r="J1552" s="2" t="s">
        <v>673</v>
      </c>
      <c r="K1552" s="2" t="s">
        <v>163</v>
      </c>
      <c r="L1552" s="3">
        <v>21.42</v>
      </c>
      <c r="M1552" s="3">
        <v>22.49</v>
      </c>
      <c r="N1552" s="3">
        <v>44.99</v>
      </c>
      <c r="O1552" s="2" t="s">
        <v>97</v>
      </c>
      <c r="P1552" s="2" t="s">
        <v>1216</v>
      </c>
      <c r="Q1552" s="2" t="s">
        <v>99</v>
      </c>
      <c r="R1552" s="2" t="s">
        <v>100</v>
      </c>
      <c r="S1552" s="2" t="s">
        <v>4838</v>
      </c>
      <c r="T1552" s="2" t="s">
        <v>787</v>
      </c>
      <c r="U1552" s="2" t="s">
        <v>2150</v>
      </c>
      <c r="V1552" s="2" t="s">
        <v>645</v>
      </c>
      <c r="W1552" s="2" t="s">
        <v>976</v>
      </c>
      <c r="X1552" s="2" t="s">
        <v>105</v>
      </c>
      <c r="Y1552" s="2" t="s">
        <v>100</v>
      </c>
      <c r="Z1552" s="4"/>
      <c r="AA1552" s="4">
        <f>=ROUNDDOWN({0},0)</f>
      </c>
      <c r="AB1552" s="5"/>
      <c r="AC1552" s="2" t="s">
        <v>648</v>
      </c>
      <c r="AD1552" s="4">
        <v>378</v>
      </c>
      <c r="AE1552" s="4">
        <v>696</v>
      </c>
      <c r="AF1552" s="6">
        <v>63</v>
      </c>
      <c r="AG1552" s="6">
        <v>46</v>
      </c>
      <c r="AH1552" s="7">
        <v>0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>
        <v>0</v>
      </c>
      <c r="AP1552" s="4"/>
      <c r="AQ1552" s="8"/>
      <c r="AR1552" s="4"/>
      <c r="AS1552" s="8"/>
      <c r="AT1552" s="7"/>
      <c r="AU1552" s="7"/>
      <c r="AV1552" s="4" t="s">
        <v>100</v>
      </c>
      <c r="AW1552" s="8" t="s">
        <v>100</v>
      </c>
      <c r="AX1552" s="4" t="s">
        <v>100</v>
      </c>
      <c r="AY1552" s="8" t="s">
        <v>100</v>
      </c>
      <c r="AZ1552" s="7" t="s">
        <v>100</v>
      </c>
      <c r="BA1552" s="7" t="s">
        <v>100</v>
      </c>
      <c r="BB1552" s="7"/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 t="s">
        <v>100</v>
      </c>
      <c r="BJ1552" s="4"/>
      <c r="BK1552" s="8"/>
      <c r="BL1552" s="2" t="s">
        <v>100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1338</v>
      </c>
      <c r="BV1552" s="2" t="s">
        <v>97</v>
      </c>
      <c r="BW1552" s="2" t="s">
        <v>100</v>
      </c>
      <c r="BX1552" s="2" t="s">
        <v>100</v>
      </c>
      <c r="BY1552" s="2" t="s">
        <v>112</v>
      </c>
      <c r="BZ1552" s="2" t="s">
        <v>100</v>
      </c>
    </row>
    <row r="1553">
      <c r="A1553" s="2" t="s">
        <v>4839</v>
      </c>
      <c r="B1553" s="2" t="s">
        <v>87</v>
      </c>
      <c r="C1553" s="2" t="s">
        <v>4613</v>
      </c>
      <c r="D1553" s="2" t="s">
        <v>89</v>
      </c>
      <c r="E1553" s="2" t="s">
        <v>2030</v>
      </c>
      <c r="F1553" s="2" t="s">
        <v>4767</v>
      </c>
      <c r="G1553" s="2" t="s">
        <v>4768</v>
      </c>
      <c r="H1553" s="2" t="s">
        <v>4769</v>
      </c>
      <c r="I1553" s="2" t="s">
        <v>4770</v>
      </c>
      <c r="J1553" s="2" t="s">
        <v>95</v>
      </c>
      <c r="K1553" s="2" t="s">
        <v>163</v>
      </c>
      <c r="L1553" s="3">
        <v>25.23</v>
      </c>
      <c r="M1553" s="3">
        <v>26.49</v>
      </c>
      <c r="N1553" s="3">
        <v>52.99</v>
      </c>
      <c r="O1553" s="2" t="s">
        <v>97</v>
      </c>
      <c r="P1553" s="2" t="s">
        <v>1216</v>
      </c>
      <c r="Q1553" s="2" t="s">
        <v>99</v>
      </c>
      <c r="R1553" s="2" t="s">
        <v>100</v>
      </c>
      <c r="S1553" s="2" t="s">
        <v>4838</v>
      </c>
      <c r="T1553" s="2" t="s">
        <v>787</v>
      </c>
      <c r="U1553" s="2" t="s">
        <v>1508</v>
      </c>
      <c r="V1553" s="2" t="s">
        <v>645</v>
      </c>
      <c r="W1553" s="2" t="s">
        <v>976</v>
      </c>
      <c r="X1553" s="2" t="s">
        <v>105</v>
      </c>
      <c r="Y1553" s="2" t="s">
        <v>100</v>
      </c>
      <c r="Z1553" s="4"/>
      <c r="AA1553" s="4">
        <f>=ROUNDDOWN({0},0)</f>
      </c>
      <c r="AB1553" s="5"/>
      <c r="AC1553" s="2" t="s">
        <v>2598</v>
      </c>
      <c r="AD1553" s="4">
        <v>414</v>
      </c>
      <c r="AE1553" s="4">
        <v>1149</v>
      </c>
      <c r="AF1553" s="6">
        <v>63</v>
      </c>
      <c r="AG1553" s="6">
        <v>46</v>
      </c>
      <c r="AH1553" s="7">
        <v>0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>
        <v>0</v>
      </c>
      <c r="AP1553" s="4"/>
      <c r="AQ1553" s="8"/>
      <c r="AR1553" s="4"/>
      <c r="AS1553" s="8"/>
      <c r="AT1553" s="7"/>
      <c r="AU1553" s="7"/>
      <c r="AV1553" s="4" t="s">
        <v>100</v>
      </c>
      <c r="AW1553" s="8" t="s">
        <v>100</v>
      </c>
      <c r="AX1553" s="4" t="s">
        <v>100</v>
      </c>
      <c r="AY1553" s="8" t="s">
        <v>100</v>
      </c>
      <c r="AZ1553" s="7" t="s">
        <v>100</v>
      </c>
      <c r="BA1553" s="7" t="s">
        <v>100</v>
      </c>
      <c r="BB1553" s="7"/>
      <c r="BC1553" s="4" t="s">
        <v>100</v>
      </c>
      <c r="BD1553" s="8" t="s">
        <v>100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 t="s">
        <v>100</v>
      </c>
      <c r="BJ1553" s="4"/>
      <c r="BK1553" s="8"/>
      <c r="BL1553" s="2" t="s">
        <v>100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1338</v>
      </c>
      <c r="BV1553" s="2" t="s">
        <v>97</v>
      </c>
      <c r="BW1553" s="2" t="s">
        <v>100</v>
      </c>
      <c r="BX1553" s="2" t="s">
        <v>100</v>
      </c>
      <c r="BY1553" s="2" t="s">
        <v>112</v>
      </c>
      <c r="BZ1553" s="2" t="s">
        <v>100</v>
      </c>
    </row>
    <row r="1554">
      <c r="A1554" s="2" t="s">
        <v>4840</v>
      </c>
      <c r="B1554" s="2" t="s">
        <v>87</v>
      </c>
      <c r="C1554" s="2" t="s">
        <v>4613</v>
      </c>
      <c r="D1554" s="2" t="s">
        <v>89</v>
      </c>
      <c r="E1554" s="2" t="s">
        <v>2030</v>
      </c>
      <c r="F1554" s="2" t="s">
        <v>4767</v>
      </c>
      <c r="G1554" s="2" t="s">
        <v>4768</v>
      </c>
      <c r="H1554" s="2" t="s">
        <v>4769</v>
      </c>
      <c r="I1554" s="2" t="s">
        <v>4770</v>
      </c>
      <c r="J1554" s="2" t="s">
        <v>114</v>
      </c>
      <c r="K1554" s="2" t="s">
        <v>163</v>
      </c>
      <c r="L1554" s="3">
        <v>26.19</v>
      </c>
      <c r="M1554" s="3">
        <v>27.5</v>
      </c>
      <c r="N1554" s="3">
        <v>54.99</v>
      </c>
      <c r="O1554" s="2" t="s">
        <v>97</v>
      </c>
      <c r="P1554" s="2" t="s">
        <v>1216</v>
      </c>
      <c r="Q1554" s="2" t="s">
        <v>99</v>
      </c>
      <c r="R1554" s="2" t="s">
        <v>100</v>
      </c>
      <c r="S1554" s="2" t="s">
        <v>4838</v>
      </c>
      <c r="T1554" s="2" t="s">
        <v>787</v>
      </c>
      <c r="U1554" s="2" t="s">
        <v>1508</v>
      </c>
      <c r="V1554" s="2" t="s">
        <v>645</v>
      </c>
      <c r="W1554" s="2" t="s">
        <v>976</v>
      </c>
      <c r="X1554" s="2" t="s">
        <v>105</v>
      </c>
      <c r="Y1554" s="2" t="s">
        <v>100</v>
      </c>
      <c r="Z1554" s="4"/>
      <c r="AA1554" s="4">
        <f>=ROUNDDOWN({0},0)</f>
      </c>
      <c r="AB1554" s="5"/>
      <c r="AC1554" s="2" t="s">
        <v>648</v>
      </c>
      <c r="AD1554" s="4">
        <v>933</v>
      </c>
      <c r="AE1554" s="4">
        <v>2064</v>
      </c>
      <c r="AF1554" s="6">
        <v>63</v>
      </c>
      <c r="AG1554" s="6">
        <v>46</v>
      </c>
      <c r="AH1554" s="7">
        <v>0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>
        <v>0</v>
      </c>
      <c r="AP1554" s="4"/>
      <c r="AQ1554" s="8"/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/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 t="s">
        <v>100</v>
      </c>
      <c r="BJ1554" s="4"/>
      <c r="BK1554" s="8"/>
      <c r="BL1554" s="2" t="s">
        <v>100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1338</v>
      </c>
      <c r="BV1554" s="2" t="s">
        <v>97</v>
      </c>
      <c r="BW1554" s="2" t="s">
        <v>100</v>
      </c>
      <c r="BX1554" s="2" t="s">
        <v>100</v>
      </c>
      <c r="BY1554" s="2" t="s">
        <v>112</v>
      </c>
      <c r="BZ1554" s="2" t="s">
        <v>100</v>
      </c>
    </row>
    <row r="1555">
      <c r="A1555" s="2" t="s">
        <v>4841</v>
      </c>
      <c r="B1555" s="2" t="s">
        <v>87</v>
      </c>
      <c r="C1555" s="2" t="s">
        <v>4613</v>
      </c>
      <c r="D1555" s="2" t="s">
        <v>89</v>
      </c>
      <c r="E1555" s="2" t="s">
        <v>2030</v>
      </c>
      <c r="F1555" s="2" t="s">
        <v>4767</v>
      </c>
      <c r="G1555" s="2" t="s">
        <v>4768</v>
      </c>
      <c r="H1555" s="2" t="s">
        <v>4769</v>
      </c>
      <c r="I1555" s="2" t="s">
        <v>4770</v>
      </c>
      <c r="J1555" s="2" t="s">
        <v>120</v>
      </c>
      <c r="K1555" s="2" t="s">
        <v>163</v>
      </c>
      <c r="L1555" s="3">
        <v>28.57</v>
      </c>
      <c r="M1555" s="3">
        <v>30</v>
      </c>
      <c r="N1555" s="3">
        <v>59.99</v>
      </c>
      <c r="O1555" s="2" t="s">
        <v>97</v>
      </c>
      <c r="P1555" s="2" t="s">
        <v>1216</v>
      </c>
      <c r="Q1555" s="2" t="s">
        <v>99</v>
      </c>
      <c r="R1555" s="2" t="s">
        <v>100</v>
      </c>
      <c r="S1555" s="2" t="s">
        <v>4838</v>
      </c>
      <c r="T1555" s="2" t="s">
        <v>787</v>
      </c>
      <c r="U1555" s="2" t="s">
        <v>1508</v>
      </c>
      <c r="V1555" s="2" t="s">
        <v>645</v>
      </c>
      <c r="W1555" s="2" t="s">
        <v>976</v>
      </c>
      <c r="X1555" s="2" t="s">
        <v>105</v>
      </c>
      <c r="Y1555" s="2" t="s">
        <v>100</v>
      </c>
      <c r="Z1555" s="4"/>
      <c r="AA1555" s="4">
        <f>=ROUNDDOWN({0},0)</f>
      </c>
      <c r="AB1555" s="5"/>
      <c r="AC1555" s="2" t="s">
        <v>648</v>
      </c>
      <c r="AD1555" s="4">
        <v>1227</v>
      </c>
      <c r="AE1555" s="4">
        <v>2541</v>
      </c>
      <c r="AF1555" s="6">
        <v>63</v>
      </c>
      <c r="AG1555" s="6">
        <v>46</v>
      </c>
      <c r="AH1555" s="7">
        <v>0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>
        <v>0</v>
      </c>
      <c r="AP1555" s="4"/>
      <c r="AQ1555" s="8"/>
      <c r="AR1555" s="4"/>
      <c r="AS1555" s="8"/>
      <c r="AT1555" s="7"/>
      <c r="AU1555" s="7"/>
      <c r="AV1555" s="4" t="s">
        <v>100</v>
      </c>
      <c r="AW1555" s="8" t="s">
        <v>100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/>
      <c r="BC1555" s="4" t="s">
        <v>100</v>
      </c>
      <c r="BD1555" s="8" t="s">
        <v>100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 t="s">
        <v>100</v>
      </c>
      <c r="BJ1555" s="4"/>
      <c r="BK1555" s="8"/>
      <c r="BL1555" s="2" t="s">
        <v>100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1338</v>
      </c>
      <c r="BV1555" s="2" t="s">
        <v>97</v>
      </c>
      <c r="BW1555" s="2" t="s">
        <v>100</v>
      </c>
      <c r="BX1555" s="2" t="s">
        <v>100</v>
      </c>
      <c r="BY1555" s="2" t="s">
        <v>112</v>
      </c>
      <c r="BZ1555" s="2" t="s">
        <v>100</v>
      </c>
    </row>
    <row r="1556">
      <c r="A1556" s="2" t="s">
        <v>4842</v>
      </c>
      <c r="B1556" s="2" t="s">
        <v>87</v>
      </c>
      <c r="C1556" s="2" t="s">
        <v>4613</v>
      </c>
      <c r="D1556" s="2" t="s">
        <v>89</v>
      </c>
      <c r="E1556" s="2" t="s">
        <v>2030</v>
      </c>
      <c r="F1556" s="2" t="s">
        <v>4767</v>
      </c>
      <c r="G1556" s="2" t="s">
        <v>4768</v>
      </c>
      <c r="H1556" s="2" t="s">
        <v>4769</v>
      </c>
      <c r="I1556" s="2" t="s">
        <v>4770</v>
      </c>
      <c r="J1556" s="2" t="s">
        <v>124</v>
      </c>
      <c r="K1556" s="2" t="s">
        <v>163</v>
      </c>
      <c r="L1556" s="3">
        <v>30.95</v>
      </c>
      <c r="M1556" s="3">
        <v>32.5</v>
      </c>
      <c r="N1556" s="3">
        <v>64.99</v>
      </c>
      <c r="O1556" s="2" t="s">
        <v>97</v>
      </c>
      <c r="P1556" s="2" t="s">
        <v>1216</v>
      </c>
      <c r="Q1556" s="2" t="s">
        <v>99</v>
      </c>
      <c r="R1556" s="2" t="s">
        <v>100</v>
      </c>
      <c r="S1556" s="2" t="s">
        <v>4838</v>
      </c>
      <c r="T1556" s="2" t="s">
        <v>787</v>
      </c>
      <c r="U1556" s="2" t="s">
        <v>1508</v>
      </c>
      <c r="V1556" s="2" t="s">
        <v>645</v>
      </c>
      <c r="W1556" s="2" t="s">
        <v>976</v>
      </c>
      <c r="X1556" s="2" t="s">
        <v>105</v>
      </c>
      <c r="Y1556" s="2" t="s">
        <v>100</v>
      </c>
      <c r="Z1556" s="4"/>
      <c r="AA1556" s="4">
        <f>=ROUNDDOWN({0},0)</f>
      </c>
      <c r="AB1556" s="5"/>
      <c r="AC1556" s="2" t="s">
        <v>2598</v>
      </c>
      <c r="AD1556" s="4">
        <v>648</v>
      </c>
      <c r="AE1556" s="4">
        <v>801</v>
      </c>
      <c r="AF1556" s="6">
        <v>63</v>
      </c>
      <c r="AG1556" s="6">
        <v>46</v>
      </c>
      <c r="AH1556" s="7">
        <v>0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>
        <v>0</v>
      </c>
      <c r="AP1556" s="4"/>
      <c r="AQ1556" s="8"/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/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 t="s">
        <v>100</v>
      </c>
      <c r="BJ1556" s="4"/>
      <c r="BK1556" s="8"/>
      <c r="BL1556" s="2" t="s">
        <v>100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1338</v>
      </c>
      <c r="BV1556" s="2" t="s">
        <v>97</v>
      </c>
      <c r="BW1556" s="2" t="s">
        <v>100</v>
      </c>
      <c r="BX1556" s="2" t="s">
        <v>100</v>
      </c>
      <c r="BY1556" s="2" t="s">
        <v>112</v>
      </c>
      <c r="BZ1556" s="2" t="s">
        <v>100</v>
      </c>
    </row>
    <row r="1557">
      <c r="A1557" s="2" t="s">
        <v>4843</v>
      </c>
      <c r="B1557" s="2" t="s">
        <v>87</v>
      </c>
      <c r="C1557" s="2" t="s">
        <v>4613</v>
      </c>
      <c r="D1557" s="2" t="s">
        <v>89</v>
      </c>
      <c r="E1557" s="2" t="s">
        <v>2030</v>
      </c>
      <c r="F1557" s="2" t="s">
        <v>4767</v>
      </c>
      <c r="G1557" s="2" t="s">
        <v>4768</v>
      </c>
      <c r="H1557" s="2" t="s">
        <v>4769</v>
      </c>
      <c r="I1557" s="2" t="s">
        <v>4770</v>
      </c>
      <c r="J1557" s="2" t="s">
        <v>673</v>
      </c>
      <c r="K1557" s="2" t="s">
        <v>661</v>
      </c>
      <c r="L1557" s="3">
        <v>21.42</v>
      </c>
      <c r="M1557" s="3">
        <v>22.49</v>
      </c>
      <c r="N1557" s="3">
        <v>44.99</v>
      </c>
      <c r="O1557" s="2" t="s">
        <v>97</v>
      </c>
      <c r="P1557" s="2" t="s">
        <v>1216</v>
      </c>
      <c r="Q1557" s="2" t="s">
        <v>99</v>
      </c>
      <c r="R1557" s="2" t="s">
        <v>100</v>
      </c>
      <c r="S1557" s="2" t="s">
        <v>4844</v>
      </c>
      <c r="T1557" s="2" t="s">
        <v>787</v>
      </c>
      <c r="U1557" s="2" t="s">
        <v>2150</v>
      </c>
      <c r="V1557" s="2" t="s">
        <v>645</v>
      </c>
      <c r="W1557" s="2" t="s">
        <v>976</v>
      </c>
      <c r="X1557" s="2" t="s">
        <v>105</v>
      </c>
      <c r="Y1557" s="2" t="s">
        <v>100</v>
      </c>
      <c r="Z1557" s="4"/>
      <c r="AA1557" s="4">
        <f>=ROUNDDOWN({0},0)</f>
      </c>
      <c r="AB1557" s="5"/>
      <c r="AC1557" s="2" t="s">
        <v>648</v>
      </c>
      <c r="AD1557" s="4">
        <v>156</v>
      </c>
      <c r="AE1557" s="4">
        <v>291</v>
      </c>
      <c r="AF1557" s="6">
        <v>63</v>
      </c>
      <c r="AG1557" s="6">
        <v>46</v>
      </c>
      <c r="AH1557" s="7">
        <v>0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>
        <v>0</v>
      </c>
      <c r="AP1557" s="4"/>
      <c r="AQ1557" s="8"/>
      <c r="AR1557" s="4"/>
      <c r="AS1557" s="8"/>
      <c r="AT1557" s="7"/>
      <c r="AU1557" s="7"/>
      <c r="AV1557" s="4" t="s">
        <v>100</v>
      </c>
      <c r="AW1557" s="8" t="s">
        <v>100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/>
      <c r="BC1557" s="4" t="s">
        <v>100</v>
      </c>
      <c r="BD1557" s="8" t="s">
        <v>100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 t="s">
        <v>100</v>
      </c>
      <c r="BJ1557" s="4"/>
      <c r="BK1557" s="8"/>
      <c r="BL1557" s="2" t="s">
        <v>100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1338</v>
      </c>
      <c r="BV1557" s="2" t="s">
        <v>97</v>
      </c>
      <c r="BW1557" s="2" t="s">
        <v>100</v>
      </c>
      <c r="BX1557" s="2" t="s">
        <v>100</v>
      </c>
      <c r="BY1557" s="2" t="s">
        <v>112</v>
      </c>
      <c r="BZ1557" s="2" t="s">
        <v>100</v>
      </c>
    </row>
    <row r="1558">
      <c r="A1558" s="2" t="s">
        <v>4845</v>
      </c>
      <c r="B1558" s="2" t="s">
        <v>87</v>
      </c>
      <c r="C1558" s="2" t="s">
        <v>4613</v>
      </c>
      <c r="D1558" s="2" t="s">
        <v>89</v>
      </c>
      <c r="E1558" s="2" t="s">
        <v>2030</v>
      </c>
      <c r="F1558" s="2" t="s">
        <v>4767</v>
      </c>
      <c r="G1558" s="2" t="s">
        <v>4768</v>
      </c>
      <c r="H1558" s="2" t="s">
        <v>4769</v>
      </c>
      <c r="I1558" s="2" t="s">
        <v>4770</v>
      </c>
      <c r="J1558" s="2" t="s">
        <v>95</v>
      </c>
      <c r="K1558" s="2" t="s">
        <v>661</v>
      </c>
      <c r="L1558" s="3">
        <v>25.23</v>
      </c>
      <c r="M1558" s="3">
        <v>26.49</v>
      </c>
      <c r="N1558" s="3">
        <v>52.99</v>
      </c>
      <c r="O1558" s="2" t="s">
        <v>97</v>
      </c>
      <c r="P1558" s="2" t="s">
        <v>1216</v>
      </c>
      <c r="Q1558" s="2" t="s">
        <v>99</v>
      </c>
      <c r="R1558" s="2" t="s">
        <v>100</v>
      </c>
      <c r="S1558" s="2" t="s">
        <v>4844</v>
      </c>
      <c r="T1558" s="2" t="s">
        <v>787</v>
      </c>
      <c r="U1558" s="2" t="s">
        <v>1508</v>
      </c>
      <c r="V1558" s="2" t="s">
        <v>645</v>
      </c>
      <c r="W1558" s="2" t="s">
        <v>976</v>
      </c>
      <c r="X1558" s="2" t="s">
        <v>105</v>
      </c>
      <c r="Y1558" s="2" t="s">
        <v>100</v>
      </c>
      <c r="Z1558" s="4"/>
      <c r="AA1558" s="4">
        <f>=ROUNDDOWN({0},0)</f>
      </c>
      <c r="AB1558" s="5"/>
      <c r="AC1558" s="2" t="s">
        <v>2598</v>
      </c>
      <c r="AD1558" s="4">
        <v>222</v>
      </c>
      <c r="AE1558" s="4">
        <v>645</v>
      </c>
      <c r="AF1558" s="6">
        <v>63</v>
      </c>
      <c r="AG1558" s="6">
        <v>46</v>
      </c>
      <c r="AH1558" s="7">
        <v>0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>
        <v>0</v>
      </c>
      <c r="AP1558" s="4"/>
      <c r="AQ1558" s="8"/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/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 t="s">
        <v>100</v>
      </c>
      <c r="BJ1558" s="4"/>
      <c r="BK1558" s="8"/>
      <c r="BL1558" s="2" t="s">
        <v>100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1338</v>
      </c>
      <c r="BV1558" s="2" t="s">
        <v>97</v>
      </c>
      <c r="BW1558" s="2" t="s">
        <v>100</v>
      </c>
      <c r="BX1558" s="2" t="s">
        <v>100</v>
      </c>
      <c r="BY1558" s="2" t="s">
        <v>112</v>
      </c>
      <c r="BZ1558" s="2" t="s">
        <v>100</v>
      </c>
    </row>
    <row r="1559">
      <c r="A1559" s="2" t="s">
        <v>4846</v>
      </c>
      <c r="B1559" s="2" t="s">
        <v>87</v>
      </c>
      <c r="C1559" s="2" t="s">
        <v>4613</v>
      </c>
      <c r="D1559" s="2" t="s">
        <v>89</v>
      </c>
      <c r="E1559" s="2" t="s">
        <v>2030</v>
      </c>
      <c r="F1559" s="2" t="s">
        <v>4767</v>
      </c>
      <c r="G1559" s="2" t="s">
        <v>4768</v>
      </c>
      <c r="H1559" s="2" t="s">
        <v>4769</v>
      </c>
      <c r="I1559" s="2" t="s">
        <v>4770</v>
      </c>
      <c r="J1559" s="2" t="s">
        <v>114</v>
      </c>
      <c r="K1559" s="2" t="s">
        <v>661</v>
      </c>
      <c r="L1559" s="3">
        <v>26.19</v>
      </c>
      <c r="M1559" s="3">
        <v>27.5</v>
      </c>
      <c r="N1559" s="3">
        <v>54.99</v>
      </c>
      <c r="O1559" s="2" t="s">
        <v>97</v>
      </c>
      <c r="P1559" s="2" t="s">
        <v>1216</v>
      </c>
      <c r="Q1559" s="2" t="s">
        <v>99</v>
      </c>
      <c r="R1559" s="2" t="s">
        <v>100</v>
      </c>
      <c r="S1559" s="2" t="s">
        <v>4844</v>
      </c>
      <c r="T1559" s="2" t="s">
        <v>787</v>
      </c>
      <c r="U1559" s="2" t="s">
        <v>1508</v>
      </c>
      <c r="V1559" s="2" t="s">
        <v>645</v>
      </c>
      <c r="W1559" s="2" t="s">
        <v>976</v>
      </c>
      <c r="X1559" s="2" t="s">
        <v>105</v>
      </c>
      <c r="Y1559" s="2" t="s">
        <v>100</v>
      </c>
      <c r="Z1559" s="4"/>
      <c r="AA1559" s="4">
        <f>=ROUNDDOWN({0},0)</f>
      </c>
      <c r="AB1559" s="5"/>
      <c r="AC1559" s="2" t="s">
        <v>648</v>
      </c>
      <c r="AD1559" s="4">
        <v>330</v>
      </c>
      <c r="AE1559" s="4">
        <v>1077</v>
      </c>
      <c r="AF1559" s="6">
        <v>63</v>
      </c>
      <c r="AG1559" s="6">
        <v>46</v>
      </c>
      <c r="AH1559" s="7">
        <v>0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>
        <v>0</v>
      </c>
      <c r="AP1559" s="4"/>
      <c r="AQ1559" s="8"/>
      <c r="AR1559" s="4"/>
      <c r="AS1559" s="8"/>
      <c r="AT1559" s="7"/>
      <c r="AU1559" s="7"/>
      <c r="AV1559" s="4" t="s">
        <v>100</v>
      </c>
      <c r="AW1559" s="8" t="s">
        <v>100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/>
      <c r="BC1559" s="4" t="s">
        <v>100</v>
      </c>
      <c r="BD1559" s="8" t="s">
        <v>100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 t="s">
        <v>100</v>
      </c>
      <c r="BJ1559" s="4"/>
      <c r="BK1559" s="8"/>
      <c r="BL1559" s="2" t="s">
        <v>100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1338</v>
      </c>
      <c r="BV1559" s="2" t="s">
        <v>97</v>
      </c>
      <c r="BW1559" s="2" t="s">
        <v>100</v>
      </c>
      <c r="BX1559" s="2" t="s">
        <v>100</v>
      </c>
      <c r="BY1559" s="2" t="s">
        <v>112</v>
      </c>
      <c r="BZ1559" s="2" t="s">
        <v>100</v>
      </c>
    </row>
    <row r="1560">
      <c r="A1560" s="2" t="s">
        <v>4847</v>
      </c>
      <c r="B1560" s="2" t="s">
        <v>87</v>
      </c>
      <c r="C1560" s="2" t="s">
        <v>4613</v>
      </c>
      <c r="D1560" s="2" t="s">
        <v>89</v>
      </c>
      <c r="E1560" s="2" t="s">
        <v>2030</v>
      </c>
      <c r="F1560" s="2" t="s">
        <v>4767</v>
      </c>
      <c r="G1560" s="2" t="s">
        <v>4768</v>
      </c>
      <c r="H1560" s="2" t="s">
        <v>4769</v>
      </c>
      <c r="I1560" s="2" t="s">
        <v>4770</v>
      </c>
      <c r="J1560" s="2" t="s">
        <v>120</v>
      </c>
      <c r="K1560" s="2" t="s">
        <v>661</v>
      </c>
      <c r="L1560" s="3">
        <v>28.57</v>
      </c>
      <c r="M1560" s="3">
        <v>30</v>
      </c>
      <c r="N1560" s="3">
        <v>59.99</v>
      </c>
      <c r="O1560" s="2" t="s">
        <v>97</v>
      </c>
      <c r="P1560" s="2" t="s">
        <v>1216</v>
      </c>
      <c r="Q1560" s="2" t="s">
        <v>99</v>
      </c>
      <c r="R1560" s="2" t="s">
        <v>100</v>
      </c>
      <c r="S1560" s="2" t="s">
        <v>4844</v>
      </c>
      <c r="T1560" s="2" t="s">
        <v>787</v>
      </c>
      <c r="U1560" s="2" t="s">
        <v>1508</v>
      </c>
      <c r="V1560" s="2" t="s">
        <v>645</v>
      </c>
      <c r="W1560" s="2" t="s">
        <v>976</v>
      </c>
      <c r="X1560" s="2" t="s">
        <v>105</v>
      </c>
      <c r="Y1560" s="2" t="s">
        <v>100</v>
      </c>
      <c r="Z1560" s="4"/>
      <c r="AA1560" s="4">
        <f>=ROUNDDOWN({0},0)</f>
      </c>
      <c r="AB1560" s="5"/>
      <c r="AC1560" s="2" t="s">
        <v>648</v>
      </c>
      <c r="AD1560" s="4">
        <v>336</v>
      </c>
      <c r="AE1560" s="4">
        <v>1575</v>
      </c>
      <c r="AF1560" s="6">
        <v>63</v>
      </c>
      <c r="AG1560" s="6">
        <v>46</v>
      </c>
      <c r="AH1560" s="7">
        <v>0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>
        <v>0</v>
      </c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 t="s">
        <v>100</v>
      </c>
      <c r="BJ1560" s="4"/>
      <c r="BK1560" s="8"/>
      <c r="BL1560" s="2" t="s">
        <v>100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1338</v>
      </c>
      <c r="BV1560" s="2" t="s">
        <v>97</v>
      </c>
      <c r="BW1560" s="2" t="s">
        <v>100</v>
      </c>
      <c r="BX1560" s="2" t="s">
        <v>100</v>
      </c>
      <c r="BY1560" s="2" t="s">
        <v>112</v>
      </c>
      <c r="BZ1560" s="2" t="s">
        <v>100</v>
      </c>
    </row>
    <row r="1561">
      <c r="A1561" s="2" t="s">
        <v>4848</v>
      </c>
      <c r="B1561" s="2" t="s">
        <v>87</v>
      </c>
      <c r="C1561" s="2" t="s">
        <v>4613</v>
      </c>
      <c r="D1561" s="2" t="s">
        <v>89</v>
      </c>
      <c r="E1561" s="2" t="s">
        <v>2030</v>
      </c>
      <c r="F1561" s="2" t="s">
        <v>4767</v>
      </c>
      <c r="G1561" s="2" t="s">
        <v>4768</v>
      </c>
      <c r="H1561" s="2" t="s">
        <v>4769</v>
      </c>
      <c r="I1561" s="2" t="s">
        <v>4770</v>
      </c>
      <c r="J1561" s="2" t="s">
        <v>124</v>
      </c>
      <c r="K1561" s="2" t="s">
        <v>661</v>
      </c>
      <c r="L1561" s="3">
        <v>30.95</v>
      </c>
      <c r="M1561" s="3">
        <v>32.5</v>
      </c>
      <c r="N1561" s="3">
        <v>64.99</v>
      </c>
      <c r="O1561" s="2" t="s">
        <v>97</v>
      </c>
      <c r="P1561" s="2" t="s">
        <v>1216</v>
      </c>
      <c r="Q1561" s="2" t="s">
        <v>99</v>
      </c>
      <c r="R1561" s="2" t="s">
        <v>100</v>
      </c>
      <c r="S1561" s="2" t="s">
        <v>4844</v>
      </c>
      <c r="T1561" s="2" t="s">
        <v>787</v>
      </c>
      <c r="U1561" s="2" t="s">
        <v>1508</v>
      </c>
      <c r="V1561" s="2" t="s">
        <v>645</v>
      </c>
      <c r="W1561" s="2" t="s">
        <v>976</v>
      </c>
      <c r="X1561" s="2" t="s">
        <v>105</v>
      </c>
      <c r="Y1561" s="2" t="s">
        <v>100</v>
      </c>
      <c r="Z1561" s="4"/>
      <c r="AA1561" s="4">
        <f>=ROUNDDOWN({0},0)</f>
      </c>
      <c r="AB1561" s="5"/>
      <c r="AC1561" s="2" t="s">
        <v>2598</v>
      </c>
      <c r="AD1561" s="4">
        <v>321</v>
      </c>
      <c r="AE1561" s="4">
        <v>600</v>
      </c>
      <c r="AF1561" s="6">
        <v>63</v>
      </c>
      <c r="AG1561" s="6">
        <v>46</v>
      </c>
      <c r="AH1561" s="7">
        <v>0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>
        <v>0</v>
      </c>
      <c r="AP1561" s="4"/>
      <c r="AQ1561" s="8"/>
      <c r="AR1561" s="4"/>
      <c r="AS1561" s="8"/>
      <c r="AT1561" s="7"/>
      <c r="AU1561" s="7"/>
      <c r="AV1561" s="4" t="s">
        <v>100</v>
      </c>
      <c r="AW1561" s="8" t="s">
        <v>100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 t="s">
        <v>100</v>
      </c>
      <c r="BD1561" s="8" t="s">
        <v>100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 t="s">
        <v>100</v>
      </c>
      <c r="BJ1561" s="4"/>
      <c r="BK1561" s="8"/>
      <c r="BL1561" s="2" t="s">
        <v>100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1338</v>
      </c>
      <c r="BV1561" s="2" t="s">
        <v>97</v>
      </c>
      <c r="BW1561" s="2" t="s">
        <v>100</v>
      </c>
      <c r="BX1561" s="2" t="s">
        <v>100</v>
      </c>
      <c r="BY1561" s="2" t="s">
        <v>112</v>
      </c>
      <c r="BZ1561" s="2" t="s">
        <v>100</v>
      </c>
    </row>
    <row r="1562">
      <c r="A1562" s="2" t="s">
        <v>4849</v>
      </c>
      <c r="B1562" s="2" t="s">
        <v>87</v>
      </c>
      <c r="C1562" s="2" t="s">
        <v>4613</v>
      </c>
      <c r="D1562" s="2" t="s">
        <v>89</v>
      </c>
      <c r="E1562" s="2" t="s">
        <v>2030</v>
      </c>
      <c r="F1562" s="2" t="s">
        <v>4767</v>
      </c>
      <c r="G1562" s="2" t="s">
        <v>4768</v>
      </c>
      <c r="H1562" s="2" t="s">
        <v>4769</v>
      </c>
      <c r="I1562" s="2" t="s">
        <v>4770</v>
      </c>
      <c r="J1562" s="2" t="s">
        <v>673</v>
      </c>
      <c r="K1562" s="2" t="s">
        <v>416</v>
      </c>
      <c r="L1562" s="3">
        <v>21.42</v>
      </c>
      <c r="M1562" s="3">
        <v>22.49</v>
      </c>
      <c r="N1562" s="3">
        <v>44.99</v>
      </c>
      <c r="O1562" s="2" t="s">
        <v>97</v>
      </c>
      <c r="P1562" s="2" t="s">
        <v>1216</v>
      </c>
      <c r="Q1562" s="2" t="s">
        <v>99</v>
      </c>
      <c r="R1562" s="2" t="s">
        <v>100</v>
      </c>
      <c r="S1562" s="2" t="s">
        <v>4850</v>
      </c>
      <c r="T1562" s="2" t="s">
        <v>787</v>
      </c>
      <c r="U1562" s="2" t="s">
        <v>2150</v>
      </c>
      <c r="V1562" s="2" t="s">
        <v>645</v>
      </c>
      <c r="W1562" s="2" t="s">
        <v>976</v>
      </c>
      <c r="X1562" s="2" t="s">
        <v>105</v>
      </c>
      <c r="Y1562" s="2" t="s">
        <v>100</v>
      </c>
      <c r="Z1562" s="4"/>
      <c r="AA1562" s="4">
        <f>=ROUNDDOWN({0},0)</f>
      </c>
      <c r="AB1562" s="5"/>
      <c r="AC1562" s="2" t="s">
        <v>648</v>
      </c>
      <c r="AD1562" s="4">
        <v>138</v>
      </c>
      <c r="AE1562" s="4">
        <v>321</v>
      </c>
      <c r="AF1562" s="6">
        <v>63</v>
      </c>
      <c r="AG1562" s="6">
        <v>46</v>
      </c>
      <c r="AH1562" s="7">
        <v>0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>
        <v>0</v>
      </c>
      <c r="AP1562" s="4"/>
      <c r="AQ1562" s="8"/>
      <c r="AR1562" s="4"/>
      <c r="AS1562" s="8"/>
      <c r="AT1562" s="7"/>
      <c r="AU1562" s="7"/>
      <c r="AV1562" s="4" t="s">
        <v>100</v>
      </c>
      <c r="AW1562" s="8" t="s">
        <v>100</v>
      </c>
      <c r="AX1562" s="4" t="s">
        <v>100</v>
      </c>
      <c r="AY1562" s="8" t="s">
        <v>100</v>
      </c>
      <c r="AZ1562" s="7" t="s">
        <v>100</v>
      </c>
      <c r="BA1562" s="7" t="s">
        <v>100</v>
      </c>
      <c r="BB1562" s="7"/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 t="s">
        <v>100</v>
      </c>
      <c r="BJ1562" s="4"/>
      <c r="BK1562" s="8"/>
      <c r="BL1562" s="2" t="s">
        <v>100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1338</v>
      </c>
      <c r="BV1562" s="2" t="s">
        <v>97</v>
      </c>
      <c r="BW1562" s="2" t="s">
        <v>100</v>
      </c>
      <c r="BX1562" s="2" t="s">
        <v>100</v>
      </c>
      <c r="BY1562" s="2" t="s">
        <v>112</v>
      </c>
      <c r="BZ1562" s="2" t="s">
        <v>100</v>
      </c>
    </row>
    <row r="1563">
      <c r="A1563" s="2" t="s">
        <v>4851</v>
      </c>
      <c r="B1563" s="2" t="s">
        <v>87</v>
      </c>
      <c r="C1563" s="2" t="s">
        <v>4613</v>
      </c>
      <c r="D1563" s="2" t="s">
        <v>89</v>
      </c>
      <c r="E1563" s="2" t="s">
        <v>2030</v>
      </c>
      <c r="F1563" s="2" t="s">
        <v>4767</v>
      </c>
      <c r="G1563" s="2" t="s">
        <v>4768</v>
      </c>
      <c r="H1563" s="2" t="s">
        <v>4769</v>
      </c>
      <c r="I1563" s="2" t="s">
        <v>4770</v>
      </c>
      <c r="J1563" s="2" t="s">
        <v>95</v>
      </c>
      <c r="K1563" s="2" t="s">
        <v>416</v>
      </c>
      <c r="L1563" s="3">
        <v>25.23</v>
      </c>
      <c r="M1563" s="3">
        <v>26.49</v>
      </c>
      <c r="N1563" s="3">
        <v>52.99</v>
      </c>
      <c r="O1563" s="2" t="s">
        <v>97</v>
      </c>
      <c r="P1563" s="2" t="s">
        <v>1216</v>
      </c>
      <c r="Q1563" s="2" t="s">
        <v>99</v>
      </c>
      <c r="R1563" s="2" t="s">
        <v>100</v>
      </c>
      <c r="S1563" s="2" t="s">
        <v>4850</v>
      </c>
      <c r="T1563" s="2" t="s">
        <v>787</v>
      </c>
      <c r="U1563" s="2" t="s">
        <v>1508</v>
      </c>
      <c r="V1563" s="2" t="s">
        <v>645</v>
      </c>
      <c r="W1563" s="2" t="s">
        <v>976</v>
      </c>
      <c r="X1563" s="2" t="s">
        <v>105</v>
      </c>
      <c r="Y1563" s="2" t="s">
        <v>100</v>
      </c>
      <c r="Z1563" s="4"/>
      <c r="AA1563" s="4">
        <f>=ROUNDDOWN({0},0)</f>
      </c>
      <c r="AB1563" s="5"/>
      <c r="AC1563" s="2" t="s">
        <v>2598</v>
      </c>
      <c r="AD1563" s="4">
        <v>222</v>
      </c>
      <c r="AE1563" s="4">
        <v>645</v>
      </c>
      <c r="AF1563" s="6">
        <v>63</v>
      </c>
      <c r="AG1563" s="6">
        <v>46</v>
      </c>
      <c r="AH1563" s="7">
        <v>0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>
        <v>0</v>
      </c>
      <c r="AP1563" s="4"/>
      <c r="AQ1563" s="8"/>
      <c r="AR1563" s="4"/>
      <c r="AS1563" s="8"/>
      <c r="AT1563" s="7"/>
      <c r="AU1563" s="7"/>
      <c r="AV1563" s="4" t="s">
        <v>100</v>
      </c>
      <c r="AW1563" s="8" t="s">
        <v>100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/>
      <c r="BC1563" s="4" t="s">
        <v>100</v>
      </c>
      <c r="BD1563" s="8" t="s">
        <v>100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 t="s">
        <v>100</v>
      </c>
      <c r="BJ1563" s="4"/>
      <c r="BK1563" s="8"/>
      <c r="BL1563" s="2" t="s">
        <v>100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1338</v>
      </c>
      <c r="BV1563" s="2" t="s">
        <v>97</v>
      </c>
      <c r="BW1563" s="2" t="s">
        <v>100</v>
      </c>
      <c r="BX1563" s="2" t="s">
        <v>100</v>
      </c>
      <c r="BY1563" s="2" t="s">
        <v>112</v>
      </c>
      <c r="BZ1563" s="2" t="s">
        <v>100</v>
      </c>
    </row>
    <row r="1564">
      <c r="A1564" s="2" t="s">
        <v>4852</v>
      </c>
      <c r="B1564" s="2" t="s">
        <v>87</v>
      </c>
      <c r="C1564" s="2" t="s">
        <v>4613</v>
      </c>
      <c r="D1564" s="2" t="s">
        <v>89</v>
      </c>
      <c r="E1564" s="2" t="s">
        <v>2030</v>
      </c>
      <c r="F1564" s="2" t="s">
        <v>4767</v>
      </c>
      <c r="G1564" s="2" t="s">
        <v>4768</v>
      </c>
      <c r="H1564" s="2" t="s">
        <v>4769</v>
      </c>
      <c r="I1564" s="2" t="s">
        <v>4770</v>
      </c>
      <c r="J1564" s="2" t="s">
        <v>114</v>
      </c>
      <c r="K1564" s="2" t="s">
        <v>416</v>
      </c>
      <c r="L1564" s="3">
        <v>26.19</v>
      </c>
      <c r="M1564" s="3">
        <v>27.5</v>
      </c>
      <c r="N1564" s="3">
        <v>54.99</v>
      </c>
      <c r="O1564" s="2" t="s">
        <v>97</v>
      </c>
      <c r="P1564" s="2" t="s">
        <v>1216</v>
      </c>
      <c r="Q1564" s="2" t="s">
        <v>99</v>
      </c>
      <c r="R1564" s="2" t="s">
        <v>100</v>
      </c>
      <c r="S1564" s="2" t="s">
        <v>4850</v>
      </c>
      <c r="T1564" s="2" t="s">
        <v>787</v>
      </c>
      <c r="U1564" s="2" t="s">
        <v>1508</v>
      </c>
      <c r="V1564" s="2" t="s">
        <v>645</v>
      </c>
      <c r="W1564" s="2" t="s">
        <v>976</v>
      </c>
      <c r="X1564" s="2" t="s">
        <v>105</v>
      </c>
      <c r="Y1564" s="2" t="s">
        <v>100</v>
      </c>
      <c r="Z1564" s="4"/>
      <c r="AA1564" s="4">
        <f>=ROUNDDOWN({0},0)</f>
      </c>
      <c r="AB1564" s="5"/>
      <c r="AC1564" s="2" t="s">
        <v>648</v>
      </c>
      <c r="AD1564" s="4">
        <v>345</v>
      </c>
      <c r="AE1564" s="4">
        <v>1101</v>
      </c>
      <c r="AF1564" s="6">
        <v>63</v>
      </c>
      <c r="AG1564" s="6">
        <v>46</v>
      </c>
      <c r="AH1564" s="7">
        <v>0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>
        <v>0</v>
      </c>
      <c r="AP1564" s="4"/>
      <c r="AQ1564" s="8"/>
      <c r="AR1564" s="4"/>
      <c r="AS1564" s="8"/>
      <c r="AT1564" s="7"/>
      <c r="AU1564" s="7"/>
      <c r="AV1564" s="4" t="s">
        <v>100</v>
      </c>
      <c r="AW1564" s="8" t="s">
        <v>100</v>
      </c>
      <c r="AX1564" s="4" t="s">
        <v>100</v>
      </c>
      <c r="AY1564" s="8" t="s">
        <v>100</v>
      </c>
      <c r="AZ1564" s="7" t="s">
        <v>100</v>
      </c>
      <c r="BA1564" s="7" t="s">
        <v>100</v>
      </c>
      <c r="BB1564" s="7"/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 t="s">
        <v>100</v>
      </c>
      <c r="BJ1564" s="4"/>
      <c r="BK1564" s="8"/>
      <c r="BL1564" s="2" t="s">
        <v>100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1338</v>
      </c>
      <c r="BV1564" s="2" t="s">
        <v>97</v>
      </c>
      <c r="BW1564" s="2" t="s">
        <v>100</v>
      </c>
      <c r="BX1564" s="2" t="s">
        <v>100</v>
      </c>
      <c r="BY1564" s="2" t="s">
        <v>112</v>
      </c>
      <c r="BZ1564" s="2" t="s">
        <v>100</v>
      </c>
    </row>
    <row r="1565">
      <c r="A1565" s="2" t="s">
        <v>4853</v>
      </c>
      <c r="B1565" s="2" t="s">
        <v>87</v>
      </c>
      <c r="C1565" s="2" t="s">
        <v>4613</v>
      </c>
      <c r="D1565" s="2" t="s">
        <v>89</v>
      </c>
      <c r="E1565" s="2" t="s">
        <v>2030</v>
      </c>
      <c r="F1565" s="2" t="s">
        <v>4767</v>
      </c>
      <c r="G1565" s="2" t="s">
        <v>4768</v>
      </c>
      <c r="H1565" s="2" t="s">
        <v>4769</v>
      </c>
      <c r="I1565" s="2" t="s">
        <v>4770</v>
      </c>
      <c r="J1565" s="2" t="s">
        <v>120</v>
      </c>
      <c r="K1565" s="2" t="s">
        <v>416</v>
      </c>
      <c r="L1565" s="3">
        <v>28.57</v>
      </c>
      <c r="M1565" s="3">
        <v>30</v>
      </c>
      <c r="N1565" s="3">
        <v>59.99</v>
      </c>
      <c r="O1565" s="2" t="s">
        <v>97</v>
      </c>
      <c r="P1565" s="2" t="s">
        <v>1216</v>
      </c>
      <c r="Q1565" s="2" t="s">
        <v>99</v>
      </c>
      <c r="R1565" s="2" t="s">
        <v>100</v>
      </c>
      <c r="S1565" s="2" t="s">
        <v>4850</v>
      </c>
      <c r="T1565" s="2" t="s">
        <v>787</v>
      </c>
      <c r="U1565" s="2" t="s">
        <v>1508</v>
      </c>
      <c r="V1565" s="2" t="s">
        <v>645</v>
      </c>
      <c r="W1565" s="2" t="s">
        <v>976</v>
      </c>
      <c r="X1565" s="2" t="s">
        <v>105</v>
      </c>
      <c r="Y1565" s="2" t="s">
        <v>100</v>
      </c>
      <c r="Z1565" s="4"/>
      <c r="AA1565" s="4">
        <f>=ROUNDDOWN({0},0)</f>
      </c>
      <c r="AB1565" s="5"/>
      <c r="AC1565" s="2" t="s">
        <v>648</v>
      </c>
      <c r="AD1565" s="4">
        <v>681</v>
      </c>
      <c r="AE1565" s="4">
        <v>1587</v>
      </c>
      <c r="AF1565" s="6">
        <v>63</v>
      </c>
      <c r="AG1565" s="6">
        <v>46</v>
      </c>
      <c r="AH1565" s="7">
        <v>0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>
        <v>0</v>
      </c>
      <c r="AP1565" s="4"/>
      <c r="AQ1565" s="8"/>
      <c r="AR1565" s="4"/>
      <c r="AS1565" s="8"/>
      <c r="AT1565" s="7"/>
      <c r="AU1565" s="7"/>
      <c r="AV1565" s="4" t="s">
        <v>100</v>
      </c>
      <c r="AW1565" s="8" t="s">
        <v>100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/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 t="s">
        <v>100</v>
      </c>
      <c r="BJ1565" s="4"/>
      <c r="BK1565" s="8"/>
      <c r="BL1565" s="2" t="s">
        <v>100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1338</v>
      </c>
      <c r="BV1565" s="2" t="s">
        <v>97</v>
      </c>
      <c r="BW1565" s="2" t="s">
        <v>100</v>
      </c>
      <c r="BX1565" s="2" t="s">
        <v>100</v>
      </c>
      <c r="BY1565" s="2" t="s">
        <v>112</v>
      </c>
      <c r="BZ1565" s="2" t="s">
        <v>100</v>
      </c>
    </row>
    <row r="1566">
      <c r="A1566" s="2" t="s">
        <v>4854</v>
      </c>
      <c r="B1566" s="2" t="s">
        <v>87</v>
      </c>
      <c r="C1566" s="2" t="s">
        <v>4613</v>
      </c>
      <c r="D1566" s="2" t="s">
        <v>89</v>
      </c>
      <c r="E1566" s="2" t="s">
        <v>2030</v>
      </c>
      <c r="F1566" s="2" t="s">
        <v>4767</v>
      </c>
      <c r="G1566" s="2" t="s">
        <v>4768</v>
      </c>
      <c r="H1566" s="2" t="s">
        <v>4769</v>
      </c>
      <c r="I1566" s="2" t="s">
        <v>4770</v>
      </c>
      <c r="J1566" s="2" t="s">
        <v>124</v>
      </c>
      <c r="K1566" s="2" t="s">
        <v>416</v>
      </c>
      <c r="L1566" s="3">
        <v>30.95</v>
      </c>
      <c r="M1566" s="3">
        <v>32.5</v>
      </c>
      <c r="N1566" s="3">
        <v>64.99</v>
      </c>
      <c r="O1566" s="2" t="s">
        <v>97</v>
      </c>
      <c r="P1566" s="2" t="s">
        <v>1216</v>
      </c>
      <c r="Q1566" s="2" t="s">
        <v>99</v>
      </c>
      <c r="R1566" s="2" t="s">
        <v>100</v>
      </c>
      <c r="S1566" s="2" t="s">
        <v>4850</v>
      </c>
      <c r="T1566" s="2" t="s">
        <v>787</v>
      </c>
      <c r="U1566" s="2" t="s">
        <v>1508</v>
      </c>
      <c r="V1566" s="2" t="s">
        <v>645</v>
      </c>
      <c r="W1566" s="2" t="s">
        <v>976</v>
      </c>
      <c r="X1566" s="2" t="s">
        <v>105</v>
      </c>
      <c r="Y1566" s="2" t="s">
        <v>100</v>
      </c>
      <c r="Z1566" s="4"/>
      <c r="AA1566" s="4">
        <f>=ROUNDDOWN({0},0)</f>
      </c>
      <c r="AB1566" s="5"/>
      <c r="AC1566" s="2" t="s">
        <v>2598</v>
      </c>
      <c r="AD1566" s="4">
        <v>321</v>
      </c>
      <c r="AE1566" s="4">
        <v>600</v>
      </c>
      <c r="AF1566" s="6">
        <v>63</v>
      </c>
      <c r="AG1566" s="6">
        <v>46</v>
      </c>
      <c r="AH1566" s="7">
        <v>0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>
        <v>0</v>
      </c>
      <c r="AP1566" s="4"/>
      <c r="AQ1566" s="8"/>
      <c r="AR1566" s="4"/>
      <c r="AS1566" s="8"/>
      <c r="AT1566" s="7"/>
      <c r="AU1566" s="7"/>
      <c r="AV1566" s="4" t="s">
        <v>100</v>
      </c>
      <c r="AW1566" s="8" t="s">
        <v>100</v>
      </c>
      <c r="AX1566" s="4" t="s">
        <v>100</v>
      </c>
      <c r="AY1566" s="8" t="s">
        <v>100</v>
      </c>
      <c r="AZ1566" s="7" t="s">
        <v>100</v>
      </c>
      <c r="BA1566" s="7" t="s">
        <v>100</v>
      </c>
      <c r="BB1566" s="7"/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 t="s">
        <v>100</v>
      </c>
      <c r="BJ1566" s="4"/>
      <c r="BK1566" s="8"/>
      <c r="BL1566" s="2" t="s">
        <v>100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1338</v>
      </c>
      <c r="BV1566" s="2" t="s">
        <v>97</v>
      </c>
      <c r="BW1566" s="2" t="s">
        <v>100</v>
      </c>
      <c r="BX1566" s="2" t="s">
        <v>100</v>
      </c>
      <c r="BY1566" s="2" t="s">
        <v>112</v>
      </c>
      <c r="BZ1566" s="2" t="s">
        <v>100</v>
      </c>
    </row>
    <row r="1567">
      <c r="A1567" s="2" t="s">
        <v>4855</v>
      </c>
      <c r="B1567" s="2" t="s">
        <v>87</v>
      </c>
      <c r="C1567" s="2" t="s">
        <v>4613</v>
      </c>
      <c r="D1567" s="2" t="s">
        <v>89</v>
      </c>
      <c r="E1567" s="2" t="s">
        <v>2030</v>
      </c>
      <c r="F1567" s="2" t="s">
        <v>4767</v>
      </c>
      <c r="G1567" s="2" t="s">
        <v>4768</v>
      </c>
      <c r="H1567" s="2" t="s">
        <v>4769</v>
      </c>
      <c r="I1567" s="2" t="s">
        <v>4770</v>
      </c>
      <c r="J1567" s="2" t="s">
        <v>673</v>
      </c>
      <c r="K1567" s="2" t="s">
        <v>4293</v>
      </c>
      <c r="L1567" s="3">
        <v>21.42</v>
      </c>
      <c r="M1567" s="3">
        <v>22.49</v>
      </c>
      <c r="N1567" s="3">
        <v>44.99</v>
      </c>
      <c r="O1567" s="2" t="s">
        <v>97</v>
      </c>
      <c r="P1567" s="2" t="s">
        <v>1216</v>
      </c>
      <c r="Q1567" s="2" t="s">
        <v>99</v>
      </c>
      <c r="R1567" s="2" t="s">
        <v>100</v>
      </c>
      <c r="S1567" s="2" t="s">
        <v>4856</v>
      </c>
      <c r="T1567" s="2" t="s">
        <v>787</v>
      </c>
      <c r="U1567" s="2" t="s">
        <v>2150</v>
      </c>
      <c r="V1567" s="2" t="s">
        <v>645</v>
      </c>
      <c r="W1567" s="2" t="s">
        <v>976</v>
      </c>
      <c r="X1567" s="2" t="s">
        <v>105</v>
      </c>
      <c r="Y1567" s="2" t="s">
        <v>4791</v>
      </c>
      <c r="Z1567" s="4">
        <v>254</v>
      </c>
      <c r="AA1567" s="4">
        <f>=ROUNDDOWN(14.1111111111111,0)</f>
      </c>
      <c r="AB1567" s="5">
        <v>18</v>
      </c>
      <c r="AC1567" s="2" t="s">
        <v>1282</v>
      </c>
      <c r="AD1567" s="4">
        <v>15</v>
      </c>
      <c r="AE1567" s="4">
        <v>735</v>
      </c>
      <c r="AF1567" s="6">
        <v>63</v>
      </c>
      <c r="AG1567" s="6">
        <v>46</v>
      </c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>
        <v>0</v>
      </c>
      <c r="AP1567" s="4"/>
      <c r="AQ1567" s="8"/>
      <c r="AR1567" s="4"/>
      <c r="AS1567" s="8"/>
      <c r="AT1567" s="7"/>
      <c r="AU1567" s="7"/>
      <c r="AV1567" s="4" t="s">
        <v>100</v>
      </c>
      <c r="AW1567" s="8" t="s">
        <v>100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/>
      <c r="BC1567" s="4" t="s">
        <v>100</v>
      </c>
      <c r="BD1567" s="8" t="s">
        <v>100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 t="s">
        <v>100</v>
      </c>
      <c r="BJ1567" s="4">
        <v>21</v>
      </c>
      <c r="BK1567" s="8">
        <v>462.73</v>
      </c>
      <c r="BL1567" s="2" t="s">
        <v>4857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4792</v>
      </c>
      <c r="BX1567" s="2" t="s">
        <v>4858</v>
      </c>
      <c r="BY1567" s="2" t="s">
        <v>112</v>
      </c>
      <c r="BZ1567" s="2" t="s">
        <v>100</v>
      </c>
    </row>
    <row r="1568">
      <c r="A1568" s="2" t="s">
        <v>4859</v>
      </c>
      <c r="B1568" s="2" t="s">
        <v>87</v>
      </c>
      <c r="C1568" s="2" t="s">
        <v>4613</v>
      </c>
      <c r="D1568" s="2" t="s">
        <v>89</v>
      </c>
      <c r="E1568" s="2" t="s">
        <v>2030</v>
      </c>
      <c r="F1568" s="2" t="s">
        <v>4767</v>
      </c>
      <c r="G1568" s="2" t="s">
        <v>4768</v>
      </c>
      <c r="H1568" s="2" t="s">
        <v>4769</v>
      </c>
      <c r="I1568" s="2" t="s">
        <v>4770</v>
      </c>
      <c r="J1568" s="2" t="s">
        <v>95</v>
      </c>
      <c r="K1568" s="2" t="s">
        <v>4293</v>
      </c>
      <c r="L1568" s="3">
        <v>25.23</v>
      </c>
      <c r="M1568" s="3">
        <v>26.49</v>
      </c>
      <c r="N1568" s="3">
        <v>52.99</v>
      </c>
      <c r="O1568" s="2" t="s">
        <v>97</v>
      </c>
      <c r="P1568" s="2" t="s">
        <v>1216</v>
      </c>
      <c r="Q1568" s="2" t="s">
        <v>99</v>
      </c>
      <c r="R1568" s="2" t="s">
        <v>100</v>
      </c>
      <c r="S1568" s="2" t="s">
        <v>4856</v>
      </c>
      <c r="T1568" s="2" t="s">
        <v>787</v>
      </c>
      <c r="U1568" s="2" t="s">
        <v>1508</v>
      </c>
      <c r="V1568" s="2" t="s">
        <v>645</v>
      </c>
      <c r="W1568" s="2" t="s">
        <v>976</v>
      </c>
      <c r="X1568" s="2" t="s">
        <v>105</v>
      </c>
      <c r="Y1568" s="2" t="s">
        <v>100</v>
      </c>
      <c r="Z1568" s="4"/>
      <c r="AA1568" s="4">
        <f>=ROUNDDOWN({0},0)</f>
      </c>
      <c r="AB1568" s="5"/>
      <c r="AC1568" s="2" t="s">
        <v>2598</v>
      </c>
      <c r="AD1568" s="4">
        <v>273</v>
      </c>
      <c r="AE1568" s="4">
        <v>672</v>
      </c>
      <c r="AF1568" s="6">
        <v>63</v>
      </c>
      <c r="AG1568" s="6">
        <v>46</v>
      </c>
      <c r="AH1568" s="7">
        <v>0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>
        <v>0</v>
      </c>
      <c r="AP1568" s="4"/>
      <c r="AQ1568" s="8"/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/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 t="s">
        <v>100</v>
      </c>
      <c r="BJ1568" s="4"/>
      <c r="BK1568" s="8"/>
      <c r="BL1568" s="2" t="s">
        <v>100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1338</v>
      </c>
      <c r="BV1568" s="2" t="s">
        <v>97</v>
      </c>
      <c r="BW1568" s="2" t="s">
        <v>100</v>
      </c>
      <c r="BX1568" s="2" t="s">
        <v>100</v>
      </c>
      <c r="BY1568" s="2" t="s">
        <v>112</v>
      </c>
      <c r="BZ1568" s="2" t="s">
        <v>100</v>
      </c>
    </row>
    <row r="1569">
      <c r="A1569" s="2" t="s">
        <v>4860</v>
      </c>
      <c r="B1569" s="2" t="s">
        <v>87</v>
      </c>
      <c r="C1569" s="2" t="s">
        <v>4613</v>
      </c>
      <c r="D1569" s="2" t="s">
        <v>89</v>
      </c>
      <c r="E1569" s="2" t="s">
        <v>2030</v>
      </c>
      <c r="F1569" s="2" t="s">
        <v>4767</v>
      </c>
      <c r="G1569" s="2" t="s">
        <v>4768</v>
      </c>
      <c r="H1569" s="2" t="s">
        <v>4769</v>
      </c>
      <c r="I1569" s="2" t="s">
        <v>4770</v>
      </c>
      <c r="J1569" s="2" t="s">
        <v>114</v>
      </c>
      <c r="K1569" s="2" t="s">
        <v>4293</v>
      </c>
      <c r="L1569" s="3">
        <v>26.19</v>
      </c>
      <c r="M1569" s="3">
        <v>27.5</v>
      </c>
      <c r="N1569" s="3">
        <v>54.99</v>
      </c>
      <c r="O1569" s="2" t="s">
        <v>97</v>
      </c>
      <c r="P1569" s="2" t="s">
        <v>1216</v>
      </c>
      <c r="Q1569" s="2" t="s">
        <v>99</v>
      </c>
      <c r="R1569" s="2" t="s">
        <v>100</v>
      </c>
      <c r="S1569" s="2" t="s">
        <v>4856</v>
      </c>
      <c r="T1569" s="2" t="s">
        <v>787</v>
      </c>
      <c r="U1569" s="2" t="s">
        <v>1508</v>
      </c>
      <c r="V1569" s="2" t="s">
        <v>645</v>
      </c>
      <c r="W1569" s="2" t="s">
        <v>976</v>
      </c>
      <c r="X1569" s="2" t="s">
        <v>105</v>
      </c>
      <c r="Y1569" s="2" t="s">
        <v>4797</v>
      </c>
      <c r="Z1569" s="4">
        <v>1169</v>
      </c>
      <c r="AA1569" s="4">
        <f>=ROUNDDOWN(12.5698924731183,0)</f>
      </c>
      <c r="AB1569" s="5">
        <v>93</v>
      </c>
      <c r="AC1569" s="2" t="s">
        <v>1282</v>
      </c>
      <c r="AD1569" s="4">
        <v>366</v>
      </c>
      <c r="AE1569" s="4">
        <v>5466</v>
      </c>
      <c r="AF1569" s="6">
        <v>63</v>
      </c>
      <c r="AG1569" s="6">
        <v>46</v>
      </c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>
        <v>0</v>
      </c>
      <c r="AP1569" s="4"/>
      <c r="AQ1569" s="8"/>
      <c r="AR1569" s="4"/>
      <c r="AS1569" s="8"/>
      <c r="AT1569" s="7"/>
      <c r="AU1569" s="7"/>
      <c r="AV1569" s="4" t="s">
        <v>100</v>
      </c>
      <c r="AW1569" s="8" t="s">
        <v>100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 t="s">
        <v>100</v>
      </c>
      <c r="BJ1569" s="4">
        <v>59</v>
      </c>
      <c r="BK1569" s="8">
        <v>1738.65</v>
      </c>
      <c r="BL1569" s="2" t="s">
        <v>4717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4792</v>
      </c>
      <c r="BX1569" s="2" t="s">
        <v>4619</v>
      </c>
      <c r="BY1569" s="2" t="s">
        <v>112</v>
      </c>
      <c r="BZ1569" s="2" t="s">
        <v>100</v>
      </c>
    </row>
    <row r="1570">
      <c r="A1570" s="2" t="s">
        <v>4861</v>
      </c>
      <c r="B1570" s="2" t="s">
        <v>87</v>
      </c>
      <c r="C1570" s="2" t="s">
        <v>4613</v>
      </c>
      <c r="D1570" s="2" t="s">
        <v>89</v>
      </c>
      <c r="E1570" s="2" t="s">
        <v>2030</v>
      </c>
      <c r="F1570" s="2" t="s">
        <v>4767</v>
      </c>
      <c r="G1570" s="2" t="s">
        <v>4768</v>
      </c>
      <c r="H1570" s="2" t="s">
        <v>4769</v>
      </c>
      <c r="I1570" s="2" t="s">
        <v>4770</v>
      </c>
      <c r="J1570" s="2" t="s">
        <v>120</v>
      </c>
      <c r="K1570" s="2" t="s">
        <v>4293</v>
      </c>
      <c r="L1570" s="3">
        <v>28.57</v>
      </c>
      <c r="M1570" s="3">
        <v>30</v>
      </c>
      <c r="N1570" s="3">
        <v>59.99</v>
      </c>
      <c r="O1570" s="2" t="s">
        <v>97</v>
      </c>
      <c r="P1570" s="2" t="s">
        <v>1216</v>
      </c>
      <c r="Q1570" s="2" t="s">
        <v>99</v>
      </c>
      <c r="R1570" s="2" t="s">
        <v>100</v>
      </c>
      <c r="S1570" s="2" t="s">
        <v>4856</v>
      </c>
      <c r="T1570" s="2" t="s">
        <v>787</v>
      </c>
      <c r="U1570" s="2" t="s">
        <v>1508</v>
      </c>
      <c r="V1570" s="2" t="s">
        <v>645</v>
      </c>
      <c r="W1570" s="2" t="s">
        <v>976</v>
      </c>
      <c r="X1570" s="2" t="s">
        <v>105</v>
      </c>
      <c r="Y1570" s="2" t="s">
        <v>4791</v>
      </c>
      <c r="Z1570" s="4">
        <v>1606</v>
      </c>
      <c r="AA1570" s="4">
        <f>=ROUNDDOWN(13.6101694915254,0)</f>
      </c>
      <c r="AB1570" s="5">
        <v>118</v>
      </c>
      <c r="AC1570" s="2" t="s">
        <v>1282</v>
      </c>
      <c r="AD1570" s="4">
        <v>990</v>
      </c>
      <c r="AE1570" s="4">
        <v>6135</v>
      </c>
      <c r="AF1570" s="6">
        <v>63</v>
      </c>
      <c r="AG1570" s="6">
        <v>46</v>
      </c>
      <c r="AH1570" s="7">
        <v>1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>
        <v>0</v>
      </c>
      <c r="AP1570" s="4"/>
      <c r="AQ1570" s="8"/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/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 t="s">
        <v>100</v>
      </c>
      <c r="BJ1570" s="4">
        <v>67</v>
      </c>
      <c r="BK1570" s="8">
        <v>2603.23</v>
      </c>
      <c r="BL1570" s="2" t="s">
        <v>4862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4791</v>
      </c>
      <c r="BX1570" s="2" t="s">
        <v>4863</v>
      </c>
      <c r="BY1570" s="2" t="s">
        <v>112</v>
      </c>
      <c r="BZ1570" s="2" t="s">
        <v>100</v>
      </c>
    </row>
    <row r="1571">
      <c r="A1571" s="2" t="s">
        <v>4864</v>
      </c>
      <c r="B1571" s="2" t="s">
        <v>87</v>
      </c>
      <c r="C1571" s="2" t="s">
        <v>4613</v>
      </c>
      <c r="D1571" s="2" t="s">
        <v>89</v>
      </c>
      <c r="E1571" s="2" t="s">
        <v>2030</v>
      </c>
      <c r="F1571" s="2" t="s">
        <v>4767</v>
      </c>
      <c r="G1571" s="2" t="s">
        <v>4768</v>
      </c>
      <c r="H1571" s="2" t="s">
        <v>4769</v>
      </c>
      <c r="I1571" s="2" t="s">
        <v>4770</v>
      </c>
      <c r="J1571" s="2" t="s">
        <v>124</v>
      </c>
      <c r="K1571" s="2" t="s">
        <v>4293</v>
      </c>
      <c r="L1571" s="3">
        <v>30.95</v>
      </c>
      <c r="M1571" s="3">
        <v>32.5</v>
      </c>
      <c r="N1571" s="3">
        <v>64.99</v>
      </c>
      <c r="O1571" s="2" t="s">
        <v>97</v>
      </c>
      <c r="P1571" s="2" t="s">
        <v>1216</v>
      </c>
      <c r="Q1571" s="2" t="s">
        <v>99</v>
      </c>
      <c r="R1571" s="2" t="s">
        <v>100</v>
      </c>
      <c r="S1571" s="2" t="s">
        <v>4856</v>
      </c>
      <c r="T1571" s="2" t="s">
        <v>787</v>
      </c>
      <c r="U1571" s="2" t="s">
        <v>1508</v>
      </c>
      <c r="V1571" s="2" t="s">
        <v>645</v>
      </c>
      <c r="W1571" s="2" t="s">
        <v>976</v>
      </c>
      <c r="X1571" s="2" t="s">
        <v>105</v>
      </c>
      <c r="Y1571" s="2" t="s">
        <v>100</v>
      </c>
      <c r="Z1571" s="4"/>
      <c r="AA1571" s="4">
        <f>=ROUNDDOWN({0},0)</f>
      </c>
      <c r="AB1571" s="5"/>
      <c r="AC1571" s="2" t="s">
        <v>2598</v>
      </c>
      <c r="AD1571" s="4">
        <v>312</v>
      </c>
      <c r="AE1571" s="4">
        <v>603</v>
      </c>
      <c r="AF1571" s="6">
        <v>63</v>
      </c>
      <c r="AG1571" s="6">
        <v>46</v>
      </c>
      <c r="AH1571" s="7">
        <v>0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>
        <v>0</v>
      </c>
      <c r="AP1571" s="4"/>
      <c r="AQ1571" s="8"/>
      <c r="AR1571" s="4"/>
      <c r="AS1571" s="8"/>
      <c r="AT1571" s="7"/>
      <c r="AU1571" s="7"/>
      <c r="AV1571" s="4" t="s">
        <v>100</v>
      </c>
      <c r="AW1571" s="8" t="s">
        <v>100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/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 t="s">
        <v>100</v>
      </c>
      <c r="BJ1571" s="4"/>
      <c r="BK1571" s="8"/>
      <c r="BL1571" s="2" t="s">
        <v>100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1338</v>
      </c>
      <c r="BV1571" s="2" t="s">
        <v>97</v>
      </c>
      <c r="BW1571" s="2" t="s">
        <v>100</v>
      </c>
      <c r="BX1571" s="2" t="s">
        <v>100</v>
      </c>
      <c r="BY1571" s="2" t="s">
        <v>112</v>
      </c>
      <c r="BZ1571" s="2" t="s">
        <v>100</v>
      </c>
    </row>
    <row r="1572">
      <c r="A1572" s="2" t="s">
        <v>4865</v>
      </c>
      <c r="B1572" s="2" t="s">
        <v>87</v>
      </c>
      <c r="C1572" s="2" t="s">
        <v>4613</v>
      </c>
      <c r="D1572" s="2" t="s">
        <v>89</v>
      </c>
      <c r="E1572" s="2" t="s">
        <v>2030</v>
      </c>
      <c r="F1572" s="2" t="s">
        <v>4767</v>
      </c>
      <c r="G1572" s="2" t="s">
        <v>4768</v>
      </c>
      <c r="H1572" s="2" t="s">
        <v>4769</v>
      </c>
      <c r="I1572" s="2" t="s">
        <v>4770</v>
      </c>
      <c r="J1572" s="2" t="s">
        <v>673</v>
      </c>
      <c r="K1572" s="2" t="s">
        <v>1572</v>
      </c>
      <c r="L1572" s="3">
        <v>21.42</v>
      </c>
      <c r="M1572" s="3">
        <v>22.49</v>
      </c>
      <c r="N1572" s="3">
        <v>44.99</v>
      </c>
      <c r="O1572" s="2" t="s">
        <v>97</v>
      </c>
      <c r="P1572" s="2" t="s">
        <v>1216</v>
      </c>
      <c r="Q1572" s="2" t="s">
        <v>99</v>
      </c>
      <c r="R1572" s="2" t="s">
        <v>100</v>
      </c>
      <c r="S1572" s="2" t="s">
        <v>4866</v>
      </c>
      <c r="T1572" s="2" t="s">
        <v>787</v>
      </c>
      <c r="U1572" s="2" t="s">
        <v>2150</v>
      </c>
      <c r="V1572" s="2" t="s">
        <v>645</v>
      </c>
      <c r="W1572" s="2" t="s">
        <v>976</v>
      </c>
      <c r="X1572" s="2" t="s">
        <v>105</v>
      </c>
      <c r="Y1572" s="2" t="s">
        <v>100</v>
      </c>
      <c r="Z1572" s="4"/>
      <c r="AA1572" s="4">
        <f>=ROUNDDOWN({0},0)</f>
      </c>
      <c r="AB1572" s="5"/>
      <c r="AC1572" s="2" t="s">
        <v>648</v>
      </c>
      <c r="AD1572" s="4">
        <v>138</v>
      </c>
      <c r="AE1572" s="4">
        <v>408</v>
      </c>
      <c r="AF1572" s="6">
        <v>63</v>
      </c>
      <c r="AG1572" s="6">
        <v>46</v>
      </c>
      <c r="AH1572" s="7">
        <v>0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>
        <v>0</v>
      </c>
      <c r="AP1572" s="4"/>
      <c r="AQ1572" s="8"/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 t="s">
        <v>100</v>
      </c>
      <c r="BJ1572" s="4"/>
      <c r="BK1572" s="8"/>
      <c r="BL1572" s="2" t="s">
        <v>100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1338</v>
      </c>
      <c r="BV1572" s="2" t="s">
        <v>97</v>
      </c>
      <c r="BW1572" s="2" t="s">
        <v>100</v>
      </c>
      <c r="BX1572" s="2" t="s">
        <v>100</v>
      </c>
      <c r="BY1572" s="2" t="s">
        <v>112</v>
      </c>
      <c r="BZ1572" s="2" t="s">
        <v>100</v>
      </c>
    </row>
    <row r="1573">
      <c r="A1573" s="2" t="s">
        <v>4867</v>
      </c>
      <c r="B1573" s="2" t="s">
        <v>87</v>
      </c>
      <c r="C1573" s="2" t="s">
        <v>4613</v>
      </c>
      <c r="D1573" s="2" t="s">
        <v>89</v>
      </c>
      <c r="E1573" s="2" t="s">
        <v>2030</v>
      </c>
      <c r="F1573" s="2" t="s">
        <v>4767</v>
      </c>
      <c r="G1573" s="2" t="s">
        <v>4768</v>
      </c>
      <c r="H1573" s="2" t="s">
        <v>4769</v>
      </c>
      <c r="I1573" s="2" t="s">
        <v>4770</v>
      </c>
      <c r="J1573" s="2" t="s">
        <v>95</v>
      </c>
      <c r="K1573" s="2" t="s">
        <v>1572</v>
      </c>
      <c r="L1573" s="3">
        <v>25.23</v>
      </c>
      <c r="M1573" s="3">
        <v>26.49</v>
      </c>
      <c r="N1573" s="3">
        <v>52.99</v>
      </c>
      <c r="O1573" s="2" t="s">
        <v>97</v>
      </c>
      <c r="P1573" s="2" t="s">
        <v>1216</v>
      </c>
      <c r="Q1573" s="2" t="s">
        <v>99</v>
      </c>
      <c r="R1573" s="2" t="s">
        <v>100</v>
      </c>
      <c r="S1573" s="2" t="s">
        <v>4866</v>
      </c>
      <c r="T1573" s="2" t="s">
        <v>787</v>
      </c>
      <c r="U1573" s="2" t="s">
        <v>1508</v>
      </c>
      <c r="V1573" s="2" t="s">
        <v>645</v>
      </c>
      <c r="W1573" s="2" t="s">
        <v>976</v>
      </c>
      <c r="X1573" s="2" t="s">
        <v>105</v>
      </c>
      <c r="Y1573" s="2" t="s">
        <v>100</v>
      </c>
      <c r="Z1573" s="4"/>
      <c r="AA1573" s="4">
        <f>=ROUNDDOWN({0},0)</f>
      </c>
      <c r="AB1573" s="5"/>
      <c r="AC1573" s="2" t="s">
        <v>2598</v>
      </c>
      <c r="AD1573" s="4">
        <v>225</v>
      </c>
      <c r="AE1573" s="4">
        <v>657</v>
      </c>
      <c r="AF1573" s="6">
        <v>63</v>
      </c>
      <c r="AG1573" s="6">
        <v>46</v>
      </c>
      <c r="AH1573" s="7">
        <v>0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>
        <v>0</v>
      </c>
      <c r="AP1573" s="4"/>
      <c r="AQ1573" s="8"/>
      <c r="AR1573" s="4"/>
      <c r="AS1573" s="8"/>
      <c r="AT1573" s="7"/>
      <c r="AU1573" s="7"/>
      <c r="AV1573" s="4" t="s">
        <v>100</v>
      </c>
      <c r="AW1573" s="8" t="s">
        <v>100</v>
      </c>
      <c r="AX1573" s="4" t="s">
        <v>100</v>
      </c>
      <c r="AY1573" s="8" t="s">
        <v>100</v>
      </c>
      <c r="AZ1573" s="7" t="s">
        <v>100</v>
      </c>
      <c r="BA1573" s="7" t="s">
        <v>100</v>
      </c>
      <c r="BB1573" s="7"/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 t="s">
        <v>100</v>
      </c>
      <c r="BJ1573" s="4"/>
      <c r="BK1573" s="8"/>
      <c r="BL1573" s="2" t="s">
        <v>100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1338</v>
      </c>
      <c r="BV1573" s="2" t="s">
        <v>97</v>
      </c>
      <c r="BW1573" s="2" t="s">
        <v>100</v>
      </c>
      <c r="BX1573" s="2" t="s">
        <v>100</v>
      </c>
      <c r="BY1573" s="2" t="s">
        <v>112</v>
      </c>
      <c r="BZ1573" s="2" t="s">
        <v>100</v>
      </c>
    </row>
    <row r="1574">
      <c r="A1574" s="2" t="s">
        <v>4868</v>
      </c>
      <c r="B1574" s="2" t="s">
        <v>87</v>
      </c>
      <c r="C1574" s="2" t="s">
        <v>4613</v>
      </c>
      <c r="D1574" s="2" t="s">
        <v>89</v>
      </c>
      <c r="E1574" s="2" t="s">
        <v>2030</v>
      </c>
      <c r="F1574" s="2" t="s">
        <v>4767</v>
      </c>
      <c r="G1574" s="2" t="s">
        <v>4768</v>
      </c>
      <c r="H1574" s="2" t="s">
        <v>4769</v>
      </c>
      <c r="I1574" s="2" t="s">
        <v>4770</v>
      </c>
      <c r="J1574" s="2" t="s">
        <v>114</v>
      </c>
      <c r="K1574" s="2" t="s">
        <v>1572</v>
      </c>
      <c r="L1574" s="3">
        <v>26.19</v>
      </c>
      <c r="M1574" s="3">
        <v>27.5</v>
      </c>
      <c r="N1574" s="3">
        <v>54.99</v>
      </c>
      <c r="O1574" s="2" t="s">
        <v>97</v>
      </c>
      <c r="P1574" s="2" t="s">
        <v>1216</v>
      </c>
      <c r="Q1574" s="2" t="s">
        <v>99</v>
      </c>
      <c r="R1574" s="2" t="s">
        <v>100</v>
      </c>
      <c r="S1574" s="2" t="s">
        <v>4866</v>
      </c>
      <c r="T1574" s="2" t="s">
        <v>787</v>
      </c>
      <c r="U1574" s="2" t="s">
        <v>1508</v>
      </c>
      <c r="V1574" s="2" t="s">
        <v>645</v>
      </c>
      <c r="W1574" s="2" t="s">
        <v>976</v>
      </c>
      <c r="X1574" s="2" t="s">
        <v>105</v>
      </c>
      <c r="Y1574" s="2" t="s">
        <v>100</v>
      </c>
      <c r="Z1574" s="4"/>
      <c r="AA1574" s="4">
        <f>=ROUNDDOWN({0},0)</f>
      </c>
      <c r="AB1574" s="5"/>
      <c r="AC1574" s="2" t="s">
        <v>648</v>
      </c>
      <c r="AD1574" s="4">
        <v>363</v>
      </c>
      <c r="AE1574" s="4">
        <v>1467</v>
      </c>
      <c r="AF1574" s="6">
        <v>63</v>
      </c>
      <c r="AG1574" s="6">
        <v>46</v>
      </c>
      <c r="AH1574" s="7">
        <v>0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 t="s">
        <v>100</v>
      </c>
      <c r="AW1574" s="8" t="s">
        <v>100</v>
      </c>
      <c r="AX1574" s="4" t="s">
        <v>100</v>
      </c>
      <c r="AY1574" s="8" t="s">
        <v>100</v>
      </c>
      <c r="AZ1574" s="7" t="s">
        <v>100</v>
      </c>
      <c r="BA1574" s="7" t="s">
        <v>100</v>
      </c>
      <c r="BB1574" s="7"/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 t="s">
        <v>100</v>
      </c>
      <c r="BJ1574" s="4"/>
      <c r="BK1574" s="8"/>
      <c r="BL1574" s="2" t="s">
        <v>100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1338</v>
      </c>
      <c r="BV1574" s="2" t="s">
        <v>97</v>
      </c>
      <c r="BW1574" s="2" t="s">
        <v>100</v>
      </c>
      <c r="BX1574" s="2" t="s">
        <v>100</v>
      </c>
      <c r="BY1574" s="2" t="s">
        <v>112</v>
      </c>
      <c r="BZ1574" s="2" t="s">
        <v>100</v>
      </c>
    </row>
    <row r="1575">
      <c r="A1575" s="2" t="s">
        <v>4869</v>
      </c>
      <c r="B1575" s="2" t="s">
        <v>87</v>
      </c>
      <c r="C1575" s="2" t="s">
        <v>4613</v>
      </c>
      <c r="D1575" s="2" t="s">
        <v>89</v>
      </c>
      <c r="E1575" s="2" t="s">
        <v>2030</v>
      </c>
      <c r="F1575" s="2" t="s">
        <v>4767</v>
      </c>
      <c r="G1575" s="2" t="s">
        <v>4768</v>
      </c>
      <c r="H1575" s="2" t="s">
        <v>4769</v>
      </c>
      <c r="I1575" s="2" t="s">
        <v>4770</v>
      </c>
      <c r="J1575" s="2" t="s">
        <v>120</v>
      </c>
      <c r="K1575" s="2" t="s">
        <v>1572</v>
      </c>
      <c r="L1575" s="3">
        <v>28.57</v>
      </c>
      <c r="M1575" s="3">
        <v>30</v>
      </c>
      <c r="N1575" s="3">
        <v>59.99</v>
      </c>
      <c r="O1575" s="2" t="s">
        <v>97</v>
      </c>
      <c r="P1575" s="2" t="s">
        <v>1216</v>
      </c>
      <c r="Q1575" s="2" t="s">
        <v>99</v>
      </c>
      <c r="R1575" s="2" t="s">
        <v>100</v>
      </c>
      <c r="S1575" s="2" t="s">
        <v>4866</v>
      </c>
      <c r="T1575" s="2" t="s">
        <v>787</v>
      </c>
      <c r="U1575" s="2" t="s">
        <v>1508</v>
      </c>
      <c r="V1575" s="2" t="s">
        <v>645</v>
      </c>
      <c r="W1575" s="2" t="s">
        <v>976</v>
      </c>
      <c r="X1575" s="2" t="s">
        <v>105</v>
      </c>
      <c r="Y1575" s="2" t="s">
        <v>100</v>
      </c>
      <c r="Z1575" s="4"/>
      <c r="AA1575" s="4">
        <f>=ROUNDDOWN({0},0)</f>
      </c>
      <c r="AB1575" s="5"/>
      <c r="AC1575" s="2" t="s">
        <v>648</v>
      </c>
      <c r="AD1575" s="4">
        <v>711</v>
      </c>
      <c r="AE1575" s="4">
        <v>1914</v>
      </c>
      <c r="AF1575" s="6">
        <v>63</v>
      </c>
      <c r="AG1575" s="6">
        <v>46</v>
      </c>
      <c r="AH1575" s="7">
        <v>0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>
        <v>0</v>
      </c>
      <c r="AP1575" s="4"/>
      <c r="AQ1575" s="8"/>
      <c r="AR1575" s="4"/>
      <c r="AS1575" s="8"/>
      <c r="AT1575" s="7"/>
      <c r="AU1575" s="7"/>
      <c r="AV1575" s="4" t="s">
        <v>100</v>
      </c>
      <c r="AW1575" s="8" t="s">
        <v>100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/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 t="s">
        <v>100</v>
      </c>
      <c r="BJ1575" s="4"/>
      <c r="BK1575" s="8"/>
      <c r="BL1575" s="2" t="s">
        <v>100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1338</v>
      </c>
      <c r="BV1575" s="2" t="s">
        <v>97</v>
      </c>
      <c r="BW1575" s="2" t="s">
        <v>100</v>
      </c>
      <c r="BX1575" s="2" t="s">
        <v>100</v>
      </c>
      <c r="BY1575" s="2" t="s">
        <v>112</v>
      </c>
      <c r="BZ1575" s="2" t="s">
        <v>100</v>
      </c>
    </row>
    <row r="1576">
      <c r="A1576" s="2" t="s">
        <v>4870</v>
      </c>
      <c r="B1576" s="2" t="s">
        <v>87</v>
      </c>
      <c r="C1576" s="2" t="s">
        <v>4613</v>
      </c>
      <c r="D1576" s="2" t="s">
        <v>89</v>
      </c>
      <c r="E1576" s="2" t="s">
        <v>2030</v>
      </c>
      <c r="F1576" s="2" t="s">
        <v>4767</v>
      </c>
      <c r="G1576" s="2" t="s">
        <v>4768</v>
      </c>
      <c r="H1576" s="2" t="s">
        <v>4769</v>
      </c>
      <c r="I1576" s="2" t="s">
        <v>4770</v>
      </c>
      <c r="J1576" s="2" t="s">
        <v>124</v>
      </c>
      <c r="K1576" s="2" t="s">
        <v>1572</v>
      </c>
      <c r="L1576" s="3">
        <v>30.95</v>
      </c>
      <c r="M1576" s="3">
        <v>32.5</v>
      </c>
      <c r="N1576" s="3">
        <v>64.99</v>
      </c>
      <c r="O1576" s="2" t="s">
        <v>97</v>
      </c>
      <c r="P1576" s="2" t="s">
        <v>1216</v>
      </c>
      <c r="Q1576" s="2" t="s">
        <v>99</v>
      </c>
      <c r="R1576" s="2" t="s">
        <v>100</v>
      </c>
      <c r="S1576" s="2" t="s">
        <v>4866</v>
      </c>
      <c r="T1576" s="2" t="s">
        <v>787</v>
      </c>
      <c r="U1576" s="2" t="s">
        <v>1508</v>
      </c>
      <c r="V1576" s="2" t="s">
        <v>645</v>
      </c>
      <c r="W1576" s="2" t="s">
        <v>976</v>
      </c>
      <c r="X1576" s="2" t="s">
        <v>105</v>
      </c>
      <c r="Y1576" s="2" t="s">
        <v>100</v>
      </c>
      <c r="Z1576" s="4"/>
      <c r="AA1576" s="4">
        <f>=ROUNDDOWN({0},0)</f>
      </c>
      <c r="AB1576" s="5"/>
      <c r="AC1576" s="2" t="s">
        <v>2598</v>
      </c>
      <c r="AD1576" s="4">
        <v>288</v>
      </c>
      <c r="AE1576" s="4">
        <v>600</v>
      </c>
      <c r="AF1576" s="6">
        <v>63</v>
      </c>
      <c r="AG1576" s="6">
        <v>46</v>
      </c>
      <c r="AH1576" s="7">
        <v>0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/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 t="s">
        <v>100</v>
      </c>
      <c r="BJ1576" s="4"/>
      <c r="BK1576" s="8"/>
      <c r="BL1576" s="2" t="s">
        <v>100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1338</v>
      </c>
      <c r="BV1576" s="2" t="s">
        <v>97</v>
      </c>
      <c r="BW1576" s="2" t="s">
        <v>100</v>
      </c>
      <c r="BX1576" s="2" t="s">
        <v>100</v>
      </c>
      <c r="BY1576" s="2" t="s">
        <v>112</v>
      </c>
      <c r="BZ1576" s="2" t="s">
        <v>100</v>
      </c>
    </row>
    <row r="1577">
      <c r="A1577" s="2" t="s">
        <v>4871</v>
      </c>
      <c r="B1577" s="2" t="s">
        <v>87</v>
      </c>
      <c r="C1577" s="2" t="s">
        <v>4613</v>
      </c>
      <c r="D1577" s="2" t="s">
        <v>89</v>
      </c>
      <c r="E1577" s="2" t="s">
        <v>2030</v>
      </c>
      <c r="F1577" s="2" t="s">
        <v>4872</v>
      </c>
      <c r="G1577" s="2" t="s">
        <v>4873</v>
      </c>
      <c r="H1577" s="2" t="s">
        <v>4874</v>
      </c>
      <c r="I1577" s="2" t="s">
        <v>4875</v>
      </c>
      <c r="J1577" s="2" t="s">
        <v>673</v>
      </c>
      <c r="K1577" s="2" t="s">
        <v>4876</v>
      </c>
      <c r="L1577" s="3">
        <v>19.04</v>
      </c>
      <c r="M1577" s="3">
        <v>19.99</v>
      </c>
      <c r="N1577" s="3">
        <v>39.99</v>
      </c>
      <c r="O1577" s="2" t="s">
        <v>97</v>
      </c>
      <c r="P1577" s="2" t="s">
        <v>1216</v>
      </c>
      <c r="Q1577" s="2" t="s">
        <v>99</v>
      </c>
      <c r="R1577" s="2" t="s">
        <v>100</v>
      </c>
      <c r="S1577" s="2" t="s">
        <v>4877</v>
      </c>
      <c r="T1577" s="2" t="s">
        <v>1218</v>
      </c>
      <c r="U1577" s="2" t="s">
        <v>2150</v>
      </c>
      <c r="V1577" s="2" t="s">
        <v>677</v>
      </c>
      <c r="W1577" s="2" t="s">
        <v>788</v>
      </c>
      <c r="X1577" s="2" t="s">
        <v>976</v>
      </c>
      <c r="Y1577" s="2" t="s">
        <v>808</v>
      </c>
      <c r="Z1577" s="4">
        <v>180</v>
      </c>
      <c r="AA1577" s="4">
        <f>=ROUNDDOWN(15,0)</f>
      </c>
      <c r="AB1577" s="5">
        <v>12</v>
      </c>
      <c r="AC1577" s="2" t="s">
        <v>194</v>
      </c>
      <c r="AD1577" s="4">
        <v>120</v>
      </c>
      <c r="AE1577" s="4">
        <v>390</v>
      </c>
      <c r="AF1577" s="6">
        <v>63</v>
      </c>
      <c r="AG1577" s="6">
        <v>46</v>
      </c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>
        <v>0</v>
      </c>
      <c r="AP1577" s="4"/>
      <c r="AQ1577" s="8"/>
      <c r="AR1577" s="4"/>
      <c r="AS1577" s="8"/>
      <c r="AT1577" s="7"/>
      <c r="AU1577" s="7"/>
      <c r="AV1577" s="4">
        <v>1</v>
      </c>
      <c r="AW1577" s="8">
        <v>26.24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/>
      <c r="BC1577" s="4">
        <v>2</v>
      </c>
      <c r="BD1577" s="8">
        <v>47.23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>
        <v>0.5556</v>
      </c>
      <c r="BJ1577" s="4">
        <v>12</v>
      </c>
      <c r="BK1577" s="8">
        <v>223.98</v>
      </c>
      <c r="BL1577" s="2" t="s">
        <v>1220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4714</v>
      </c>
      <c r="BX1577" s="2" t="s">
        <v>100</v>
      </c>
      <c r="BY1577" s="2" t="s">
        <v>112</v>
      </c>
      <c r="BZ1577" s="2" t="s">
        <v>100</v>
      </c>
    </row>
    <row r="1578">
      <c r="A1578" s="2" t="s">
        <v>4878</v>
      </c>
      <c r="B1578" s="2" t="s">
        <v>87</v>
      </c>
      <c r="C1578" s="2" t="s">
        <v>4613</v>
      </c>
      <c r="D1578" s="2" t="s">
        <v>89</v>
      </c>
      <c r="E1578" s="2" t="s">
        <v>2030</v>
      </c>
      <c r="F1578" s="2" t="s">
        <v>4872</v>
      </c>
      <c r="G1578" s="2" t="s">
        <v>4873</v>
      </c>
      <c r="H1578" s="2" t="s">
        <v>4874</v>
      </c>
      <c r="I1578" s="2" t="s">
        <v>4875</v>
      </c>
      <c r="J1578" s="2" t="s">
        <v>785</v>
      </c>
      <c r="K1578" s="2" t="s">
        <v>4876</v>
      </c>
      <c r="L1578" s="3">
        <v>23.8</v>
      </c>
      <c r="M1578" s="3">
        <v>24.99</v>
      </c>
      <c r="N1578" s="3">
        <v>49.99</v>
      </c>
      <c r="O1578" s="2" t="s">
        <v>97</v>
      </c>
      <c r="P1578" s="2" t="s">
        <v>1216</v>
      </c>
      <c r="Q1578" s="2" t="s">
        <v>99</v>
      </c>
      <c r="R1578" s="2" t="s">
        <v>100</v>
      </c>
      <c r="S1578" s="2" t="s">
        <v>4877</v>
      </c>
      <c r="T1578" s="2" t="s">
        <v>1218</v>
      </c>
      <c r="U1578" s="2" t="s">
        <v>1508</v>
      </c>
      <c r="V1578" s="2" t="s">
        <v>677</v>
      </c>
      <c r="W1578" s="2" t="s">
        <v>788</v>
      </c>
      <c r="X1578" s="2" t="s">
        <v>976</v>
      </c>
      <c r="Y1578" s="2" t="s">
        <v>808</v>
      </c>
      <c r="Z1578" s="4">
        <v>345</v>
      </c>
      <c r="AA1578" s="4">
        <f>=ROUNDDOWN(8.41463414634146,0)</f>
      </c>
      <c r="AB1578" s="5">
        <v>41</v>
      </c>
      <c r="AC1578" s="2" t="s">
        <v>194</v>
      </c>
      <c r="AD1578" s="4">
        <v>300</v>
      </c>
      <c r="AE1578" s="4">
        <v>1524</v>
      </c>
      <c r="AF1578" s="6">
        <v>63</v>
      </c>
      <c r="AG1578" s="6">
        <v>46</v>
      </c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>
        <v>0</v>
      </c>
      <c r="AP1578" s="4">
        <v>1</v>
      </c>
      <c r="AQ1578" s="8">
        <v>26.24</v>
      </c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>
        <v>1</v>
      </c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 t="s">
        <v>100</v>
      </c>
      <c r="BJ1578" s="4">
        <v>39</v>
      </c>
      <c r="BK1578" s="8">
        <v>858.66</v>
      </c>
      <c r="BL1578" s="2" t="s">
        <v>4879</v>
      </c>
      <c r="BM1578" s="7">
        <v>0.0256</v>
      </c>
      <c r="BN1578" s="7">
        <v>0.0306</v>
      </c>
      <c r="BO1578" s="4">
        <v>1</v>
      </c>
      <c r="BP1578" s="8">
        <v>26.24</v>
      </c>
      <c r="BQ1578" s="4"/>
      <c r="BR1578" s="8"/>
      <c r="BS1578" s="7"/>
      <c r="BT1578" s="7"/>
      <c r="BU1578" s="2" t="s">
        <v>109</v>
      </c>
      <c r="BV1578" s="2" t="s">
        <v>97</v>
      </c>
      <c r="BW1578" s="2" t="s">
        <v>4714</v>
      </c>
      <c r="BX1578" s="2" t="s">
        <v>4097</v>
      </c>
      <c r="BY1578" s="2" t="s">
        <v>112</v>
      </c>
      <c r="BZ1578" s="2" t="s">
        <v>100</v>
      </c>
    </row>
    <row r="1579">
      <c r="A1579" s="2" t="s">
        <v>4880</v>
      </c>
      <c r="B1579" s="2" t="s">
        <v>87</v>
      </c>
      <c r="C1579" s="2" t="s">
        <v>4613</v>
      </c>
      <c r="D1579" s="2" t="s">
        <v>89</v>
      </c>
      <c r="E1579" s="2" t="s">
        <v>2030</v>
      </c>
      <c r="F1579" s="2" t="s">
        <v>4872</v>
      </c>
      <c r="G1579" s="2" t="s">
        <v>4873</v>
      </c>
      <c r="H1579" s="2" t="s">
        <v>4874</v>
      </c>
      <c r="I1579" s="2" t="s">
        <v>4875</v>
      </c>
      <c r="J1579" s="2" t="s">
        <v>795</v>
      </c>
      <c r="K1579" s="2" t="s">
        <v>4876</v>
      </c>
      <c r="L1579" s="3">
        <v>26.19</v>
      </c>
      <c r="M1579" s="3">
        <v>27.5</v>
      </c>
      <c r="N1579" s="3">
        <v>54.99</v>
      </c>
      <c r="O1579" s="2" t="s">
        <v>97</v>
      </c>
      <c r="P1579" s="2" t="s">
        <v>1216</v>
      </c>
      <c r="Q1579" s="2" t="s">
        <v>99</v>
      </c>
      <c r="R1579" s="2" t="s">
        <v>100</v>
      </c>
      <c r="S1579" s="2" t="s">
        <v>4877</v>
      </c>
      <c r="T1579" s="2" t="s">
        <v>1218</v>
      </c>
      <c r="U1579" s="2" t="s">
        <v>1508</v>
      </c>
      <c r="V1579" s="2" t="s">
        <v>677</v>
      </c>
      <c r="W1579" s="2" t="s">
        <v>788</v>
      </c>
      <c r="X1579" s="2" t="s">
        <v>976</v>
      </c>
      <c r="Y1579" s="2" t="s">
        <v>4697</v>
      </c>
      <c r="Z1579" s="4">
        <v>92</v>
      </c>
      <c r="AA1579" s="4">
        <f>=ROUNDDOWN(2.62857142857143,0)</f>
      </c>
      <c r="AB1579" s="5">
        <v>35</v>
      </c>
      <c r="AC1579" s="2" t="s">
        <v>194</v>
      </c>
      <c r="AD1579" s="4">
        <v>300</v>
      </c>
      <c r="AE1579" s="4">
        <v>1200</v>
      </c>
      <c r="AF1579" s="6">
        <v>63</v>
      </c>
      <c r="AG1579" s="6">
        <v>46</v>
      </c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>
        <v>0</v>
      </c>
      <c r="AP1579" s="4"/>
      <c r="AQ1579" s="8"/>
      <c r="AR1579" s="4"/>
      <c r="AS1579" s="8"/>
      <c r="AT1579" s="7"/>
      <c r="AU1579" s="7"/>
      <c r="AV1579" s="4" t="s">
        <v>100</v>
      </c>
      <c r="AW1579" s="8" t="s">
        <v>100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/>
      <c r="BC1579" s="4" t="s">
        <v>100</v>
      </c>
      <c r="BD1579" s="8" t="s">
        <v>100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 t="s">
        <v>100</v>
      </c>
      <c r="BJ1579" s="4">
        <v>25</v>
      </c>
      <c r="BK1579" s="8">
        <v>624.32</v>
      </c>
      <c r="BL1579" s="2" t="s">
        <v>534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4714</v>
      </c>
      <c r="BX1579" s="2" t="s">
        <v>4881</v>
      </c>
      <c r="BY1579" s="2" t="s">
        <v>112</v>
      </c>
      <c r="BZ1579" s="2" t="s">
        <v>100</v>
      </c>
    </row>
    <row r="1580">
      <c r="A1580" s="2" t="s">
        <v>4882</v>
      </c>
      <c r="B1580" s="2" t="s">
        <v>87</v>
      </c>
      <c r="C1580" s="2" t="s">
        <v>4613</v>
      </c>
      <c r="D1580" s="2" t="s">
        <v>89</v>
      </c>
      <c r="E1580" s="2" t="s">
        <v>2030</v>
      </c>
      <c r="F1580" s="2" t="s">
        <v>4872</v>
      </c>
      <c r="G1580" s="2" t="s">
        <v>4873</v>
      </c>
      <c r="H1580" s="2" t="s">
        <v>4874</v>
      </c>
      <c r="I1580" s="2" t="s">
        <v>4875</v>
      </c>
      <c r="J1580" s="2" t="s">
        <v>673</v>
      </c>
      <c r="K1580" s="2" t="s">
        <v>4883</v>
      </c>
      <c r="L1580" s="3">
        <v>19.04</v>
      </c>
      <c r="M1580" s="3">
        <v>19.99</v>
      </c>
      <c r="N1580" s="3">
        <v>39.99</v>
      </c>
      <c r="O1580" s="2" t="s">
        <v>97</v>
      </c>
      <c r="P1580" s="2" t="s">
        <v>1216</v>
      </c>
      <c r="Q1580" s="2" t="s">
        <v>99</v>
      </c>
      <c r="R1580" s="2" t="s">
        <v>100</v>
      </c>
      <c r="S1580" s="2" t="s">
        <v>4884</v>
      </c>
      <c r="T1580" s="2" t="s">
        <v>1218</v>
      </c>
      <c r="U1580" s="2" t="s">
        <v>2150</v>
      </c>
      <c r="V1580" s="2" t="s">
        <v>677</v>
      </c>
      <c r="W1580" s="2" t="s">
        <v>788</v>
      </c>
      <c r="X1580" s="2" t="s">
        <v>976</v>
      </c>
      <c r="Y1580" s="2" t="s">
        <v>808</v>
      </c>
      <c r="Z1580" s="4">
        <v>161</v>
      </c>
      <c r="AA1580" s="4">
        <f>=ROUNDDOWN(7.31818181818182,0)</f>
      </c>
      <c r="AB1580" s="5">
        <v>22</v>
      </c>
      <c r="AC1580" s="2" t="s">
        <v>4708</v>
      </c>
      <c r="AD1580" s="4">
        <v>105</v>
      </c>
      <c r="AE1580" s="4">
        <v>945</v>
      </c>
      <c r="AF1580" s="6">
        <v>63</v>
      </c>
      <c r="AG1580" s="6">
        <v>46</v>
      </c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>
        <v>0</v>
      </c>
      <c r="AP1580" s="4">
        <v>1</v>
      </c>
      <c r="AQ1580" s="8">
        <v>20.99</v>
      </c>
      <c r="AR1580" s="4"/>
      <c r="AS1580" s="8"/>
      <c r="AT1580" s="7"/>
      <c r="AU1580" s="7"/>
      <c r="AV1580" s="4">
        <v>1</v>
      </c>
      <c r="AW1580" s="8">
        <v>20.99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1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>
        <v>0.4444</v>
      </c>
      <c r="BJ1580" s="4">
        <v>32</v>
      </c>
      <c r="BK1580" s="8">
        <v>603.43</v>
      </c>
      <c r="BL1580" s="2" t="s">
        <v>4885</v>
      </c>
      <c r="BM1580" s="7">
        <v>0.0312</v>
      </c>
      <c r="BN1580" s="7">
        <v>0.0348</v>
      </c>
      <c r="BO1580" s="4">
        <v>1</v>
      </c>
      <c r="BP1580" s="8">
        <v>20.99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4714</v>
      </c>
      <c r="BX1580" s="2" t="s">
        <v>2104</v>
      </c>
      <c r="BY1580" s="2" t="s">
        <v>112</v>
      </c>
      <c r="BZ1580" s="2" t="s">
        <v>100</v>
      </c>
    </row>
    <row r="1581">
      <c r="A1581" s="2" t="s">
        <v>4886</v>
      </c>
      <c r="B1581" s="2" t="s">
        <v>87</v>
      </c>
      <c r="C1581" s="2" t="s">
        <v>4613</v>
      </c>
      <c r="D1581" s="2" t="s">
        <v>89</v>
      </c>
      <c r="E1581" s="2" t="s">
        <v>2030</v>
      </c>
      <c r="F1581" s="2" t="s">
        <v>4872</v>
      </c>
      <c r="G1581" s="2" t="s">
        <v>4873</v>
      </c>
      <c r="H1581" s="2" t="s">
        <v>4874</v>
      </c>
      <c r="I1581" s="2" t="s">
        <v>4875</v>
      </c>
      <c r="J1581" s="2" t="s">
        <v>785</v>
      </c>
      <c r="K1581" s="2" t="s">
        <v>4883</v>
      </c>
      <c r="L1581" s="3">
        <v>23.8</v>
      </c>
      <c r="M1581" s="3">
        <v>24.99</v>
      </c>
      <c r="N1581" s="3">
        <v>49.99</v>
      </c>
      <c r="O1581" s="2" t="s">
        <v>97</v>
      </c>
      <c r="P1581" s="2" t="s">
        <v>1216</v>
      </c>
      <c r="Q1581" s="2" t="s">
        <v>99</v>
      </c>
      <c r="R1581" s="2" t="s">
        <v>100</v>
      </c>
      <c r="S1581" s="2" t="s">
        <v>4884</v>
      </c>
      <c r="T1581" s="2" t="s">
        <v>1218</v>
      </c>
      <c r="U1581" s="2" t="s">
        <v>1508</v>
      </c>
      <c r="V1581" s="2" t="s">
        <v>677</v>
      </c>
      <c r="W1581" s="2" t="s">
        <v>788</v>
      </c>
      <c r="X1581" s="2" t="s">
        <v>976</v>
      </c>
      <c r="Y1581" s="2" t="s">
        <v>808</v>
      </c>
      <c r="Z1581" s="4">
        <v>282</v>
      </c>
      <c r="AA1581" s="4">
        <f>=ROUNDDOWN(3.525,0)</f>
      </c>
      <c r="AB1581" s="5">
        <v>80</v>
      </c>
      <c r="AC1581" s="2" t="s">
        <v>4708</v>
      </c>
      <c r="AD1581" s="4">
        <v>459</v>
      </c>
      <c r="AE1581" s="4">
        <v>2679</v>
      </c>
      <c r="AF1581" s="6">
        <v>63</v>
      </c>
      <c r="AG1581" s="6">
        <v>46</v>
      </c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>
        <v>0</v>
      </c>
      <c r="AP1581" s="4"/>
      <c r="AQ1581" s="8"/>
      <c r="AR1581" s="4"/>
      <c r="AS1581" s="8"/>
      <c r="AT1581" s="7"/>
      <c r="AU1581" s="7"/>
      <c r="AV1581" s="4" t="s">
        <v>100</v>
      </c>
      <c r="AW1581" s="8" t="s">
        <v>100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/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 t="s">
        <v>100</v>
      </c>
      <c r="BJ1581" s="4">
        <v>50</v>
      </c>
      <c r="BK1581" s="8">
        <v>1102.9</v>
      </c>
      <c r="BL1581" s="2" t="s">
        <v>2265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4714</v>
      </c>
      <c r="BX1581" s="2" t="s">
        <v>3687</v>
      </c>
      <c r="BY1581" s="2" t="s">
        <v>112</v>
      </c>
      <c r="BZ1581" s="2" t="s">
        <v>100</v>
      </c>
    </row>
    <row r="1582">
      <c r="A1582" s="2" t="s">
        <v>4887</v>
      </c>
      <c r="B1582" s="2" t="s">
        <v>87</v>
      </c>
      <c r="C1582" s="2" t="s">
        <v>4613</v>
      </c>
      <c r="D1582" s="2" t="s">
        <v>89</v>
      </c>
      <c r="E1582" s="2" t="s">
        <v>2030</v>
      </c>
      <c r="F1582" s="2" t="s">
        <v>4872</v>
      </c>
      <c r="G1582" s="2" t="s">
        <v>4873</v>
      </c>
      <c r="H1582" s="2" t="s">
        <v>4874</v>
      </c>
      <c r="I1582" s="2" t="s">
        <v>4875</v>
      </c>
      <c r="J1582" s="2" t="s">
        <v>795</v>
      </c>
      <c r="K1582" s="2" t="s">
        <v>4883</v>
      </c>
      <c r="L1582" s="3">
        <v>26.19</v>
      </c>
      <c r="M1582" s="3">
        <v>27.5</v>
      </c>
      <c r="N1582" s="3">
        <v>54.99</v>
      </c>
      <c r="O1582" s="2" t="s">
        <v>97</v>
      </c>
      <c r="P1582" s="2" t="s">
        <v>1216</v>
      </c>
      <c r="Q1582" s="2" t="s">
        <v>99</v>
      </c>
      <c r="R1582" s="2" t="s">
        <v>100</v>
      </c>
      <c r="S1582" s="2" t="s">
        <v>4884</v>
      </c>
      <c r="T1582" s="2" t="s">
        <v>1218</v>
      </c>
      <c r="U1582" s="2" t="s">
        <v>1508</v>
      </c>
      <c r="V1582" s="2" t="s">
        <v>677</v>
      </c>
      <c r="W1582" s="2" t="s">
        <v>788</v>
      </c>
      <c r="X1582" s="2" t="s">
        <v>976</v>
      </c>
      <c r="Y1582" s="2" t="s">
        <v>2182</v>
      </c>
      <c r="Z1582" s="4">
        <v>49</v>
      </c>
      <c r="AA1582" s="4">
        <f>=ROUNDDOWN(1.02083333333333,0)</f>
      </c>
      <c r="AB1582" s="5">
        <v>48</v>
      </c>
      <c r="AC1582" s="2" t="s">
        <v>4708</v>
      </c>
      <c r="AD1582" s="4">
        <v>459</v>
      </c>
      <c r="AE1582" s="4">
        <v>2523</v>
      </c>
      <c r="AF1582" s="6">
        <v>63</v>
      </c>
      <c r="AG1582" s="6">
        <v>46</v>
      </c>
      <c r="AH1582" s="7">
        <v>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>
        <v>0</v>
      </c>
      <c r="AP1582" s="4"/>
      <c r="AQ1582" s="8"/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/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 t="s">
        <v>100</v>
      </c>
      <c r="BJ1582" s="4">
        <v>51</v>
      </c>
      <c r="BK1582" s="8">
        <v>1339.93</v>
      </c>
      <c r="BL1582" s="2" t="s">
        <v>4888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109</v>
      </c>
      <c r="BV1582" s="2" t="s">
        <v>97</v>
      </c>
      <c r="BW1582" s="2" t="s">
        <v>4714</v>
      </c>
      <c r="BX1582" s="2" t="s">
        <v>4740</v>
      </c>
      <c r="BY1582" s="2" t="s">
        <v>112</v>
      </c>
      <c r="BZ1582" s="2" t="s">
        <v>100</v>
      </c>
    </row>
    <row r="1583">
      <c r="A1583" s="2" t="s">
        <v>4889</v>
      </c>
      <c r="B1583" s="2" t="s">
        <v>87</v>
      </c>
      <c r="C1583" s="2" t="s">
        <v>4613</v>
      </c>
      <c r="D1583" s="2" t="s">
        <v>89</v>
      </c>
      <c r="E1583" s="2" t="s">
        <v>2030</v>
      </c>
      <c r="F1583" s="2" t="s">
        <v>4890</v>
      </c>
      <c r="G1583" s="2" t="s">
        <v>4891</v>
      </c>
      <c r="H1583" s="2" t="s">
        <v>4892</v>
      </c>
      <c r="I1583" s="2" t="s">
        <v>4893</v>
      </c>
      <c r="J1583" s="2" t="s">
        <v>673</v>
      </c>
      <c r="K1583" s="2" t="s">
        <v>185</v>
      </c>
      <c r="L1583" s="3">
        <v>19.04</v>
      </c>
      <c r="M1583" s="3">
        <v>19.99</v>
      </c>
      <c r="N1583" s="3">
        <v>39.99</v>
      </c>
      <c r="O1583" s="2" t="s">
        <v>473</v>
      </c>
      <c r="P1583" s="2" t="s">
        <v>447</v>
      </c>
      <c r="Q1583" s="2" t="s">
        <v>99</v>
      </c>
      <c r="R1583" s="2" t="s">
        <v>100</v>
      </c>
      <c r="S1583" s="2" t="s">
        <v>4894</v>
      </c>
      <c r="T1583" s="2" t="s">
        <v>787</v>
      </c>
      <c r="U1583" s="2" t="s">
        <v>2150</v>
      </c>
      <c r="V1583" s="2" t="s">
        <v>677</v>
      </c>
      <c r="W1583" s="2" t="s">
        <v>788</v>
      </c>
      <c r="X1583" s="2" t="s">
        <v>105</v>
      </c>
      <c r="Y1583" s="2" t="s">
        <v>4672</v>
      </c>
      <c r="Z1583" s="4">
        <v>270</v>
      </c>
      <c r="AA1583" s="4">
        <f>=ROUNDDOWN(90,0)</f>
      </c>
      <c r="AB1583" s="5">
        <v>3</v>
      </c>
      <c r="AC1583" s="2" t="s">
        <v>100</v>
      </c>
      <c r="AD1583" s="4"/>
      <c r="AE1583" s="4"/>
      <c r="AF1583" s="6">
        <v>63</v>
      </c>
      <c r="AG1583" s="6">
        <v>46</v>
      </c>
      <c r="AH1583" s="7">
        <v>1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>
        <v>0</v>
      </c>
      <c r="AP1583" s="4"/>
      <c r="AQ1583" s="8"/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/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/>
      <c r="BJ1583" s="4">
        <v>3</v>
      </c>
      <c r="BK1583" s="8">
        <v>51.6</v>
      </c>
      <c r="BL1583" s="2" t="s">
        <v>4627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109</v>
      </c>
      <c r="BV1583" s="2" t="s">
        <v>97</v>
      </c>
      <c r="BW1583" s="2" t="s">
        <v>819</v>
      </c>
      <c r="BX1583" s="2" t="s">
        <v>100</v>
      </c>
      <c r="BY1583" s="2" t="s">
        <v>112</v>
      </c>
      <c r="BZ1583" s="2" t="s">
        <v>100</v>
      </c>
    </row>
    <row r="1584">
      <c r="A1584" s="2" t="s">
        <v>4895</v>
      </c>
      <c r="B1584" s="2" t="s">
        <v>87</v>
      </c>
      <c r="C1584" s="2" t="s">
        <v>4613</v>
      </c>
      <c r="D1584" s="2" t="s">
        <v>89</v>
      </c>
      <c r="E1584" s="2" t="s">
        <v>2030</v>
      </c>
      <c r="F1584" s="2" t="s">
        <v>4890</v>
      </c>
      <c r="G1584" s="2" t="s">
        <v>4891</v>
      </c>
      <c r="H1584" s="2" t="s">
        <v>4892</v>
      </c>
      <c r="I1584" s="2" t="s">
        <v>4893</v>
      </c>
      <c r="J1584" s="2" t="s">
        <v>785</v>
      </c>
      <c r="K1584" s="2" t="s">
        <v>185</v>
      </c>
      <c r="L1584" s="3">
        <v>23.8</v>
      </c>
      <c r="M1584" s="3">
        <v>24.99</v>
      </c>
      <c r="N1584" s="3">
        <v>49.99</v>
      </c>
      <c r="O1584" s="2" t="s">
        <v>473</v>
      </c>
      <c r="P1584" s="2" t="s">
        <v>447</v>
      </c>
      <c r="Q1584" s="2" t="s">
        <v>99</v>
      </c>
      <c r="R1584" s="2" t="s">
        <v>100</v>
      </c>
      <c r="S1584" s="2" t="s">
        <v>4894</v>
      </c>
      <c r="T1584" s="2" t="s">
        <v>787</v>
      </c>
      <c r="U1584" s="2" t="s">
        <v>1508</v>
      </c>
      <c r="V1584" s="2" t="s">
        <v>677</v>
      </c>
      <c r="W1584" s="2" t="s">
        <v>788</v>
      </c>
      <c r="X1584" s="2" t="s">
        <v>105</v>
      </c>
      <c r="Y1584" s="2" t="s">
        <v>4672</v>
      </c>
      <c r="Z1584" s="4">
        <v>2930</v>
      </c>
      <c r="AA1584" s="4">
        <f>=ROUNDDOWN(325.555555555556,0)</f>
      </c>
      <c r="AB1584" s="5">
        <v>9</v>
      </c>
      <c r="AC1584" s="2" t="s">
        <v>100</v>
      </c>
      <c r="AD1584" s="4"/>
      <c r="AE1584" s="4"/>
      <c r="AF1584" s="6">
        <v>63</v>
      </c>
      <c r="AG1584" s="6">
        <v>46</v>
      </c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>
        <v>0</v>
      </c>
      <c r="AP1584" s="4"/>
      <c r="AQ1584" s="8"/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/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/>
      <c r="BJ1584" s="4">
        <v>20</v>
      </c>
      <c r="BK1584" s="8">
        <v>359.21</v>
      </c>
      <c r="BL1584" s="2" t="s">
        <v>2833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109</v>
      </c>
      <c r="BV1584" s="2" t="s">
        <v>97</v>
      </c>
      <c r="BW1584" s="2" t="s">
        <v>819</v>
      </c>
      <c r="BX1584" s="2" t="s">
        <v>100</v>
      </c>
      <c r="BY1584" s="2" t="s">
        <v>112</v>
      </c>
      <c r="BZ1584" s="2" t="s">
        <v>100</v>
      </c>
    </row>
    <row r="1585">
      <c r="A1585" s="2" t="s">
        <v>4896</v>
      </c>
      <c r="B1585" s="2" t="s">
        <v>87</v>
      </c>
      <c r="C1585" s="2" t="s">
        <v>4613</v>
      </c>
      <c r="D1585" s="2" t="s">
        <v>89</v>
      </c>
      <c r="E1585" s="2" t="s">
        <v>2030</v>
      </c>
      <c r="F1585" s="2" t="s">
        <v>4890</v>
      </c>
      <c r="G1585" s="2" t="s">
        <v>4891</v>
      </c>
      <c r="H1585" s="2" t="s">
        <v>4892</v>
      </c>
      <c r="I1585" s="2" t="s">
        <v>4893</v>
      </c>
      <c r="J1585" s="2" t="s">
        <v>795</v>
      </c>
      <c r="K1585" s="2" t="s">
        <v>185</v>
      </c>
      <c r="L1585" s="3">
        <v>26.19</v>
      </c>
      <c r="M1585" s="3">
        <v>27.5</v>
      </c>
      <c r="N1585" s="3">
        <v>54.99</v>
      </c>
      <c r="O1585" s="2" t="s">
        <v>473</v>
      </c>
      <c r="P1585" s="2" t="s">
        <v>447</v>
      </c>
      <c r="Q1585" s="2" t="s">
        <v>99</v>
      </c>
      <c r="R1585" s="2" t="s">
        <v>100</v>
      </c>
      <c r="S1585" s="2" t="s">
        <v>4894</v>
      </c>
      <c r="T1585" s="2" t="s">
        <v>787</v>
      </c>
      <c r="U1585" s="2" t="s">
        <v>1508</v>
      </c>
      <c r="V1585" s="2" t="s">
        <v>677</v>
      </c>
      <c r="W1585" s="2" t="s">
        <v>788</v>
      </c>
      <c r="X1585" s="2" t="s">
        <v>105</v>
      </c>
      <c r="Y1585" s="2" t="s">
        <v>2890</v>
      </c>
      <c r="Z1585" s="4">
        <v>830</v>
      </c>
      <c r="AA1585" s="4">
        <f>=ROUNDDOWN(75.4545454545455,0)</f>
      </c>
      <c r="AB1585" s="5">
        <v>11</v>
      </c>
      <c r="AC1585" s="2" t="s">
        <v>100</v>
      </c>
      <c r="AD1585" s="4"/>
      <c r="AE1585" s="4"/>
      <c r="AF1585" s="6">
        <v>63</v>
      </c>
      <c r="AG1585" s="6">
        <v>46</v>
      </c>
      <c r="AH1585" s="7">
        <v>1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>
        <v>0</v>
      </c>
      <c r="AP1585" s="4"/>
      <c r="AQ1585" s="8"/>
      <c r="AR1585" s="4"/>
      <c r="AS1585" s="8"/>
      <c r="AT1585" s="7"/>
      <c r="AU1585" s="7"/>
      <c r="AV1585" s="4" t="s">
        <v>100</v>
      </c>
      <c r="AW1585" s="8" t="s">
        <v>100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/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/>
      <c r="BJ1585" s="4">
        <v>8</v>
      </c>
      <c r="BK1585" s="8">
        <v>217.42</v>
      </c>
      <c r="BL1585" s="2" t="s">
        <v>4897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109</v>
      </c>
      <c r="BV1585" s="2" t="s">
        <v>97</v>
      </c>
      <c r="BW1585" s="2" t="s">
        <v>819</v>
      </c>
      <c r="BX1585" s="2" t="s">
        <v>4898</v>
      </c>
      <c r="BY1585" s="2" t="s">
        <v>112</v>
      </c>
      <c r="BZ1585" s="2" t="s">
        <v>100</v>
      </c>
    </row>
    <row r="1586">
      <c r="A1586" s="2" t="s">
        <v>4899</v>
      </c>
      <c r="B1586" s="2" t="s">
        <v>87</v>
      </c>
      <c r="C1586" s="2" t="s">
        <v>4613</v>
      </c>
      <c r="D1586" s="2" t="s">
        <v>89</v>
      </c>
      <c r="E1586" s="2" t="s">
        <v>2030</v>
      </c>
      <c r="F1586" s="2" t="s">
        <v>4890</v>
      </c>
      <c r="G1586" s="2" t="s">
        <v>4891</v>
      </c>
      <c r="H1586" s="2" t="s">
        <v>4892</v>
      </c>
      <c r="I1586" s="2" t="s">
        <v>4893</v>
      </c>
      <c r="J1586" s="2" t="s">
        <v>673</v>
      </c>
      <c r="K1586" s="2" t="s">
        <v>253</v>
      </c>
      <c r="L1586" s="3">
        <v>19.04</v>
      </c>
      <c r="M1586" s="3">
        <v>19.99</v>
      </c>
      <c r="N1586" s="3">
        <v>39.99</v>
      </c>
      <c r="O1586" s="2" t="s">
        <v>97</v>
      </c>
      <c r="P1586" s="2" t="s">
        <v>447</v>
      </c>
      <c r="Q1586" s="2" t="s">
        <v>99</v>
      </c>
      <c r="R1586" s="2" t="s">
        <v>100</v>
      </c>
      <c r="S1586" s="2" t="s">
        <v>4900</v>
      </c>
      <c r="T1586" s="2" t="s">
        <v>787</v>
      </c>
      <c r="U1586" s="2" t="s">
        <v>2150</v>
      </c>
      <c r="V1586" s="2" t="s">
        <v>677</v>
      </c>
      <c r="W1586" s="2" t="s">
        <v>788</v>
      </c>
      <c r="X1586" s="2" t="s">
        <v>105</v>
      </c>
      <c r="Y1586" s="2" t="s">
        <v>4672</v>
      </c>
      <c r="Z1586" s="4">
        <v>41</v>
      </c>
      <c r="AA1586" s="4">
        <f>=ROUNDDOWN(5.125,0)</f>
      </c>
      <c r="AB1586" s="5">
        <v>8</v>
      </c>
      <c r="AC1586" s="2" t="s">
        <v>100</v>
      </c>
      <c r="AD1586" s="4"/>
      <c r="AE1586" s="4"/>
      <c r="AF1586" s="6">
        <v>63</v>
      </c>
      <c r="AG1586" s="6">
        <v>46</v>
      </c>
      <c r="AH1586" s="7">
        <v>1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>
        <v>0</v>
      </c>
      <c r="AP1586" s="4"/>
      <c r="AQ1586" s="8"/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/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/>
      <c r="BJ1586" s="4">
        <v>11</v>
      </c>
      <c r="BK1586" s="8">
        <v>191.74</v>
      </c>
      <c r="BL1586" s="2" t="s">
        <v>3891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109</v>
      </c>
      <c r="BV1586" s="2" t="s">
        <v>97</v>
      </c>
      <c r="BW1586" s="2" t="s">
        <v>819</v>
      </c>
      <c r="BX1586" s="2" t="s">
        <v>100</v>
      </c>
      <c r="BY1586" s="2" t="s">
        <v>112</v>
      </c>
      <c r="BZ1586" s="2" t="s">
        <v>100</v>
      </c>
    </row>
    <row r="1587">
      <c r="A1587" s="2" t="s">
        <v>4901</v>
      </c>
      <c r="B1587" s="2" t="s">
        <v>87</v>
      </c>
      <c r="C1587" s="2" t="s">
        <v>4613</v>
      </c>
      <c r="D1587" s="2" t="s">
        <v>89</v>
      </c>
      <c r="E1587" s="2" t="s">
        <v>2030</v>
      </c>
      <c r="F1587" s="2" t="s">
        <v>4890</v>
      </c>
      <c r="G1587" s="2" t="s">
        <v>4891</v>
      </c>
      <c r="H1587" s="2" t="s">
        <v>4892</v>
      </c>
      <c r="I1587" s="2" t="s">
        <v>4893</v>
      </c>
      <c r="J1587" s="2" t="s">
        <v>785</v>
      </c>
      <c r="K1587" s="2" t="s">
        <v>253</v>
      </c>
      <c r="L1587" s="3">
        <v>23.8</v>
      </c>
      <c r="M1587" s="3">
        <v>24.99</v>
      </c>
      <c r="N1587" s="3">
        <v>49.99</v>
      </c>
      <c r="O1587" s="2" t="s">
        <v>97</v>
      </c>
      <c r="P1587" s="2" t="s">
        <v>447</v>
      </c>
      <c r="Q1587" s="2" t="s">
        <v>99</v>
      </c>
      <c r="R1587" s="2" t="s">
        <v>100</v>
      </c>
      <c r="S1587" s="2" t="s">
        <v>4900</v>
      </c>
      <c r="T1587" s="2" t="s">
        <v>787</v>
      </c>
      <c r="U1587" s="2" t="s">
        <v>1508</v>
      </c>
      <c r="V1587" s="2" t="s">
        <v>677</v>
      </c>
      <c r="W1587" s="2" t="s">
        <v>788</v>
      </c>
      <c r="X1587" s="2" t="s">
        <v>105</v>
      </c>
      <c r="Y1587" s="2" t="s">
        <v>4672</v>
      </c>
      <c r="Z1587" s="4">
        <v>746</v>
      </c>
      <c r="AA1587" s="4">
        <f>=ROUNDDOWN(15.2244897959184,0)</f>
      </c>
      <c r="AB1587" s="5">
        <v>49</v>
      </c>
      <c r="AC1587" s="2" t="s">
        <v>100</v>
      </c>
      <c r="AD1587" s="4"/>
      <c r="AE1587" s="4"/>
      <c r="AF1587" s="6">
        <v>63</v>
      </c>
      <c r="AG1587" s="6">
        <v>46</v>
      </c>
      <c r="AH1587" s="7">
        <v>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>
        <v>0</v>
      </c>
      <c r="AP1587" s="4"/>
      <c r="AQ1587" s="8"/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/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/>
      <c r="BJ1587" s="4">
        <v>19</v>
      </c>
      <c r="BK1587" s="8">
        <v>403.94</v>
      </c>
      <c r="BL1587" s="2" t="s">
        <v>698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109</v>
      </c>
      <c r="BV1587" s="2" t="s">
        <v>97</v>
      </c>
      <c r="BW1587" s="2" t="s">
        <v>819</v>
      </c>
      <c r="BX1587" s="2" t="s">
        <v>4902</v>
      </c>
      <c r="BY1587" s="2" t="s">
        <v>112</v>
      </c>
      <c r="BZ1587" s="2" t="s">
        <v>100</v>
      </c>
    </row>
    <row r="1588">
      <c r="A1588" s="2" t="s">
        <v>4903</v>
      </c>
      <c r="B1588" s="2" t="s">
        <v>87</v>
      </c>
      <c r="C1588" s="2" t="s">
        <v>4613</v>
      </c>
      <c r="D1588" s="2" t="s">
        <v>89</v>
      </c>
      <c r="E1588" s="2" t="s">
        <v>2030</v>
      </c>
      <c r="F1588" s="2" t="s">
        <v>4890</v>
      </c>
      <c r="G1588" s="2" t="s">
        <v>4891</v>
      </c>
      <c r="H1588" s="2" t="s">
        <v>4892</v>
      </c>
      <c r="I1588" s="2" t="s">
        <v>4893</v>
      </c>
      <c r="J1588" s="2" t="s">
        <v>795</v>
      </c>
      <c r="K1588" s="2" t="s">
        <v>253</v>
      </c>
      <c r="L1588" s="3">
        <v>26.19</v>
      </c>
      <c r="M1588" s="3">
        <v>27.5</v>
      </c>
      <c r="N1588" s="3">
        <v>54.99</v>
      </c>
      <c r="O1588" s="2" t="s">
        <v>97</v>
      </c>
      <c r="P1588" s="2" t="s">
        <v>447</v>
      </c>
      <c r="Q1588" s="2" t="s">
        <v>99</v>
      </c>
      <c r="R1588" s="2" t="s">
        <v>100</v>
      </c>
      <c r="S1588" s="2" t="s">
        <v>4900</v>
      </c>
      <c r="T1588" s="2" t="s">
        <v>787</v>
      </c>
      <c r="U1588" s="2" t="s">
        <v>1508</v>
      </c>
      <c r="V1588" s="2" t="s">
        <v>677</v>
      </c>
      <c r="W1588" s="2" t="s">
        <v>788</v>
      </c>
      <c r="X1588" s="2" t="s">
        <v>105</v>
      </c>
      <c r="Y1588" s="2" t="s">
        <v>2890</v>
      </c>
      <c r="Z1588" s="4">
        <v>586</v>
      </c>
      <c r="AA1588" s="4">
        <f>=ROUNDDOWN(18.3125,0)</f>
      </c>
      <c r="AB1588" s="5">
        <v>32</v>
      </c>
      <c r="AC1588" s="2" t="s">
        <v>100</v>
      </c>
      <c r="AD1588" s="4"/>
      <c r="AE1588" s="4"/>
      <c r="AF1588" s="6">
        <v>63</v>
      </c>
      <c r="AG1588" s="6">
        <v>46</v>
      </c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>
        <v>0</v>
      </c>
      <c r="AP1588" s="4"/>
      <c r="AQ1588" s="8"/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/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/>
      <c r="BJ1588" s="4">
        <v>25</v>
      </c>
      <c r="BK1588" s="8">
        <v>593.15</v>
      </c>
      <c r="BL1588" s="2" t="s">
        <v>4904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109</v>
      </c>
      <c r="BV1588" s="2" t="s">
        <v>97</v>
      </c>
      <c r="BW1588" s="2" t="s">
        <v>819</v>
      </c>
      <c r="BX1588" s="2" t="s">
        <v>4881</v>
      </c>
      <c r="BY1588" s="2" t="s">
        <v>112</v>
      </c>
      <c r="BZ1588" s="2" t="s">
        <v>100</v>
      </c>
    </row>
    <row r="1589">
      <c r="A1589" s="2" t="s">
        <v>4905</v>
      </c>
      <c r="B1589" s="2" t="s">
        <v>87</v>
      </c>
      <c r="C1589" s="2" t="s">
        <v>4613</v>
      </c>
      <c r="D1589" s="2" t="s">
        <v>89</v>
      </c>
      <c r="E1589" s="2" t="s">
        <v>2030</v>
      </c>
      <c r="F1589" s="2" t="s">
        <v>4906</v>
      </c>
      <c r="G1589" s="2" t="s">
        <v>4907</v>
      </c>
      <c r="H1589" s="2" t="s">
        <v>4908</v>
      </c>
      <c r="I1589" s="2" t="s">
        <v>4909</v>
      </c>
      <c r="J1589" s="2" t="s">
        <v>673</v>
      </c>
      <c r="K1589" s="2" t="s">
        <v>146</v>
      </c>
      <c r="L1589" s="3">
        <v>23.8</v>
      </c>
      <c r="M1589" s="3">
        <v>24.99</v>
      </c>
      <c r="N1589" s="3">
        <v>49.99</v>
      </c>
      <c r="O1589" s="2" t="s">
        <v>473</v>
      </c>
      <c r="P1589" s="2" t="s">
        <v>1216</v>
      </c>
      <c r="Q1589" s="2" t="s">
        <v>99</v>
      </c>
      <c r="R1589" s="2" t="s">
        <v>100</v>
      </c>
      <c r="S1589" s="2" t="s">
        <v>4910</v>
      </c>
      <c r="T1589" s="2" t="s">
        <v>1218</v>
      </c>
      <c r="U1589" s="2" t="s">
        <v>2150</v>
      </c>
      <c r="V1589" s="2" t="s">
        <v>645</v>
      </c>
      <c r="W1589" s="2" t="s">
        <v>976</v>
      </c>
      <c r="X1589" s="2" t="s">
        <v>1240</v>
      </c>
      <c r="Y1589" s="2" t="s">
        <v>100</v>
      </c>
      <c r="Z1589" s="4"/>
      <c r="AA1589" s="4">
        <f>=ROUNDDOWN({0},0)</f>
      </c>
      <c r="AB1589" s="5"/>
      <c r="AC1589" s="2" t="s">
        <v>100</v>
      </c>
      <c r="AD1589" s="4"/>
      <c r="AE1589" s="4"/>
      <c r="AF1589" s="6">
        <v>63</v>
      </c>
      <c r="AG1589" s="6">
        <v>46</v>
      </c>
      <c r="AH1589" s="7">
        <v>0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>
        <v>0</v>
      </c>
      <c r="AP1589" s="4"/>
      <c r="AQ1589" s="8"/>
      <c r="AR1589" s="4"/>
      <c r="AS1589" s="8"/>
      <c r="AT1589" s="7"/>
      <c r="AU1589" s="7"/>
      <c r="AV1589" s="4" t="s">
        <v>100</v>
      </c>
      <c r="AW1589" s="8" t="s">
        <v>100</v>
      </c>
      <c r="AX1589" s="4" t="s">
        <v>100</v>
      </c>
      <c r="AY1589" s="8" t="s">
        <v>100</v>
      </c>
      <c r="AZ1589" s="7" t="s">
        <v>100</v>
      </c>
      <c r="BA1589" s="7" t="s">
        <v>100</v>
      </c>
      <c r="BB1589" s="7"/>
      <c r="BC1589" s="4" t="s">
        <v>100</v>
      </c>
      <c r="BD1589" s="8" t="s">
        <v>100</v>
      </c>
      <c r="BE1589" s="4" t="s">
        <v>100</v>
      </c>
      <c r="BF1589" s="8" t="s">
        <v>100</v>
      </c>
      <c r="BG1589" s="7" t="s">
        <v>100</v>
      </c>
      <c r="BH1589" s="7" t="s">
        <v>100</v>
      </c>
      <c r="BI1589" s="7"/>
      <c r="BJ1589" s="4"/>
      <c r="BK1589" s="8"/>
      <c r="BL1589" s="2" t="s">
        <v>100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1338</v>
      </c>
      <c r="BV1589" s="2" t="s">
        <v>97</v>
      </c>
      <c r="BW1589" s="2" t="s">
        <v>100</v>
      </c>
      <c r="BX1589" s="2" t="s">
        <v>100</v>
      </c>
      <c r="BY1589" s="2" t="s">
        <v>112</v>
      </c>
      <c r="BZ1589" s="2" t="s">
        <v>100</v>
      </c>
    </row>
    <row r="1590">
      <c r="A1590" s="2" t="s">
        <v>4911</v>
      </c>
      <c r="B1590" s="2" t="s">
        <v>87</v>
      </c>
      <c r="C1590" s="2" t="s">
        <v>4613</v>
      </c>
      <c r="D1590" s="2" t="s">
        <v>89</v>
      </c>
      <c r="E1590" s="2" t="s">
        <v>2030</v>
      </c>
      <c r="F1590" s="2" t="s">
        <v>4906</v>
      </c>
      <c r="G1590" s="2" t="s">
        <v>4907</v>
      </c>
      <c r="H1590" s="2" t="s">
        <v>4908</v>
      </c>
      <c r="I1590" s="2" t="s">
        <v>4909</v>
      </c>
      <c r="J1590" s="2" t="s">
        <v>785</v>
      </c>
      <c r="K1590" s="2" t="s">
        <v>146</v>
      </c>
      <c r="L1590" s="3">
        <v>28.57</v>
      </c>
      <c r="M1590" s="3">
        <v>30</v>
      </c>
      <c r="N1590" s="3">
        <v>59.99</v>
      </c>
      <c r="O1590" s="2" t="s">
        <v>473</v>
      </c>
      <c r="P1590" s="2" t="s">
        <v>1216</v>
      </c>
      <c r="Q1590" s="2" t="s">
        <v>99</v>
      </c>
      <c r="R1590" s="2" t="s">
        <v>100</v>
      </c>
      <c r="S1590" s="2" t="s">
        <v>4910</v>
      </c>
      <c r="T1590" s="2" t="s">
        <v>1218</v>
      </c>
      <c r="U1590" s="2" t="s">
        <v>1508</v>
      </c>
      <c r="V1590" s="2" t="s">
        <v>645</v>
      </c>
      <c r="W1590" s="2" t="s">
        <v>976</v>
      </c>
      <c r="X1590" s="2" t="s">
        <v>1240</v>
      </c>
      <c r="Y1590" s="2" t="s">
        <v>100</v>
      </c>
      <c r="Z1590" s="4"/>
      <c r="AA1590" s="4">
        <f>=ROUNDDOWN({0},0)</f>
      </c>
      <c r="AB1590" s="5"/>
      <c r="AC1590" s="2" t="s">
        <v>100</v>
      </c>
      <c r="AD1590" s="4"/>
      <c r="AE1590" s="4"/>
      <c r="AF1590" s="6">
        <v>63</v>
      </c>
      <c r="AG1590" s="6">
        <v>46</v>
      </c>
      <c r="AH1590" s="7">
        <v>0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>
        <v>0</v>
      </c>
      <c r="AP1590" s="4"/>
      <c r="AQ1590" s="8"/>
      <c r="AR1590" s="4"/>
      <c r="AS1590" s="8"/>
      <c r="AT1590" s="7"/>
      <c r="AU1590" s="7"/>
      <c r="AV1590" s="4" t="s">
        <v>100</v>
      </c>
      <c r="AW1590" s="8" t="s">
        <v>100</v>
      </c>
      <c r="AX1590" s="4" t="s">
        <v>100</v>
      </c>
      <c r="AY1590" s="8" t="s">
        <v>100</v>
      </c>
      <c r="AZ1590" s="7" t="s">
        <v>100</v>
      </c>
      <c r="BA1590" s="7" t="s">
        <v>100</v>
      </c>
      <c r="BB1590" s="7"/>
      <c r="BC1590" s="4" t="s">
        <v>100</v>
      </c>
      <c r="BD1590" s="8" t="s">
        <v>100</v>
      </c>
      <c r="BE1590" s="4" t="s">
        <v>100</v>
      </c>
      <c r="BF1590" s="8" t="s">
        <v>100</v>
      </c>
      <c r="BG1590" s="7" t="s">
        <v>100</v>
      </c>
      <c r="BH1590" s="7" t="s">
        <v>100</v>
      </c>
      <c r="BI1590" s="7"/>
      <c r="BJ1590" s="4"/>
      <c r="BK1590" s="8"/>
      <c r="BL1590" s="2" t="s">
        <v>100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1338</v>
      </c>
      <c r="BV1590" s="2" t="s">
        <v>97</v>
      </c>
      <c r="BW1590" s="2" t="s">
        <v>100</v>
      </c>
      <c r="BX1590" s="2" t="s">
        <v>100</v>
      </c>
      <c r="BY1590" s="2" t="s">
        <v>112</v>
      </c>
      <c r="BZ1590" s="2" t="s">
        <v>100</v>
      </c>
    </row>
    <row r="1591">
      <c r="A1591" s="2" t="s">
        <v>4912</v>
      </c>
      <c r="B1591" s="2" t="s">
        <v>87</v>
      </c>
      <c r="C1591" s="2" t="s">
        <v>4613</v>
      </c>
      <c r="D1591" s="2" t="s">
        <v>89</v>
      </c>
      <c r="E1591" s="2" t="s">
        <v>2030</v>
      </c>
      <c r="F1591" s="2" t="s">
        <v>4906</v>
      </c>
      <c r="G1591" s="2" t="s">
        <v>4907</v>
      </c>
      <c r="H1591" s="2" t="s">
        <v>4908</v>
      </c>
      <c r="I1591" s="2" t="s">
        <v>4909</v>
      </c>
      <c r="J1591" s="2" t="s">
        <v>795</v>
      </c>
      <c r="K1591" s="2" t="s">
        <v>146</v>
      </c>
      <c r="L1591" s="3">
        <v>33.33</v>
      </c>
      <c r="M1591" s="3">
        <v>35</v>
      </c>
      <c r="N1591" s="3">
        <v>69.99</v>
      </c>
      <c r="O1591" s="2" t="s">
        <v>473</v>
      </c>
      <c r="P1591" s="2" t="s">
        <v>1216</v>
      </c>
      <c r="Q1591" s="2" t="s">
        <v>99</v>
      </c>
      <c r="R1591" s="2" t="s">
        <v>100</v>
      </c>
      <c r="S1591" s="2" t="s">
        <v>4910</v>
      </c>
      <c r="T1591" s="2" t="s">
        <v>1218</v>
      </c>
      <c r="U1591" s="2" t="s">
        <v>1508</v>
      </c>
      <c r="V1591" s="2" t="s">
        <v>645</v>
      </c>
      <c r="W1591" s="2" t="s">
        <v>976</v>
      </c>
      <c r="X1591" s="2" t="s">
        <v>1240</v>
      </c>
      <c r="Y1591" s="2" t="s">
        <v>100</v>
      </c>
      <c r="Z1591" s="4"/>
      <c r="AA1591" s="4">
        <f>=ROUNDDOWN({0},0)</f>
      </c>
      <c r="AB1591" s="5"/>
      <c r="AC1591" s="2" t="s">
        <v>100</v>
      </c>
      <c r="AD1591" s="4"/>
      <c r="AE1591" s="4"/>
      <c r="AF1591" s="6">
        <v>63</v>
      </c>
      <c r="AG1591" s="6">
        <v>46</v>
      </c>
      <c r="AH1591" s="7">
        <v>0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>
        <v>0</v>
      </c>
      <c r="AP1591" s="4"/>
      <c r="AQ1591" s="8"/>
      <c r="AR1591" s="4"/>
      <c r="AS1591" s="8"/>
      <c r="AT1591" s="7"/>
      <c r="AU1591" s="7"/>
      <c r="AV1591" s="4" t="s">
        <v>100</v>
      </c>
      <c r="AW1591" s="8" t="s">
        <v>100</v>
      </c>
      <c r="AX1591" s="4" t="s">
        <v>100</v>
      </c>
      <c r="AY1591" s="8" t="s">
        <v>100</v>
      </c>
      <c r="AZ1591" s="7" t="s">
        <v>100</v>
      </c>
      <c r="BA1591" s="7" t="s">
        <v>100</v>
      </c>
      <c r="BB1591" s="7"/>
      <c r="BC1591" s="4" t="s">
        <v>100</v>
      </c>
      <c r="BD1591" s="8" t="s">
        <v>100</v>
      </c>
      <c r="BE1591" s="4" t="s">
        <v>100</v>
      </c>
      <c r="BF1591" s="8" t="s">
        <v>100</v>
      </c>
      <c r="BG1591" s="7" t="s">
        <v>100</v>
      </c>
      <c r="BH1591" s="7" t="s">
        <v>100</v>
      </c>
      <c r="BI1591" s="7"/>
      <c r="BJ1591" s="4"/>
      <c r="BK1591" s="8"/>
      <c r="BL1591" s="2" t="s">
        <v>100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1338</v>
      </c>
      <c r="BV1591" s="2" t="s">
        <v>97</v>
      </c>
      <c r="BW1591" s="2" t="s">
        <v>100</v>
      </c>
      <c r="BX1591" s="2" t="s">
        <v>100</v>
      </c>
      <c r="BY1591" s="2" t="s">
        <v>112</v>
      </c>
      <c r="BZ1591" s="2" t="s">
        <v>100</v>
      </c>
    </row>
    <row r="1592">
      <c r="A1592" s="2" t="s">
        <v>4913</v>
      </c>
      <c r="B1592" s="2" t="s">
        <v>87</v>
      </c>
      <c r="C1592" s="2" t="s">
        <v>4613</v>
      </c>
      <c r="D1592" s="2" t="s">
        <v>89</v>
      </c>
      <c r="E1592" s="2" t="s">
        <v>2030</v>
      </c>
      <c r="F1592" s="2" t="s">
        <v>4906</v>
      </c>
      <c r="G1592" s="2" t="s">
        <v>4907</v>
      </c>
      <c r="H1592" s="2" t="s">
        <v>4908</v>
      </c>
      <c r="I1592" s="2" t="s">
        <v>4909</v>
      </c>
      <c r="J1592" s="2" t="s">
        <v>673</v>
      </c>
      <c r="K1592" s="2" t="s">
        <v>4293</v>
      </c>
      <c r="L1592" s="3">
        <v>23.8</v>
      </c>
      <c r="M1592" s="3">
        <v>24.99</v>
      </c>
      <c r="N1592" s="3">
        <v>49.99</v>
      </c>
      <c r="O1592" s="2" t="s">
        <v>473</v>
      </c>
      <c r="P1592" s="2" t="s">
        <v>1216</v>
      </c>
      <c r="Q1592" s="2" t="s">
        <v>99</v>
      </c>
      <c r="R1592" s="2" t="s">
        <v>100</v>
      </c>
      <c r="S1592" s="2" t="s">
        <v>4914</v>
      </c>
      <c r="T1592" s="2" t="s">
        <v>1218</v>
      </c>
      <c r="U1592" s="2" t="s">
        <v>2150</v>
      </c>
      <c r="V1592" s="2" t="s">
        <v>645</v>
      </c>
      <c r="W1592" s="2" t="s">
        <v>976</v>
      </c>
      <c r="X1592" s="2" t="s">
        <v>1240</v>
      </c>
      <c r="Y1592" s="2" t="s">
        <v>100</v>
      </c>
      <c r="Z1592" s="4"/>
      <c r="AA1592" s="4">
        <f>=ROUNDDOWN({0},0)</f>
      </c>
      <c r="AB1592" s="5"/>
      <c r="AC1592" s="2" t="s">
        <v>100</v>
      </c>
      <c r="AD1592" s="4"/>
      <c r="AE1592" s="4"/>
      <c r="AF1592" s="6">
        <v>63</v>
      </c>
      <c r="AG1592" s="6">
        <v>46</v>
      </c>
      <c r="AH1592" s="7">
        <v>0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>
        <v>0</v>
      </c>
      <c r="AP1592" s="4"/>
      <c r="AQ1592" s="8"/>
      <c r="AR1592" s="4"/>
      <c r="AS1592" s="8"/>
      <c r="AT1592" s="7"/>
      <c r="AU1592" s="7"/>
      <c r="AV1592" s="4" t="s">
        <v>100</v>
      </c>
      <c r="AW1592" s="8" t="s">
        <v>100</v>
      </c>
      <c r="AX1592" s="4" t="s">
        <v>100</v>
      </c>
      <c r="AY1592" s="8" t="s">
        <v>100</v>
      </c>
      <c r="AZ1592" s="7" t="s">
        <v>100</v>
      </c>
      <c r="BA1592" s="7" t="s">
        <v>100</v>
      </c>
      <c r="BB1592" s="7"/>
      <c r="BC1592" s="4" t="s">
        <v>100</v>
      </c>
      <c r="BD1592" s="8" t="s">
        <v>100</v>
      </c>
      <c r="BE1592" s="4" t="s">
        <v>100</v>
      </c>
      <c r="BF1592" s="8" t="s">
        <v>100</v>
      </c>
      <c r="BG1592" s="7" t="s">
        <v>100</v>
      </c>
      <c r="BH1592" s="7" t="s">
        <v>100</v>
      </c>
      <c r="BI1592" s="7"/>
      <c r="BJ1592" s="4"/>
      <c r="BK1592" s="8"/>
      <c r="BL1592" s="2" t="s">
        <v>100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1338</v>
      </c>
      <c r="BV1592" s="2" t="s">
        <v>97</v>
      </c>
      <c r="BW1592" s="2" t="s">
        <v>100</v>
      </c>
      <c r="BX1592" s="2" t="s">
        <v>100</v>
      </c>
      <c r="BY1592" s="2" t="s">
        <v>112</v>
      </c>
      <c r="BZ1592" s="2" t="s">
        <v>100</v>
      </c>
    </row>
    <row r="1593">
      <c r="A1593" s="2" t="s">
        <v>4915</v>
      </c>
      <c r="B1593" s="2" t="s">
        <v>87</v>
      </c>
      <c r="C1593" s="2" t="s">
        <v>4613</v>
      </c>
      <c r="D1593" s="2" t="s">
        <v>89</v>
      </c>
      <c r="E1593" s="2" t="s">
        <v>2030</v>
      </c>
      <c r="F1593" s="2" t="s">
        <v>4906</v>
      </c>
      <c r="G1593" s="2" t="s">
        <v>4907</v>
      </c>
      <c r="H1593" s="2" t="s">
        <v>4908</v>
      </c>
      <c r="I1593" s="2" t="s">
        <v>4909</v>
      </c>
      <c r="J1593" s="2" t="s">
        <v>785</v>
      </c>
      <c r="K1593" s="2" t="s">
        <v>4293</v>
      </c>
      <c r="L1593" s="3">
        <v>28.57</v>
      </c>
      <c r="M1593" s="3">
        <v>30</v>
      </c>
      <c r="N1593" s="3">
        <v>59.99</v>
      </c>
      <c r="O1593" s="2" t="s">
        <v>473</v>
      </c>
      <c r="P1593" s="2" t="s">
        <v>1216</v>
      </c>
      <c r="Q1593" s="2" t="s">
        <v>99</v>
      </c>
      <c r="R1593" s="2" t="s">
        <v>100</v>
      </c>
      <c r="S1593" s="2" t="s">
        <v>4914</v>
      </c>
      <c r="T1593" s="2" t="s">
        <v>1218</v>
      </c>
      <c r="U1593" s="2" t="s">
        <v>1508</v>
      </c>
      <c r="V1593" s="2" t="s">
        <v>645</v>
      </c>
      <c r="W1593" s="2" t="s">
        <v>976</v>
      </c>
      <c r="X1593" s="2" t="s">
        <v>1240</v>
      </c>
      <c r="Y1593" s="2" t="s">
        <v>100</v>
      </c>
      <c r="Z1593" s="4"/>
      <c r="AA1593" s="4">
        <f>=ROUNDDOWN({0},0)</f>
      </c>
      <c r="AB1593" s="5"/>
      <c r="AC1593" s="2" t="s">
        <v>100</v>
      </c>
      <c r="AD1593" s="4"/>
      <c r="AE1593" s="4"/>
      <c r="AF1593" s="6">
        <v>63</v>
      </c>
      <c r="AG1593" s="6">
        <v>46</v>
      </c>
      <c r="AH1593" s="7">
        <v>0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>
        <v>0</v>
      </c>
      <c r="AP1593" s="4"/>
      <c r="AQ1593" s="8"/>
      <c r="AR1593" s="4"/>
      <c r="AS1593" s="8"/>
      <c r="AT1593" s="7"/>
      <c r="AU1593" s="7"/>
      <c r="AV1593" s="4" t="s">
        <v>100</v>
      </c>
      <c r="AW1593" s="8" t="s">
        <v>100</v>
      </c>
      <c r="AX1593" s="4" t="s">
        <v>100</v>
      </c>
      <c r="AY1593" s="8" t="s">
        <v>100</v>
      </c>
      <c r="AZ1593" s="7" t="s">
        <v>100</v>
      </c>
      <c r="BA1593" s="7" t="s">
        <v>100</v>
      </c>
      <c r="BB1593" s="7"/>
      <c r="BC1593" s="4" t="s">
        <v>100</v>
      </c>
      <c r="BD1593" s="8" t="s">
        <v>100</v>
      </c>
      <c r="BE1593" s="4" t="s">
        <v>100</v>
      </c>
      <c r="BF1593" s="8" t="s">
        <v>100</v>
      </c>
      <c r="BG1593" s="7" t="s">
        <v>100</v>
      </c>
      <c r="BH1593" s="7" t="s">
        <v>100</v>
      </c>
      <c r="BI1593" s="7"/>
      <c r="BJ1593" s="4"/>
      <c r="BK1593" s="8"/>
      <c r="BL1593" s="2" t="s">
        <v>100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1338</v>
      </c>
      <c r="BV1593" s="2" t="s">
        <v>97</v>
      </c>
      <c r="BW1593" s="2" t="s">
        <v>100</v>
      </c>
      <c r="BX1593" s="2" t="s">
        <v>100</v>
      </c>
      <c r="BY1593" s="2" t="s">
        <v>112</v>
      </c>
      <c r="BZ1593" s="2" t="s">
        <v>100</v>
      </c>
    </row>
    <row r="1594">
      <c r="A1594" s="2" t="s">
        <v>4916</v>
      </c>
      <c r="B1594" s="2" t="s">
        <v>87</v>
      </c>
      <c r="C1594" s="2" t="s">
        <v>4613</v>
      </c>
      <c r="D1594" s="2" t="s">
        <v>89</v>
      </c>
      <c r="E1594" s="2" t="s">
        <v>2030</v>
      </c>
      <c r="F1594" s="2" t="s">
        <v>4906</v>
      </c>
      <c r="G1594" s="2" t="s">
        <v>4907</v>
      </c>
      <c r="H1594" s="2" t="s">
        <v>4908</v>
      </c>
      <c r="I1594" s="2" t="s">
        <v>4909</v>
      </c>
      <c r="J1594" s="2" t="s">
        <v>795</v>
      </c>
      <c r="K1594" s="2" t="s">
        <v>4293</v>
      </c>
      <c r="L1594" s="3">
        <v>33.33</v>
      </c>
      <c r="M1594" s="3">
        <v>35</v>
      </c>
      <c r="N1594" s="3">
        <v>69.99</v>
      </c>
      <c r="O1594" s="2" t="s">
        <v>473</v>
      </c>
      <c r="P1594" s="2" t="s">
        <v>1216</v>
      </c>
      <c r="Q1594" s="2" t="s">
        <v>99</v>
      </c>
      <c r="R1594" s="2" t="s">
        <v>100</v>
      </c>
      <c r="S1594" s="2" t="s">
        <v>4914</v>
      </c>
      <c r="T1594" s="2" t="s">
        <v>1218</v>
      </c>
      <c r="U1594" s="2" t="s">
        <v>1508</v>
      </c>
      <c r="V1594" s="2" t="s">
        <v>645</v>
      </c>
      <c r="W1594" s="2" t="s">
        <v>976</v>
      </c>
      <c r="X1594" s="2" t="s">
        <v>1240</v>
      </c>
      <c r="Y1594" s="2" t="s">
        <v>100</v>
      </c>
      <c r="Z1594" s="4"/>
      <c r="AA1594" s="4">
        <f>=ROUNDDOWN({0},0)</f>
      </c>
      <c r="AB1594" s="5"/>
      <c r="AC1594" s="2" t="s">
        <v>100</v>
      </c>
      <c r="AD1594" s="4"/>
      <c r="AE1594" s="4"/>
      <c r="AF1594" s="6">
        <v>63</v>
      </c>
      <c r="AG1594" s="6">
        <v>46</v>
      </c>
      <c r="AH1594" s="7">
        <v>0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>
        <v>0</v>
      </c>
      <c r="AP1594" s="4"/>
      <c r="AQ1594" s="8"/>
      <c r="AR1594" s="4"/>
      <c r="AS1594" s="8"/>
      <c r="AT1594" s="7"/>
      <c r="AU1594" s="7"/>
      <c r="AV1594" s="4" t="s">
        <v>100</v>
      </c>
      <c r="AW1594" s="8" t="s">
        <v>100</v>
      </c>
      <c r="AX1594" s="4" t="s">
        <v>100</v>
      </c>
      <c r="AY1594" s="8" t="s">
        <v>100</v>
      </c>
      <c r="AZ1594" s="7" t="s">
        <v>100</v>
      </c>
      <c r="BA1594" s="7" t="s">
        <v>100</v>
      </c>
      <c r="BB1594" s="7"/>
      <c r="BC1594" s="4" t="s">
        <v>100</v>
      </c>
      <c r="BD1594" s="8" t="s">
        <v>100</v>
      </c>
      <c r="BE1594" s="4" t="s">
        <v>100</v>
      </c>
      <c r="BF1594" s="8" t="s">
        <v>100</v>
      </c>
      <c r="BG1594" s="7" t="s">
        <v>100</v>
      </c>
      <c r="BH1594" s="7" t="s">
        <v>100</v>
      </c>
      <c r="BI1594" s="7"/>
      <c r="BJ1594" s="4"/>
      <c r="BK1594" s="8"/>
      <c r="BL1594" s="2" t="s">
        <v>100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1338</v>
      </c>
      <c r="BV1594" s="2" t="s">
        <v>97</v>
      </c>
      <c r="BW1594" s="2" t="s">
        <v>100</v>
      </c>
      <c r="BX1594" s="2" t="s">
        <v>100</v>
      </c>
      <c r="BY1594" s="2" t="s">
        <v>112</v>
      </c>
      <c r="BZ1594" s="2" t="s">
        <v>100</v>
      </c>
    </row>
    <row r="1595">
      <c r="A1595" s="2" t="s">
        <v>4917</v>
      </c>
      <c r="B1595" s="2" t="s">
        <v>87</v>
      </c>
      <c r="C1595" s="2" t="s">
        <v>4613</v>
      </c>
      <c r="D1595" s="2" t="s">
        <v>89</v>
      </c>
      <c r="E1595" s="2" t="s">
        <v>2030</v>
      </c>
      <c r="F1595" s="2" t="s">
        <v>4906</v>
      </c>
      <c r="G1595" s="2" t="s">
        <v>4907</v>
      </c>
      <c r="H1595" s="2" t="s">
        <v>4908</v>
      </c>
      <c r="I1595" s="2" t="s">
        <v>4909</v>
      </c>
      <c r="J1595" s="2" t="s">
        <v>673</v>
      </c>
      <c r="K1595" s="2" t="s">
        <v>213</v>
      </c>
      <c r="L1595" s="3">
        <v>23.8</v>
      </c>
      <c r="M1595" s="3">
        <v>24.99</v>
      </c>
      <c r="N1595" s="3">
        <v>49.99</v>
      </c>
      <c r="O1595" s="2" t="s">
        <v>473</v>
      </c>
      <c r="P1595" s="2" t="s">
        <v>1216</v>
      </c>
      <c r="Q1595" s="2" t="s">
        <v>99</v>
      </c>
      <c r="R1595" s="2" t="s">
        <v>100</v>
      </c>
      <c r="S1595" s="2" t="s">
        <v>4918</v>
      </c>
      <c r="T1595" s="2" t="s">
        <v>1218</v>
      </c>
      <c r="U1595" s="2" t="s">
        <v>2150</v>
      </c>
      <c r="V1595" s="2" t="s">
        <v>645</v>
      </c>
      <c r="W1595" s="2" t="s">
        <v>976</v>
      </c>
      <c r="X1595" s="2" t="s">
        <v>1240</v>
      </c>
      <c r="Y1595" s="2" t="s">
        <v>100</v>
      </c>
      <c r="Z1595" s="4"/>
      <c r="AA1595" s="4">
        <f>=ROUNDDOWN({0},0)</f>
      </c>
      <c r="AB1595" s="5"/>
      <c r="AC1595" s="2" t="s">
        <v>100</v>
      </c>
      <c r="AD1595" s="4"/>
      <c r="AE1595" s="4"/>
      <c r="AF1595" s="6">
        <v>63</v>
      </c>
      <c r="AG1595" s="6">
        <v>46</v>
      </c>
      <c r="AH1595" s="7">
        <v>0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>
        <v>0</v>
      </c>
      <c r="AP1595" s="4"/>
      <c r="AQ1595" s="8"/>
      <c r="AR1595" s="4"/>
      <c r="AS1595" s="8"/>
      <c r="AT1595" s="7"/>
      <c r="AU1595" s="7"/>
      <c r="AV1595" s="4" t="s">
        <v>100</v>
      </c>
      <c r="AW1595" s="8" t="s">
        <v>100</v>
      </c>
      <c r="AX1595" s="4" t="s">
        <v>100</v>
      </c>
      <c r="AY1595" s="8" t="s">
        <v>100</v>
      </c>
      <c r="AZ1595" s="7" t="s">
        <v>100</v>
      </c>
      <c r="BA1595" s="7" t="s">
        <v>100</v>
      </c>
      <c r="BB1595" s="7"/>
      <c r="BC1595" s="4" t="s">
        <v>100</v>
      </c>
      <c r="BD1595" s="8" t="s">
        <v>100</v>
      </c>
      <c r="BE1595" s="4" t="s">
        <v>100</v>
      </c>
      <c r="BF1595" s="8" t="s">
        <v>100</v>
      </c>
      <c r="BG1595" s="7" t="s">
        <v>100</v>
      </c>
      <c r="BH1595" s="7" t="s">
        <v>100</v>
      </c>
      <c r="BI1595" s="7"/>
      <c r="BJ1595" s="4"/>
      <c r="BK1595" s="8"/>
      <c r="BL1595" s="2" t="s">
        <v>100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1338</v>
      </c>
      <c r="BV1595" s="2" t="s">
        <v>97</v>
      </c>
      <c r="BW1595" s="2" t="s">
        <v>100</v>
      </c>
      <c r="BX1595" s="2" t="s">
        <v>100</v>
      </c>
      <c r="BY1595" s="2" t="s">
        <v>112</v>
      </c>
      <c r="BZ1595" s="2" t="s">
        <v>100</v>
      </c>
    </row>
    <row r="1596">
      <c r="A1596" s="2" t="s">
        <v>4919</v>
      </c>
      <c r="B1596" s="2" t="s">
        <v>87</v>
      </c>
      <c r="C1596" s="2" t="s">
        <v>4613</v>
      </c>
      <c r="D1596" s="2" t="s">
        <v>89</v>
      </c>
      <c r="E1596" s="2" t="s">
        <v>2030</v>
      </c>
      <c r="F1596" s="2" t="s">
        <v>4906</v>
      </c>
      <c r="G1596" s="2" t="s">
        <v>4907</v>
      </c>
      <c r="H1596" s="2" t="s">
        <v>4908</v>
      </c>
      <c r="I1596" s="2" t="s">
        <v>4909</v>
      </c>
      <c r="J1596" s="2" t="s">
        <v>785</v>
      </c>
      <c r="K1596" s="2" t="s">
        <v>213</v>
      </c>
      <c r="L1596" s="3">
        <v>28.57</v>
      </c>
      <c r="M1596" s="3">
        <v>30</v>
      </c>
      <c r="N1596" s="3">
        <v>59.99</v>
      </c>
      <c r="O1596" s="2" t="s">
        <v>473</v>
      </c>
      <c r="P1596" s="2" t="s">
        <v>1216</v>
      </c>
      <c r="Q1596" s="2" t="s">
        <v>99</v>
      </c>
      <c r="R1596" s="2" t="s">
        <v>100</v>
      </c>
      <c r="S1596" s="2" t="s">
        <v>4918</v>
      </c>
      <c r="T1596" s="2" t="s">
        <v>1218</v>
      </c>
      <c r="U1596" s="2" t="s">
        <v>1508</v>
      </c>
      <c r="V1596" s="2" t="s">
        <v>645</v>
      </c>
      <c r="W1596" s="2" t="s">
        <v>976</v>
      </c>
      <c r="X1596" s="2" t="s">
        <v>1240</v>
      </c>
      <c r="Y1596" s="2" t="s">
        <v>100</v>
      </c>
      <c r="Z1596" s="4"/>
      <c r="AA1596" s="4">
        <f>=ROUNDDOWN({0},0)</f>
      </c>
      <c r="AB1596" s="5"/>
      <c r="AC1596" s="2" t="s">
        <v>100</v>
      </c>
      <c r="AD1596" s="4"/>
      <c r="AE1596" s="4"/>
      <c r="AF1596" s="6">
        <v>63</v>
      </c>
      <c r="AG1596" s="6">
        <v>46</v>
      </c>
      <c r="AH1596" s="7">
        <v>0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>
        <v>0</v>
      </c>
      <c r="AP1596" s="4"/>
      <c r="AQ1596" s="8"/>
      <c r="AR1596" s="4"/>
      <c r="AS1596" s="8"/>
      <c r="AT1596" s="7"/>
      <c r="AU1596" s="7"/>
      <c r="AV1596" s="4" t="s">
        <v>100</v>
      </c>
      <c r="AW1596" s="8" t="s">
        <v>100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/>
      <c r="BC1596" s="4" t="s">
        <v>100</v>
      </c>
      <c r="BD1596" s="8" t="s">
        <v>100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/>
      <c r="BJ1596" s="4"/>
      <c r="BK1596" s="8"/>
      <c r="BL1596" s="2" t="s">
        <v>100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1338</v>
      </c>
      <c r="BV1596" s="2" t="s">
        <v>97</v>
      </c>
      <c r="BW1596" s="2" t="s">
        <v>100</v>
      </c>
      <c r="BX1596" s="2" t="s">
        <v>100</v>
      </c>
      <c r="BY1596" s="2" t="s">
        <v>112</v>
      </c>
      <c r="BZ1596" s="2" t="s">
        <v>100</v>
      </c>
    </row>
    <row r="1597">
      <c r="A1597" s="2" t="s">
        <v>4920</v>
      </c>
      <c r="B1597" s="2" t="s">
        <v>87</v>
      </c>
      <c r="C1597" s="2" t="s">
        <v>4613</v>
      </c>
      <c r="D1597" s="2" t="s">
        <v>89</v>
      </c>
      <c r="E1597" s="2" t="s">
        <v>2030</v>
      </c>
      <c r="F1597" s="2" t="s">
        <v>4906</v>
      </c>
      <c r="G1597" s="2" t="s">
        <v>4907</v>
      </c>
      <c r="H1597" s="2" t="s">
        <v>4908</v>
      </c>
      <c r="I1597" s="2" t="s">
        <v>4909</v>
      </c>
      <c r="J1597" s="2" t="s">
        <v>795</v>
      </c>
      <c r="K1597" s="2" t="s">
        <v>213</v>
      </c>
      <c r="L1597" s="3">
        <v>33.33</v>
      </c>
      <c r="M1597" s="3">
        <v>35</v>
      </c>
      <c r="N1597" s="3">
        <v>69.99</v>
      </c>
      <c r="O1597" s="2" t="s">
        <v>473</v>
      </c>
      <c r="P1597" s="2" t="s">
        <v>1216</v>
      </c>
      <c r="Q1597" s="2" t="s">
        <v>99</v>
      </c>
      <c r="R1597" s="2" t="s">
        <v>100</v>
      </c>
      <c r="S1597" s="2" t="s">
        <v>4918</v>
      </c>
      <c r="T1597" s="2" t="s">
        <v>1218</v>
      </c>
      <c r="U1597" s="2" t="s">
        <v>1508</v>
      </c>
      <c r="V1597" s="2" t="s">
        <v>645</v>
      </c>
      <c r="W1597" s="2" t="s">
        <v>976</v>
      </c>
      <c r="X1597" s="2" t="s">
        <v>1240</v>
      </c>
      <c r="Y1597" s="2" t="s">
        <v>100</v>
      </c>
      <c r="Z1597" s="4"/>
      <c r="AA1597" s="4">
        <f>=ROUNDDOWN({0},0)</f>
      </c>
      <c r="AB1597" s="5"/>
      <c r="AC1597" s="2" t="s">
        <v>100</v>
      </c>
      <c r="AD1597" s="4"/>
      <c r="AE1597" s="4"/>
      <c r="AF1597" s="6">
        <v>63</v>
      </c>
      <c r="AG1597" s="6">
        <v>46</v>
      </c>
      <c r="AH1597" s="7">
        <v>0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>
        <v>0</v>
      </c>
      <c r="AP1597" s="4"/>
      <c r="AQ1597" s="8"/>
      <c r="AR1597" s="4"/>
      <c r="AS1597" s="8"/>
      <c r="AT1597" s="7"/>
      <c r="AU1597" s="7"/>
      <c r="AV1597" s="4" t="s">
        <v>100</v>
      </c>
      <c r="AW1597" s="8" t="s">
        <v>100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/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/>
      <c r="BJ1597" s="4"/>
      <c r="BK1597" s="8"/>
      <c r="BL1597" s="2" t="s">
        <v>100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1338</v>
      </c>
      <c r="BV1597" s="2" t="s">
        <v>97</v>
      </c>
      <c r="BW1597" s="2" t="s">
        <v>100</v>
      </c>
      <c r="BX1597" s="2" t="s">
        <v>100</v>
      </c>
      <c r="BY1597" s="2" t="s">
        <v>112</v>
      </c>
      <c r="BZ1597" s="2" t="s">
        <v>100</v>
      </c>
    </row>
    <row r="1598">
      <c r="A1598" s="2" t="s">
        <v>4921</v>
      </c>
      <c r="B1598" s="2" t="s">
        <v>87</v>
      </c>
      <c r="C1598" s="2" t="s">
        <v>4613</v>
      </c>
      <c r="D1598" s="2" t="s">
        <v>89</v>
      </c>
      <c r="E1598" s="2" t="s">
        <v>2030</v>
      </c>
      <c r="F1598" s="2" t="s">
        <v>1696</v>
      </c>
      <c r="G1598" s="2" t="s">
        <v>4922</v>
      </c>
      <c r="H1598" s="2" t="s">
        <v>4923</v>
      </c>
      <c r="I1598" s="2" t="s">
        <v>4924</v>
      </c>
      <c r="J1598" s="2" t="s">
        <v>673</v>
      </c>
      <c r="K1598" s="2" t="s">
        <v>4925</v>
      </c>
      <c r="L1598" s="3">
        <v>19.04</v>
      </c>
      <c r="M1598" s="3">
        <v>19.99</v>
      </c>
      <c r="N1598" s="3">
        <v>39.99</v>
      </c>
      <c r="O1598" s="2" t="s">
        <v>97</v>
      </c>
      <c r="P1598" s="2" t="s">
        <v>1216</v>
      </c>
      <c r="Q1598" s="2" t="s">
        <v>99</v>
      </c>
      <c r="R1598" s="2" t="s">
        <v>100</v>
      </c>
      <c r="S1598" s="2" t="s">
        <v>4926</v>
      </c>
      <c r="T1598" s="2" t="s">
        <v>787</v>
      </c>
      <c r="U1598" s="2" t="s">
        <v>2150</v>
      </c>
      <c r="V1598" s="2" t="s">
        <v>805</v>
      </c>
      <c r="W1598" s="2" t="s">
        <v>105</v>
      </c>
      <c r="X1598" s="2" t="s">
        <v>976</v>
      </c>
      <c r="Y1598" s="2" t="s">
        <v>808</v>
      </c>
      <c r="Z1598" s="4">
        <v>285</v>
      </c>
      <c r="AA1598" s="4">
        <f>=ROUNDDOWN(28.5,0)</f>
      </c>
      <c r="AB1598" s="5">
        <v>10</v>
      </c>
      <c r="AC1598" s="2" t="s">
        <v>100</v>
      </c>
      <c r="AD1598" s="4"/>
      <c r="AE1598" s="4"/>
      <c r="AF1598" s="6">
        <v>63</v>
      </c>
      <c r="AG1598" s="6">
        <v>46</v>
      </c>
      <c r="AH1598" s="7">
        <v>1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>
        <v>0</v>
      </c>
      <c r="AP1598" s="4"/>
      <c r="AQ1598" s="8"/>
      <c r="AR1598" s="4"/>
      <c r="AS1598" s="8"/>
      <c r="AT1598" s="7"/>
      <c r="AU1598" s="7"/>
      <c r="AV1598" s="4" t="s">
        <v>100</v>
      </c>
      <c r="AW1598" s="8" t="s">
        <v>100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/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/>
      <c r="BJ1598" s="4">
        <v>20</v>
      </c>
      <c r="BK1598" s="8">
        <v>358.95</v>
      </c>
      <c r="BL1598" s="2" t="s">
        <v>540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109</v>
      </c>
      <c r="BV1598" s="2" t="s">
        <v>97</v>
      </c>
      <c r="BW1598" s="2" t="s">
        <v>4714</v>
      </c>
      <c r="BX1598" s="2" t="s">
        <v>4881</v>
      </c>
      <c r="BY1598" s="2" t="s">
        <v>112</v>
      </c>
      <c r="BZ1598" s="2" t="s">
        <v>100</v>
      </c>
    </row>
    <row r="1599">
      <c r="A1599" s="2" t="s">
        <v>4927</v>
      </c>
      <c r="B1599" s="2" t="s">
        <v>87</v>
      </c>
      <c r="C1599" s="2" t="s">
        <v>4613</v>
      </c>
      <c r="D1599" s="2" t="s">
        <v>89</v>
      </c>
      <c r="E1599" s="2" t="s">
        <v>2030</v>
      </c>
      <c r="F1599" s="2" t="s">
        <v>1696</v>
      </c>
      <c r="G1599" s="2" t="s">
        <v>4922</v>
      </c>
      <c r="H1599" s="2" t="s">
        <v>4923</v>
      </c>
      <c r="I1599" s="2" t="s">
        <v>4924</v>
      </c>
      <c r="J1599" s="2" t="s">
        <v>785</v>
      </c>
      <c r="K1599" s="2" t="s">
        <v>4925</v>
      </c>
      <c r="L1599" s="3">
        <v>23.8</v>
      </c>
      <c r="M1599" s="3">
        <v>24.99</v>
      </c>
      <c r="N1599" s="3">
        <v>49.99</v>
      </c>
      <c r="O1599" s="2" t="s">
        <v>97</v>
      </c>
      <c r="P1599" s="2" t="s">
        <v>1216</v>
      </c>
      <c r="Q1599" s="2" t="s">
        <v>99</v>
      </c>
      <c r="R1599" s="2" t="s">
        <v>100</v>
      </c>
      <c r="S1599" s="2" t="s">
        <v>4926</v>
      </c>
      <c r="T1599" s="2" t="s">
        <v>787</v>
      </c>
      <c r="U1599" s="2" t="s">
        <v>1508</v>
      </c>
      <c r="V1599" s="2" t="s">
        <v>805</v>
      </c>
      <c r="W1599" s="2" t="s">
        <v>105</v>
      </c>
      <c r="X1599" s="2" t="s">
        <v>976</v>
      </c>
      <c r="Y1599" s="2" t="s">
        <v>808</v>
      </c>
      <c r="Z1599" s="4">
        <v>862</v>
      </c>
      <c r="AA1599" s="4">
        <f>=ROUNDDOWN(57.4666666666667,0)</f>
      </c>
      <c r="AB1599" s="5">
        <v>15</v>
      </c>
      <c r="AC1599" s="2" t="s">
        <v>100</v>
      </c>
      <c r="AD1599" s="4"/>
      <c r="AE1599" s="4"/>
      <c r="AF1599" s="6">
        <v>63</v>
      </c>
      <c r="AG1599" s="6">
        <v>46</v>
      </c>
      <c r="AH1599" s="7">
        <v>1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>
        <v>0</v>
      </c>
      <c r="AP1599" s="4"/>
      <c r="AQ1599" s="8"/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/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/>
      <c r="BJ1599" s="4">
        <v>27</v>
      </c>
      <c r="BK1599" s="8">
        <v>592.36</v>
      </c>
      <c r="BL1599" s="2" t="s">
        <v>4928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109</v>
      </c>
      <c r="BV1599" s="2" t="s">
        <v>97</v>
      </c>
      <c r="BW1599" s="2" t="s">
        <v>4714</v>
      </c>
      <c r="BX1599" s="2" t="s">
        <v>100</v>
      </c>
      <c r="BY1599" s="2" t="s">
        <v>112</v>
      </c>
      <c r="BZ1599" s="2" t="s">
        <v>100</v>
      </c>
    </row>
    <row r="1600">
      <c r="A1600" s="2" t="s">
        <v>4929</v>
      </c>
      <c r="B1600" s="2" t="s">
        <v>87</v>
      </c>
      <c r="C1600" s="2" t="s">
        <v>4613</v>
      </c>
      <c r="D1600" s="2" t="s">
        <v>89</v>
      </c>
      <c r="E1600" s="2" t="s">
        <v>2030</v>
      </c>
      <c r="F1600" s="2" t="s">
        <v>1696</v>
      </c>
      <c r="G1600" s="2" t="s">
        <v>4922</v>
      </c>
      <c r="H1600" s="2" t="s">
        <v>4923</v>
      </c>
      <c r="I1600" s="2" t="s">
        <v>4924</v>
      </c>
      <c r="J1600" s="2" t="s">
        <v>795</v>
      </c>
      <c r="K1600" s="2" t="s">
        <v>4925</v>
      </c>
      <c r="L1600" s="3">
        <v>26.19</v>
      </c>
      <c r="M1600" s="3">
        <v>27.5</v>
      </c>
      <c r="N1600" s="3">
        <v>54.99</v>
      </c>
      <c r="O1600" s="2" t="s">
        <v>97</v>
      </c>
      <c r="P1600" s="2" t="s">
        <v>1216</v>
      </c>
      <c r="Q1600" s="2" t="s">
        <v>99</v>
      </c>
      <c r="R1600" s="2" t="s">
        <v>100</v>
      </c>
      <c r="S1600" s="2" t="s">
        <v>4926</v>
      </c>
      <c r="T1600" s="2" t="s">
        <v>787</v>
      </c>
      <c r="U1600" s="2" t="s">
        <v>1508</v>
      </c>
      <c r="V1600" s="2" t="s">
        <v>805</v>
      </c>
      <c r="W1600" s="2" t="s">
        <v>105</v>
      </c>
      <c r="X1600" s="2" t="s">
        <v>976</v>
      </c>
      <c r="Y1600" s="2" t="s">
        <v>4930</v>
      </c>
      <c r="Z1600" s="4">
        <v>390</v>
      </c>
      <c r="AA1600" s="4">
        <f>=ROUNDDOWN(65,0)</f>
      </c>
      <c r="AB1600" s="5">
        <v>6</v>
      </c>
      <c r="AC1600" s="2" t="s">
        <v>100</v>
      </c>
      <c r="AD1600" s="4"/>
      <c r="AE1600" s="4"/>
      <c r="AF1600" s="6">
        <v>63</v>
      </c>
      <c r="AG1600" s="6">
        <v>46</v>
      </c>
      <c r="AH1600" s="7">
        <v>1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>
        <v>0</v>
      </c>
      <c r="AP1600" s="4"/>
      <c r="AQ1600" s="8"/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/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/>
      <c r="BJ1600" s="4">
        <v>6</v>
      </c>
      <c r="BK1600" s="8">
        <v>154.94</v>
      </c>
      <c r="BL1600" s="2" t="s">
        <v>2799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109</v>
      </c>
      <c r="BV1600" s="2" t="s">
        <v>97</v>
      </c>
      <c r="BW1600" s="2" t="s">
        <v>4714</v>
      </c>
      <c r="BX1600" s="2" t="s">
        <v>100</v>
      </c>
      <c r="BY1600" s="2" t="s">
        <v>112</v>
      </c>
      <c r="BZ1600" s="2" t="s">
        <v>100</v>
      </c>
    </row>
    <row r="1601">
      <c r="A1601" s="2" t="s">
        <v>4931</v>
      </c>
      <c r="B1601" s="2" t="s">
        <v>87</v>
      </c>
      <c r="C1601" s="2" t="s">
        <v>4613</v>
      </c>
      <c r="D1601" s="2" t="s">
        <v>89</v>
      </c>
      <c r="E1601" s="2" t="s">
        <v>2030</v>
      </c>
      <c r="F1601" s="2" t="s">
        <v>1696</v>
      </c>
      <c r="G1601" s="2" t="s">
        <v>4922</v>
      </c>
      <c r="H1601" s="2" t="s">
        <v>4923</v>
      </c>
      <c r="I1601" s="2" t="s">
        <v>4924</v>
      </c>
      <c r="J1601" s="2" t="s">
        <v>673</v>
      </c>
      <c r="K1601" s="2" t="s">
        <v>4883</v>
      </c>
      <c r="L1601" s="3">
        <v>19.04</v>
      </c>
      <c r="M1601" s="3">
        <v>19.99</v>
      </c>
      <c r="N1601" s="3">
        <v>39.99</v>
      </c>
      <c r="O1601" s="2" t="s">
        <v>97</v>
      </c>
      <c r="P1601" s="2" t="s">
        <v>1216</v>
      </c>
      <c r="Q1601" s="2" t="s">
        <v>99</v>
      </c>
      <c r="R1601" s="2" t="s">
        <v>100</v>
      </c>
      <c r="S1601" s="2" t="s">
        <v>4932</v>
      </c>
      <c r="T1601" s="2" t="s">
        <v>787</v>
      </c>
      <c r="U1601" s="2" t="s">
        <v>2150</v>
      </c>
      <c r="V1601" s="2" t="s">
        <v>805</v>
      </c>
      <c r="W1601" s="2" t="s">
        <v>105</v>
      </c>
      <c r="X1601" s="2" t="s">
        <v>976</v>
      </c>
      <c r="Y1601" s="2" t="s">
        <v>808</v>
      </c>
      <c r="Z1601" s="4">
        <v>223</v>
      </c>
      <c r="AA1601" s="4">
        <f>=ROUNDDOWN(10.1363636363636,0)</f>
      </c>
      <c r="AB1601" s="5">
        <v>22</v>
      </c>
      <c r="AC1601" s="2" t="s">
        <v>1962</v>
      </c>
      <c r="AD1601" s="4">
        <v>150</v>
      </c>
      <c r="AE1601" s="4">
        <v>630</v>
      </c>
      <c r="AF1601" s="6">
        <v>63</v>
      </c>
      <c r="AG1601" s="6">
        <v>46</v>
      </c>
      <c r="AH1601" s="7">
        <v>1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100</v>
      </c>
      <c r="AW1601" s="8" t="s">
        <v>100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/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/>
      <c r="BJ1601" s="4">
        <v>25</v>
      </c>
      <c r="BK1601" s="8">
        <v>473.35</v>
      </c>
      <c r="BL1601" s="2" t="s">
        <v>4933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109</v>
      </c>
      <c r="BV1601" s="2" t="s">
        <v>97</v>
      </c>
      <c r="BW1601" s="2" t="s">
        <v>4714</v>
      </c>
      <c r="BX1601" s="2" t="s">
        <v>100</v>
      </c>
      <c r="BY1601" s="2" t="s">
        <v>112</v>
      </c>
      <c r="BZ1601" s="2" t="s">
        <v>100</v>
      </c>
    </row>
    <row r="1602">
      <c r="A1602" s="2" t="s">
        <v>4934</v>
      </c>
      <c r="B1602" s="2" t="s">
        <v>87</v>
      </c>
      <c r="C1602" s="2" t="s">
        <v>4613</v>
      </c>
      <c r="D1602" s="2" t="s">
        <v>89</v>
      </c>
      <c r="E1602" s="2" t="s">
        <v>2030</v>
      </c>
      <c r="F1602" s="2" t="s">
        <v>1696</v>
      </c>
      <c r="G1602" s="2" t="s">
        <v>4922</v>
      </c>
      <c r="H1602" s="2" t="s">
        <v>4923</v>
      </c>
      <c r="I1602" s="2" t="s">
        <v>4924</v>
      </c>
      <c r="J1602" s="2" t="s">
        <v>785</v>
      </c>
      <c r="K1602" s="2" t="s">
        <v>4883</v>
      </c>
      <c r="L1602" s="3">
        <v>23.8</v>
      </c>
      <c r="M1602" s="3">
        <v>24.99</v>
      </c>
      <c r="N1602" s="3">
        <v>49.99</v>
      </c>
      <c r="O1602" s="2" t="s">
        <v>97</v>
      </c>
      <c r="P1602" s="2" t="s">
        <v>1216</v>
      </c>
      <c r="Q1602" s="2" t="s">
        <v>99</v>
      </c>
      <c r="R1602" s="2" t="s">
        <v>100</v>
      </c>
      <c r="S1602" s="2" t="s">
        <v>4932</v>
      </c>
      <c r="T1602" s="2" t="s">
        <v>787</v>
      </c>
      <c r="U1602" s="2" t="s">
        <v>1508</v>
      </c>
      <c r="V1602" s="2" t="s">
        <v>805</v>
      </c>
      <c r="W1602" s="2" t="s">
        <v>105</v>
      </c>
      <c r="X1602" s="2" t="s">
        <v>976</v>
      </c>
      <c r="Y1602" s="2" t="s">
        <v>808</v>
      </c>
      <c r="Z1602" s="4">
        <v>547</v>
      </c>
      <c r="AA1602" s="4">
        <f>=ROUNDDOWN(24.8636363636364,0)</f>
      </c>
      <c r="AB1602" s="5">
        <v>22</v>
      </c>
      <c r="AC1602" s="2" t="s">
        <v>1962</v>
      </c>
      <c r="AD1602" s="4">
        <v>807</v>
      </c>
      <c r="AE1602" s="4">
        <v>807</v>
      </c>
      <c r="AF1602" s="6">
        <v>63</v>
      </c>
      <c r="AG1602" s="6">
        <v>46</v>
      </c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>
        <v>0</v>
      </c>
      <c r="AP1602" s="4"/>
      <c r="AQ1602" s="8"/>
      <c r="AR1602" s="4"/>
      <c r="AS1602" s="8"/>
      <c r="AT1602" s="7"/>
      <c r="AU1602" s="7"/>
      <c r="AV1602" s="4" t="s">
        <v>100</v>
      </c>
      <c r="AW1602" s="8" t="s">
        <v>100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/>
      <c r="BC1602" s="4" t="s">
        <v>100</v>
      </c>
      <c r="BD1602" s="8" t="s">
        <v>100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/>
      <c r="BJ1602" s="4">
        <v>27</v>
      </c>
      <c r="BK1602" s="8">
        <v>595.31</v>
      </c>
      <c r="BL1602" s="2" t="s">
        <v>4935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109</v>
      </c>
      <c r="BV1602" s="2" t="s">
        <v>97</v>
      </c>
      <c r="BW1602" s="2" t="s">
        <v>4714</v>
      </c>
      <c r="BX1602" s="2" t="s">
        <v>1219</v>
      </c>
      <c r="BY1602" s="2" t="s">
        <v>112</v>
      </c>
      <c r="BZ1602" s="2" t="s">
        <v>100</v>
      </c>
    </row>
    <row r="1603">
      <c r="A1603" s="2" t="s">
        <v>4936</v>
      </c>
      <c r="B1603" s="2" t="s">
        <v>87</v>
      </c>
      <c r="C1603" s="2" t="s">
        <v>4613</v>
      </c>
      <c r="D1603" s="2" t="s">
        <v>89</v>
      </c>
      <c r="E1603" s="2" t="s">
        <v>2030</v>
      </c>
      <c r="F1603" s="2" t="s">
        <v>1696</v>
      </c>
      <c r="G1603" s="2" t="s">
        <v>4922</v>
      </c>
      <c r="H1603" s="2" t="s">
        <v>4923</v>
      </c>
      <c r="I1603" s="2" t="s">
        <v>4924</v>
      </c>
      <c r="J1603" s="2" t="s">
        <v>795</v>
      </c>
      <c r="K1603" s="2" t="s">
        <v>4883</v>
      </c>
      <c r="L1603" s="3">
        <v>26.19</v>
      </c>
      <c r="M1603" s="3">
        <v>27.5</v>
      </c>
      <c r="N1603" s="3">
        <v>54.99</v>
      </c>
      <c r="O1603" s="2" t="s">
        <v>97</v>
      </c>
      <c r="P1603" s="2" t="s">
        <v>1216</v>
      </c>
      <c r="Q1603" s="2" t="s">
        <v>99</v>
      </c>
      <c r="R1603" s="2" t="s">
        <v>100</v>
      </c>
      <c r="S1603" s="2" t="s">
        <v>4932</v>
      </c>
      <c r="T1603" s="2" t="s">
        <v>787</v>
      </c>
      <c r="U1603" s="2" t="s">
        <v>1508</v>
      </c>
      <c r="V1603" s="2" t="s">
        <v>805</v>
      </c>
      <c r="W1603" s="2" t="s">
        <v>105</v>
      </c>
      <c r="X1603" s="2" t="s">
        <v>976</v>
      </c>
      <c r="Y1603" s="2" t="s">
        <v>4930</v>
      </c>
      <c r="Z1603" s="4">
        <v>418</v>
      </c>
      <c r="AA1603" s="4">
        <f>=ROUNDDOWN(38,0)</f>
      </c>
      <c r="AB1603" s="5">
        <v>11</v>
      </c>
      <c r="AC1603" s="2" t="s">
        <v>1962</v>
      </c>
      <c r="AD1603" s="4">
        <v>60</v>
      </c>
      <c r="AE1603" s="4">
        <v>210</v>
      </c>
      <c r="AF1603" s="6">
        <v>63</v>
      </c>
      <c r="AG1603" s="6">
        <v>46</v>
      </c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>
        <v>0</v>
      </c>
      <c r="AP1603" s="4"/>
      <c r="AQ1603" s="8"/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/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/>
      <c r="BJ1603" s="4">
        <v>10</v>
      </c>
      <c r="BK1603" s="8">
        <v>257.92</v>
      </c>
      <c r="BL1603" s="2" t="s">
        <v>4937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109</v>
      </c>
      <c r="BV1603" s="2" t="s">
        <v>97</v>
      </c>
      <c r="BW1603" s="2" t="s">
        <v>4714</v>
      </c>
      <c r="BX1603" s="2" t="s">
        <v>4412</v>
      </c>
      <c r="BY1603" s="2" t="s">
        <v>112</v>
      </c>
      <c r="BZ1603" s="2" t="s">
        <v>100</v>
      </c>
    </row>
    <row r="1604">
      <c r="A1604" s="2" t="s">
        <v>4938</v>
      </c>
      <c r="B1604" s="2" t="s">
        <v>87</v>
      </c>
      <c r="C1604" s="2" t="s">
        <v>4613</v>
      </c>
      <c r="D1604" s="2" t="s">
        <v>89</v>
      </c>
      <c r="E1604" s="2" t="s">
        <v>2030</v>
      </c>
      <c r="F1604" s="2" t="s">
        <v>4939</v>
      </c>
      <c r="G1604" s="2" t="s">
        <v>4940</v>
      </c>
      <c r="H1604" s="2" t="s">
        <v>4941</v>
      </c>
      <c r="I1604" s="2" t="s">
        <v>4942</v>
      </c>
      <c r="J1604" s="2" t="s">
        <v>673</v>
      </c>
      <c r="K1604" s="2" t="s">
        <v>253</v>
      </c>
      <c r="L1604" s="3">
        <v>19.04</v>
      </c>
      <c r="M1604" s="3">
        <v>19.99</v>
      </c>
      <c r="N1604" s="3">
        <v>39.99</v>
      </c>
      <c r="O1604" s="2" t="s">
        <v>473</v>
      </c>
      <c r="P1604" s="2" t="s">
        <v>447</v>
      </c>
      <c r="Q1604" s="2" t="s">
        <v>99</v>
      </c>
      <c r="R1604" s="2" t="s">
        <v>100</v>
      </c>
      <c r="S1604" s="2" t="s">
        <v>4943</v>
      </c>
      <c r="T1604" s="2" t="s">
        <v>787</v>
      </c>
      <c r="U1604" s="2" t="s">
        <v>2150</v>
      </c>
      <c r="V1604" s="2" t="s">
        <v>1112</v>
      </c>
      <c r="W1604" s="2" t="s">
        <v>976</v>
      </c>
      <c r="X1604" s="2" t="s">
        <v>105</v>
      </c>
      <c r="Y1604" s="2" t="s">
        <v>4672</v>
      </c>
      <c r="Z1604" s="4">
        <v>502</v>
      </c>
      <c r="AA1604" s="4">
        <f>=ROUNDDOWN(29.0173410404624,0)</f>
      </c>
      <c r="AB1604" s="5">
        <v>17.3</v>
      </c>
      <c r="AC1604" s="2" t="s">
        <v>4944</v>
      </c>
      <c r="AD1604" s="4">
        <v>93</v>
      </c>
      <c r="AE1604" s="4">
        <v>93</v>
      </c>
      <c r="AF1604" s="6">
        <v>63</v>
      </c>
      <c r="AG1604" s="6">
        <v>46</v>
      </c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>
        <v>0</v>
      </c>
      <c r="AP1604" s="4"/>
      <c r="AQ1604" s="8"/>
      <c r="AR1604" s="4"/>
      <c r="AS1604" s="8"/>
      <c r="AT1604" s="7"/>
      <c r="AU1604" s="7"/>
      <c r="AV1604" s="4" t="s">
        <v>100</v>
      </c>
      <c r="AW1604" s="8" t="s">
        <v>100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/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/>
      <c r="BJ1604" s="4">
        <v>10</v>
      </c>
      <c r="BK1604" s="8">
        <v>178.46</v>
      </c>
      <c r="BL1604" s="2" t="s">
        <v>153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109</v>
      </c>
      <c r="BV1604" s="2" t="s">
        <v>97</v>
      </c>
      <c r="BW1604" s="2" t="s">
        <v>819</v>
      </c>
      <c r="BX1604" s="2" t="s">
        <v>1574</v>
      </c>
      <c r="BY1604" s="2" t="s">
        <v>112</v>
      </c>
      <c r="BZ1604" s="2" t="s">
        <v>100</v>
      </c>
    </row>
    <row r="1605">
      <c r="A1605" s="2" t="s">
        <v>4945</v>
      </c>
      <c r="B1605" s="2" t="s">
        <v>87</v>
      </c>
      <c r="C1605" s="2" t="s">
        <v>4613</v>
      </c>
      <c r="D1605" s="2" t="s">
        <v>89</v>
      </c>
      <c r="E1605" s="2" t="s">
        <v>2030</v>
      </c>
      <c r="F1605" s="2" t="s">
        <v>4939</v>
      </c>
      <c r="G1605" s="2" t="s">
        <v>4940</v>
      </c>
      <c r="H1605" s="2" t="s">
        <v>4941</v>
      </c>
      <c r="I1605" s="2" t="s">
        <v>4942</v>
      </c>
      <c r="J1605" s="2" t="s">
        <v>785</v>
      </c>
      <c r="K1605" s="2" t="s">
        <v>253</v>
      </c>
      <c r="L1605" s="3">
        <v>21.42</v>
      </c>
      <c r="M1605" s="3">
        <v>22.49</v>
      </c>
      <c r="N1605" s="3">
        <v>44.99</v>
      </c>
      <c r="O1605" s="2" t="s">
        <v>473</v>
      </c>
      <c r="P1605" s="2" t="s">
        <v>447</v>
      </c>
      <c r="Q1605" s="2" t="s">
        <v>99</v>
      </c>
      <c r="R1605" s="2" t="s">
        <v>100</v>
      </c>
      <c r="S1605" s="2" t="s">
        <v>4943</v>
      </c>
      <c r="T1605" s="2" t="s">
        <v>787</v>
      </c>
      <c r="U1605" s="2" t="s">
        <v>1508</v>
      </c>
      <c r="V1605" s="2" t="s">
        <v>1112</v>
      </c>
      <c r="W1605" s="2" t="s">
        <v>976</v>
      </c>
      <c r="X1605" s="2" t="s">
        <v>105</v>
      </c>
      <c r="Y1605" s="2" t="s">
        <v>4672</v>
      </c>
      <c r="Z1605" s="4">
        <v>670</v>
      </c>
      <c r="AA1605" s="4">
        <f>=ROUNDDOWN(48.5507246376812,0)</f>
      </c>
      <c r="AB1605" s="5">
        <v>13.8</v>
      </c>
      <c r="AC1605" s="2" t="s">
        <v>100</v>
      </c>
      <c r="AD1605" s="4"/>
      <c r="AE1605" s="4"/>
      <c r="AF1605" s="6">
        <v>63</v>
      </c>
      <c r="AG1605" s="6">
        <v>46</v>
      </c>
      <c r="AH1605" s="7">
        <v>1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>
        <v>0</v>
      </c>
      <c r="AP1605" s="4"/>
      <c r="AQ1605" s="8"/>
      <c r="AR1605" s="4"/>
      <c r="AS1605" s="8"/>
      <c r="AT1605" s="7"/>
      <c r="AU1605" s="7"/>
      <c r="AV1605" s="4" t="s">
        <v>100</v>
      </c>
      <c r="AW1605" s="8" t="s">
        <v>100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/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/>
      <c r="BJ1605" s="4">
        <v>12</v>
      </c>
      <c r="BK1605" s="8">
        <v>251.64</v>
      </c>
      <c r="BL1605" s="2" t="s">
        <v>1087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109</v>
      </c>
      <c r="BV1605" s="2" t="s">
        <v>97</v>
      </c>
      <c r="BW1605" s="2" t="s">
        <v>819</v>
      </c>
      <c r="BX1605" s="2" t="s">
        <v>4754</v>
      </c>
      <c r="BY1605" s="2" t="s">
        <v>112</v>
      </c>
      <c r="BZ1605" s="2" t="s">
        <v>100</v>
      </c>
    </row>
    <row r="1606">
      <c r="A1606" s="2" t="s">
        <v>4946</v>
      </c>
      <c r="B1606" s="2" t="s">
        <v>87</v>
      </c>
      <c r="C1606" s="2" t="s">
        <v>4613</v>
      </c>
      <c r="D1606" s="2" t="s">
        <v>89</v>
      </c>
      <c r="E1606" s="2" t="s">
        <v>2030</v>
      </c>
      <c r="F1606" s="2" t="s">
        <v>4939</v>
      </c>
      <c r="G1606" s="2" t="s">
        <v>4940</v>
      </c>
      <c r="H1606" s="2" t="s">
        <v>4941</v>
      </c>
      <c r="I1606" s="2" t="s">
        <v>4942</v>
      </c>
      <c r="J1606" s="2" t="s">
        <v>795</v>
      </c>
      <c r="K1606" s="2" t="s">
        <v>253</v>
      </c>
      <c r="L1606" s="3">
        <v>26.19</v>
      </c>
      <c r="M1606" s="3">
        <v>27.5</v>
      </c>
      <c r="N1606" s="3">
        <v>54.99</v>
      </c>
      <c r="O1606" s="2" t="s">
        <v>473</v>
      </c>
      <c r="P1606" s="2" t="s">
        <v>447</v>
      </c>
      <c r="Q1606" s="2" t="s">
        <v>99</v>
      </c>
      <c r="R1606" s="2" t="s">
        <v>100</v>
      </c>
      <c r="S1606" s="2" t="s">
        <v>4943</v>
      </c>
      <c r="T1606" s="2" t="s">
        <v>787</v>
      </c>
      <c r="U1606" s="2" t="s">
        <v>1508</v>
      </c>
      <c r="V1606" s="2" t="s">
        <v>1112</v>
      </c>
      <c r="W1606" s="2" t="s">
        <v>976</v>
      </c>
      <c r="X1606" s="2" t="s">
        <v>105</v>
      </c>
      <c r="Y1606" s="2" t="s">
        <v>2129</v>
      </c>
      <c r="Z1606" s="4">
        <v>693</v>
      </c>
      <c r="AA1606" s="4">
        <f>=ROUNDDOWN(99,0)</f>
      </c>
      <c r="AB1606" s="5">
        <v>7</v>
      </c>
      <c r="AC1606" s="2" t="s">
        <v>100</v>
      </c>
      <c r="AD1606" s="4"/>
      <c r="AE1606" s="4"/>
      <c r="AF1606" s="6">
        <v>63</v>
      </c>
      <c r="AG1606" s="6">
        <v>46</v>
      </c>
      <c r="AH1606" s="7">
        <v>1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>
        <v>0</v>
      </c>
      <c r="AP1606" s="4"/>
      <c r="AQ1606" s="8"/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/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/>
      <c r="BJ1606" s="4">
        <v>6</v>
      </c>
      <c r="BK1606" s="8">
        <v>132.64</v>
      </c>
      <c r="BL1606" s="2" t="s">
        <v>1087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109</v>
      </c>
      <c r="BV1606" s="2" t="s">
        <v>97</v>
      </c>
      <c r="BW1606" s="2" t="s">
        <v>819</v>
      </c>
      <c r="BX1606" s="2" t="s">
        <v>1408</v>
      </c>
      <c r="BY1606" s="2" t="s">
        <v>112</v>
      </c>
      <c r="BZ1606" s="2" t="s">
        <v>100</v>
      </c>
    </row>
    <row r="1607">
      <c r="A1607" s="2" t="s">
        <v>4947</v>
      </c>
      <c r="B1607" s="2" t="s">
        <v>87</v>
      </c>
      <c r="C1607" s="2" t="s">
        <v>4613</v>
      </c>
      <c r="D1607" s="2" t="s">
        <v>89</v>
      </c>
      <c r="E1607" s="2" t="s">
        <v>2030</v>
      </c>
      <c r="F1607" s="2" t="s">
        <v>4939</v>
      </c>
      <c r="G1607" s="2" t="s">
        <v>4940</v>
      </c>
      <c r="H1607" s="2" t="s">
        <v>4941</v>
      </c>
      <c r="I1607" s="2" t="s">
        <v>4942</v>
      </c>
      <c r="J1607" s="2" t="s">
        <v>673</v>
      </c>
      <c r="K1607" s="2" t="s">
        <v>4948</v>
      </c>
      <c r="L1607" s="3">
        <v>19.04</v>
      </c>
      <c r="M1607" s="3">
        <v>19.99</v>
      </c>
      <c r="N1607" s="3">
        <v>39.99</v>
      </c>
      <c r="O1607" s="2" t="s">
        <v>473</v>
      </c>
      <c r="P1607" s="2" t="s">
        <v>447</v>
      </c>
      <c r="Q1607" s="2" t="s">
        <v>99</v>
      </c>
      <c r="R1607" s="2" t="s">
        <v>100</v>
      </c>
      <c r="S1607" s="2" t="s">
        <v>4949</v>
      </c>
      <c r="T1607" s="2" t="s">
        <v>787</v>
      </c>
      <c r="U1607" s="2" t="s">
        <v>2150</v>
      </c>
      <c r="V1607" s="2" t="s">
        <v>1112</v>
      </c>
      <c r="W1607" s="2" t="s">
        <v>976</v>
      </c>
      <c r="X1607" s="2" t="s">
        <v>105</v>
      </c>
      <c r="Y1607" s="2" t="s">
        <v>4672</v>
      </c>
      <c r="Z1607" s="4">
        <v>531</v>
      </c>
      <c r="AA1607" s="4">
        <f>=ROUNDDOWN(44.6218487394958,0)</f>
      </c>
      <c r="AB1607" s="5">
        <v>11.9</v>
      </c>
      <c r="AC1607" s="2" t="s">
        <v>4944</v>
      </c>
      <c r="AD1607" s="4">
        <v>96</v>
      </c>
      <c r="AE1607" s="4">
        <v>96</v>
      </c>
      <c r="AF1607" s="6">
        <v>63</v>
      </c>
      <c r="AG1607" s="6">
        <v>46</v>
      </c>
      <c r="AH1607" s="7">
        <v>1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>
        <v>0</v>
      </c>
      <c r="AP1607" s="4"/>
      <c r="AQ1607" s="8"/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/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/>
      <c r="BJ1607" s="4">
        <v>11</v>
      </c>
      <c r="BK1607" s="8">
        <v>157.52</v>
      </c>
      <c r="BL1607" s="2" t="s">
        <v>1844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109</v>
      </c>
      <c r="BV1607" s="2" t="s">
        <v>97</v>
      </c>
      <c r="BW1607" s="2" t="s">
        <v>819</v>
      </c>
      <c r="BX1607" s="2" t="s">
        <v>2797</v>
      </c>
      <c r="BY1607" s="2" t="s">
        <v>112</v>
      </c>
      <c r="BZ1607" s="2" t="s">
        <v>100</v>
      </c>
    </row>
    <row r="1608">
      <c r="A1608" s="2" t="s">
        <v>4950</v>
      </c>
      <c r="B1608" s="2" t="s">
        <v>87</v>
      </c>
      <c r="C1608" s="2" t="s">
        <v>4613</v>
      </c>
      <c r="D1608" s="2" t="s">
        <v>89</v>
      </c>
      <c r="E1608" s="2" t="s">
        <v>2030</v>
      </c>
      <c r="F1608" s="2" t="s">
        <v>4939</v>
      </c>
      <c r="G1608" s="2" t="s">
        <v>4940</v>
      </c>
      <c r="H1608" s="2" t="s">
        <v>4941</v>
      </c>
      <c r="I1608" s="2" t="s">
        <v>4942</v>
      </c>
      <c r="J1608" s="2" t="s">
        <v>785</v>
      </c>
      <c r="K1608" s="2" t="s">
        <v>4948</v>
      </c>
      <c r="L1608" s="3">
        <v>21.42</v>
      </c>
      <c r="M1608" s="3">
        <v>22.49</v>
      </c>
      <c r="N1608" s="3">
        <v>44.99</v>
      </c>
      <c r="O1608" s="2" t="s">
        <v>473</v>
      </c>
      <c r="P1608" s="2" t="s">
        <v>447</v>
      </c>
      <c r="Q1608" s="2" t="s">
        <v>99</v>
      </c>
      <c r="R1608" s="2" t="s">
        <v>100</v>
      </c>
      <c r="S1608" s="2" t="s">
        <v>4949</v>
      </c>
      <c r="T1608" s="2" t="s">
        <v>787</v>
      </c>
      <c r="U1608" s="2" t="s">
        <v>1508</v>
      </c>
      <c r="V1608" s="2" t="s">
        <v>1112</v>
      </c>
      <c r="W1608" s="2" t="s">
        <v>976</v>
      </c>
      <c r="X1608" s="2" t="s">
        <v>105</v>
      </c>
      <c r="Y1608" s="2" t="s">
        <v>4672</v>
      </c>
      <c r="Z1608" s="4">
        <v>1054</v>
      </c>
      <c r="AA1608" s="4">
        <f>=ROUNDDOWN(75.8273381294964,0)</f>
      </c>
      <c r="AB1608" s="5">
        <v>13.9</v>
      </c>
      <c r="AC1608" s="2" t="s">
        <v>100</v>
      </c>
      <c r="AD1608" s="4"/>
      <c r="AE1608" s="4"/>
      <c r="AF1608" s="6">
        <v>63</v>
      </c>
      <c r="AG1608" s="6">
        <v>46</v>
      </c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>
        <v>0</v>
      </c>
      <c r="AP1608" s="4"/>
      <c r="AQ1608" s="8"/>
      <c r="AR1608" s="4"/>
      <c r="AS1608" s="8"/>
      <c r="AT1608" s="7"/>
      <c r="AU1608" s="7"/>
      <c r="AV1608" s="4" t="s">
        <v>100</v>
      </c>
      <c r="AW1608" s="8" t="s">
        <v>100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/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/>
      <c r="BJ1608" s="4">
        <v>6</v>
      </c>
      <c r="BK1608" s="8">
        <v>129.26</v>
      </c>
      <c r="BL1608" s="2" t="s">
        <v>4951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109</v>
      </c>
      <c r="BV1608" s="2" t="s">
        <v>97</v>
      </c>
      <c r="BW1608" s="2" t="s">
        <v>819</v>
      </c>
      <c r="BX1608" s="2" t="s">
        <v>2130</v>
      </c>
      <c r="BY1608" s="2" t="s">
        <v>112</v>
      </c>
      <c r="BZ1608" s="2" t="s">
        <v>100</v>
      </c>
    </row>
    <row r="1609">
      <c r="A1609" s="2" t="s">
        <v>4952</v>
      </c>
      <c r="B1609" s="2" t="s">
        <v>87</v>
      </c>
      <c r="C1609" s="2" t="s">
        <v>4613</v>
      </c>
      <c r="D1609" s="2" t="s">
        <v>89</v>
      </c>
      <c r="E1609" s="2" t="s">
        <v>2030</v>
      </c>
      <c r="F1609" s="2" t="s">
        <v>4939</v>
      </c>
      <c r="G1609" s="2" t="s">
        <v>4940</v>
      </c>
      <c r="H1609" s="2" t="s">
        <v>4941</v>
      </c>
      <c r="I1609" s="2" t="s">
        <v>4942</v>
      </c>
      <c r="J1609" s="2" t="s">
        <v>795</v>
      </c>
      <c r="K1609" s="2" t="s">
        <v>4948</v>
      </c>
      <c r="L1609" s="3">
        <v>26.19</v>
      </c>
      <c r="M1609" s="3">
        <v>27.5</v>
      </c>
      <c r="N1609" s="3">
        <v>54.99</v>
      </c>
      <c r="O1609" s="2" t="s">
        <v>473</v>
      </c>
      <c r="P1609" s="2" t="s">
        <v>447</v>
      </c>
      <c r="Q1609" s="2" t="s">
        <v>99</v>
      </c>
      <c r="R1609" s="2" t="s">
        <v>100</v>
      </c>
      <c r="S1609" s="2" t="s">
        <v>4949</v>
      </c>
      <c r="T1609" s="2" t="s">
        <v>787</v>
      </c>
      <c r="U1609" s="2" t="s">
        <v>1508</v>
      </c>
      <c r="V1609" s="2" t="s">
        <v>1112</v>
      </c>
      <c r="W1609" s="2" t="s">
        <v>976</v>
      </c>
      <c r="X1609" s="2" t="s">
        <v>105</v>
      </c>
      <c r="Y1609" s="2" t="s">
        <v>2129</v>
      </c>
      <c r="Z1609" s="4">
        <v>698</v>
      </c>
      <c r="AA1609" s="4">
        <f>=ROUNDDOWN(107.384615384615,0)</f>
      </c>
      <c r="AB1609" s="5">
        <v>6.5</v>
      </c>
      <c r="AC1609" s="2" t="s">
        <v>4944</v>
      </c>
      <c r="AD1609" s="4">
        <v>27</v>
      </c>
      <c r="AE1609" s="4">
        <v>27</v>
      </c>
      <c r="AF1609" s="6">
        <v>63</v>
      </c>
      <c r="AG1609" s="6">
        <v>46</v>
      </c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>
        <v>0</v>
      </c>
      <c r="AP1609" s="4"/>
      <c r="AQ1609" s="8"/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/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/>
      <c r="BJ1609" s="4">
        <v>3</v>
      </c>
      <c r="BK1609" s="8">
        <v>67.17</v>
      </c>
      <c r="BL1609" s="2" t="s">
        <v>4953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109</v>
      </c>
      <c r="BV1609" s="2" t="s">
        <v>97</v>
      </c>
      <c r="BW1609" s="2" t="s">
        <v>819</v>
      </c>
      <c r="BX1609" s="2" t="s">
        <v>2112</v>
      </c>
      <c r="BY1609" s="2" t="s">
        <v>112</v>
      </c>
      <c r="BZ1609" s="2" t="s">
        <v>100</v>
      </c>
    </row>
    <row r="1610">
      <c r="A1610" s="2" t="s">
        <v>4954</v>
      </c>
      <c r="B1610" s="2" t="s">
        <v>87</v>
      </c>
      <c r="C1610" s="2" t="s">
        <v>4613</v>
      </c>
      <c r="D1610" s="2" t="s">
        <v>89</v>
      </c>
      <c r="E1610" s="2" t="s">
        <v>2030</v>
      </c>
      <c r="F1610" s="2" t="s">
        <v>4955</v>
      </c>
      <c r="G1610" s="2" t="s">
        <v>4956</v>
      </c>
      <c r="H1610" s="2" t="s">
        <v>4957</v>
      </c>
      <c r="I1610" s="2" t="s">
        <v>4958</v>
      </c>
      <c r="J1610" s="2" t="s">
        <v>673</v>
      </c>
      <c r="K1610" s="2" t="s">
        <v>253</v>
      </c>
      <c r="L1610" s="3">
        <v>19.04</v>
      </c>
      <c r="M1610" s="3">
        <v>19.99</v>
      </c>
      <c r="N1610" s="3">
        <v>39.99</v>
      </c>
      <c r="O1610" s="2" t="s">
        <v>97</v>
      </c>
      <c r="P1610" s="2" t="s">
        <v>1216</v>
      </c>
      <c r="Q1610" s="2" t="s">
        <v>99</v>
      </c>
      <c r="R1610" s="2" t="s">
        <v>100</v>
      </c>
      <c r="S1610" s="2" t="s">
        <v>4959</v>
      </c>
      <c r="T1610" s="2" t="s">
        <v>787</v>
      </c>
      <c r="U1610" s="2" t="s">
        <v>2150</v>
      </c>
      <c r="V1610" s="2" t="s">
        <v>449</v>
      </c>
      <c r="W1610" s="2" t="s">
        <v>105</v>
      </c>
      <c r="X1610" s="2" t="s">
        <v>976</v>
      </c>
      <c r="Y1610" s="2" t="s">
        <v>4305</v>
      </c>
      <c r="Z1610" s="4">
        <v>425</v>
      </c>
      <c r="AA1610" s="4">
        <f>=ROUNDDOWN(212.5,0)</f>
      </c>
      <c r="AB1610" s="5">
        <v>2</v>
      </c>
      <c r="AC1610" s="2" t="s">
        <v>132</v>
      </c>
      <c r="AD1610" s="4">
        <v>33</v>
      </c>
      <c r="AE1610" s="4">
        <v>105</v>
      </c>
      <c r="AF1610" s="6">
        <v>63</v>
      </c>
      <c r="AG1610" s="6">
        <v>46</v>
      </c>
      <c r="AH1610" s="7">
        <v>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>
        <v>0</v>
      </c>
      <c r="AP1610" s="4"/>
      <c r="AQ1610" s="8"/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/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/>
      <c r="BJ1610" s="4">
        <v>2</v>
      </c>
      <c r="BK1610" s="8">
        <v>35.2</v>
      </c>
      <c r="BL1610" s="2" t="s">
        <v>715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109</v>
      </c>
      <c r="BV1610" s="2" t="s">
        <v>97</v>
      </c>
      <c r="BW1610" s="2" t="s">
        <v>3687</v>
      </c>
      <c r="BX1610" s="2" t="s">
        <v>100</v>
      </c>
      <c r="BY1610" s="2" t="s">
        <v>112</v>
      </c>
      <c r="BZ1610" s="2" t="s">
        <v>100</v>
      </c>
    </row>
    <row r="1611">
      <c r="A1611" s="2" t="s">
        <v>4960</v>
      </c>
      <c r="B1611" s="2" t="s">
        <v>87</v>
      </c>
      <c r="C1611" s="2" t="s">
        <v>4613</v>
      </c>
      <c r="D1611" s="2" t="s">
        <v>89</v>
      </c>
      <c r="E1611" s="2" t="s">
        <v>2030</v>
      </c>
      <c r="F1611" s="2" t="s">
        <v>4955</v>
      </c>
      <c r="G1611" s="2" t="s">
        <v>4956</v>
      </c>
      <c r="H1611" s="2" t="s">
        <v>4957</v>
      </c>
      <c r="I1611" s="2" t="s">
        <v>4958</v>
      </c>
      <c r="J1611" s="2" t="s">
        <v>785</v>
      </c>
      <c r="K1611" s="2" t="s">
        <v>253</v>
      </c>
      <c r="L1611" s="3">
        <v>23.8</v>
      </c>
      <c r="M1611" s="3">
        <v>24.99</v>
      </c>
      <c r="N1611" s="3">
        <v>49.99</v>
      </c>
      <c r="O1611" s="2" t="s">
        <v>97</v>
      </c>
      <c r="P1611" s="2" t="s">
        <v>1216</v>
      </c>
      <c r="Q1611" s="2" t="s">
        <v>99</v>
      </c>
      <c r="R1611" s="2" t="s">
        <v>100</v>
      </c>
      <c r="S1611" s="2" t="s">
        <v>4959</v>
      </c>
      <c r="T1611" s="2" t="s">
        <v>787</v>
      </c>
      <c r="U1611" s="2" t="s">
        <v>1508</v>
      </c>
      <c r="V1611" s="2" t="s">
        <v>449</v>
      </c>
      <c r="W1611" s="2" t="s">
        <v>105</v>
      </c>
      <c r="X1611" s="2" t="s">
        <v>976</v>
      </c>
      <c r="Y1611" s="2" t="s">
        <v>4305</v>
      </c>
      <c r="Z1611" s="4">
        <v>1051</v>
      </c>
      <c r="AA1611" s="4">
        <f>=ROUNDDOWN(875.833333333333,0)</f>
      </c>
      <c r="AB1611" s="5">
        <v>1.2</v>
      </c>
      <c r="AC1611" s="2" t="s">
        <v>132</v>
      </c>
      <c r="AD1611" s="4">
        <v>258</v>
      </c>
      <c r="AE1611" s="4">
        <v>555</v>
      </c>
      <c r="AF1611" s="6">
        <v>63</v>
      </c>
      <c r="AG1611" s="6">
        <v>46</v>
      </c>
      <c r="AH1611" s="7">
        <v>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>
        <v>0</v>
      </c>
      <c r="AP1611" s="4"/>
      <c r="AQ1611" s="8"/>
      <c r="AR1611" s="4"/>
      <c r="AS1611" s="8"/>
      <c r="AT1611" s="7"/>
      <c r="AU1611" s="7"/>
      <c r="AV1611" s="4" t="s">
        <v>100</v>
      </c>
      <c r="AW1611" s="8" t="s">
        <v>100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/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/>
      <c r="BJ1611" s="4">
        <v>4</v>
      </c>
      <c r="BK1611" s="8">
        <v>104.52</v>
      </c>
      <c r="BL1611" s="2" t="s">
        <v>4961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109</v>
      </c>
      <c r="BV1611" s="2" t="s">
        <v>97</v>
      </c>
      <c r="BW1611" s="2" t="s">
        <v>3687</v>
      </c>
      <c r="BX1611" s="2" t="s">
        <v>1541</v>
      </c>
      <c r="BY1611" s="2" t="s">
        <v>112</v>
      </c>
      <c r="BZ1611" s="2" t="s">
        <v>100</v>
      </c>
    </row>
    <row r="1612">
      <c r="A1612" s="2" t="s">
        <v>4962</v>
      </c>
      <c r="B1612" s="2" t="s">
        <v>87</v>
      </c>
      <c r="C1612" s="2" t="s">
        <v>4613</v>
      </c>
      <c r="D1612" s="2" t="s">
        <v>89</v>
      </c>
      <c r="E1612" s="2" t="s">
        <v>2030</v>
      </c>
      <c r="F1612" s="2" t="s">
        <v>4955</v>
      </c>
      <c r="G1612" s="2" t="s">
        <v>4956</v>
      </c>
      <c r="H1612" s="2" t="s">
        <v>4957</v>
      </c>
      <c r="I1612" s="2" t="s">
        <v>4958</v>
      </c>
      <c r="J1612" s="2" t="s">
        <v>795</v>
      </c>
      <c r="K1612" s="2" t="s">
        <v>253</v>
      </c>
      <c r="L1612" s="3">
        <v>26.19</v>
      </c>
      <c r="M1612" s="3">
        <v>27.5</v>
      </c>
      <c r="N1612" s="3">
        <v>54.99</v>
      </c>
      <c r="O1612" s="2" t="s">
        <v>97</v>
      </c>
      <c r="P1612" s="2" t="s">
        <v>1216</v>
      </c>
      <c r="Q1612" s="2" t="s">
        <v>99</v>
      </c>
      <c r="R1612" s="2" t="s">
        <v>100</v>
      </c>
      <c r="S1612" s="2" t="s">
        <v>4959</v>
      </c>
      <c r="T1612" s="2" t="s">
        <v>787</v>
      </c>
      <c r="U1612" s="2" t="s">
        <v>1508</v>
      </c>
      <c r="V1612" s="2" t="s">
        <v>449</v>
      </c>
      <c r="W1612" s="2" t="s">
        <v>105</v>
      </c>
      <c r="X1612" s="2" t="s">
        <v>976</v>
      </c>
      <c r="Y1612" s="2" t="s">
        <v>3810</v>
      </c>
      <c r="Z1612" s="4">
        <v>846</v>
      </c>
      <c r="AA1612" s="4">
        <f>=ROUNDDOWN(120.857142857143,0)</f>
      </c>
      <c r="AB1612" s="5">
        <v>7</v>
      </c>
      <c r="AC1612" s="2" t="s">
        <v>132</v>
      </c>
      <c r="AD1612" s="4">
        <v>225</v>
      </c>
      <c r="AE1612" s="4">
        <v>444</v>
      </c>
      <c r="AF1612" s="6">
        <v>63</v>
      </c>
      <c r="AG1612" s="6">
        <v>46</v>
      </c>
      <c r="AH1612" s="7">
        <v>1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>
        <v>0</v>
      </c>
      <c r="AP1612" s="4"/>
      <c r="AQ1612" s="8"/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/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/>
      <c r="BJ1612" s="4">
        <v>5</v>
      </c>
      <c r="BK1612" s="8">
        <v>127.59</v>
      </c>
      <c r="BL1612" s="2" t="s">
        <v>2799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109</v>
      </c>
      <c r="BV1612" s="2" t="s">
        <v>97</v>
      </c>
      <c r="BW1612" s="2" t="s">
        <v>3687</v>
      </c>
      <c r="BX1612" s="2" t="s">
        <v>100</v>
      </c>
      <c r="BY1612" s="2" t="s">
        <v>112</v>
      </c>
      <c r="BZ1612" s="2" t="s">
        <v>100</v>
      </c>
    </row>
    <row r="1613">
      <c r="A1613" s="2" t="s">
        <v>4963</v>
      </c>
      <c r="B1613" s="2" t="s">
        <v>87</v>
      </c>
      <c r="C1613" s="2" t="s">
        <v>4613</v>
      </c>
      <c r="D1613" s="2" t="s">
        <v>89</v>
      </c>
      <c r="E1613" s="2" t="s">
        <v>2030</v>
      </c>
      <c r="F1613" s="2" t="s">
        <v>4955</v>
      </c>
      <c r="G1613" s="2" t="s">
        <v>4956</v>
      </c>
      <c r="H1613" s="2" t="s">
        <v>4957</v>
      </c>
      <c r="I1613" s="2" t="s">
        <v>4958</v>
      </c>
      <c r="J1613" s="2" t="s">
        <v>673</v>
      </c>
      <c r="K1613" s="2" t="s">
        <v>146</v>
      </c>
      <c r="L1613" s="3">
        <v>19.04</v>
      </c>
      <c r="M1613" s="3">
        <v>19.99</v>
      </c>
      <c r="N1613" s="3">
        <v>39.99</v>
      </c>
      <c r="O1613" s="2" t="s">
        <v>97</v>
      </c>
      <c r="P1613" s="2" t="s">
        <v>1216</v>
      </c>
      <c r="Q1613" s="2" t="s">
        <v>99</v>
      </c>
      <c r="R1613" s="2" t="s">
        <v>100</v>
      </c>
      <c r="S1613" s="2" t="s">
        <v>4964</v>
      </c>
      <c r="T1613" s="2" t="s">
        <v>787</v>
      </c>
      <c r="U1613" s="2" t="s">
        <v>2150</v>
      </c>
      <c r="V1613" s="2" t="s">
        <v>449</v>
      </c>
      <c r="W1613" s="2" t="s">
        <v>105</v>
      </c>
      <c r="X1613" s="2" t="s">
        <v>976</v>
      </c>
      <c r="Y1613" s="2" t="s">
        <v>4305</v>
      </c>
      <c r="Z1613" s="4">
        <v>400</v>
      </c>
      <c r="AA1613" s="4">
        <f>=ROUNDDOWN(1000,0)</f>
      </c>
      <c r="AB1613" s="5">
        <v>0.4</v>
      </c>
      <c r="AC1613" s="2" t="s">
        <v>132</v>
      </c>
      <c r="AD1613" s="4">
        <v>66</v>
      </c>
      <c r="AE1613" s="4">
        <v>192</v>
      </c>
      <c r="AF1613" s="6">
        <v>63</v>
      </c>
      <c r="AG1613" s="6">
        <v>46</v>
      </c>
      <c r="AH1613" s="7">
        <v>1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>
        <v>0</v>
      </c>
      <c r="AP1613" s="4"/>
      <c r="AQ1613" s="8"/>
      <c r="AR1613" s="4"/>
      <c r="AS1613" s="8"/>
      <c r="AT1613" s="7"/>
      <c r="AU1613" s="7"/>
      <c r="AV1613" s="4" t="s">
        <v>100</v>
      </c>
      <c r="AW1613" s="8" t="s">
        <v>100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/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/>
      <c r="BJ1613" s="4">
        <v>3</v>
      </c>
      <c r="BK1613" s="8">
        <v>52.8</v>
      </c>
      <c r="BL1613" s="2" t="s">
        <v>715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109</v>
      </c>
      <c r="BV1613" s="2" t="s">
        <v>97</v>
      </c>
      <c r="BW1613" s="2" t="s">
        <v>1168</v>
      </c>
      <c r="BX1613" s="2" t="s">
        <v>680</v>
      </c>
      <c r="BY1613" s="2" t="s">
        <v>112</v>
      </c>
      <c r="BZ1613" s="2" t="s">
        <v>100</v>
      </c>
    </row>
    <row r="1614">
      <c r="A1614" s="2" t="s">
        <v>4965</v>
      </c>
      <c r="B1614" s="2" t="s">
        <v>87</v>
      </c>
      <c r="C1614" s="2" t="s">
        <v>4613</v>
      </c>
      <c r="D1614" s="2" t="s">
        <v>89</v>
      </c>
      <c r="E1614" s="2" t="s">
        <v>2030</v>
      </c>
      <c r="F1614" s="2" t="s">
        <v>4955</v>
      </c>
      <c r="G1614" s="2" t="s">
        <v>4956</v>
      </c>
      <c r="H1614" s="2" t="s">
        <v>4957</v>
      </c>
      <c r="I1614" s="2" t="s">
        <v>4958</v>
      </c>
      <c r="J1614" s="2" t="s">
        <v>785</v>
      </c>
      <c r="K1614" s="2" t="s">
        <v>146</v>
      </c>
      <c r="L1614" s="3">
        <v>23.8</v>
      </c>
      <c r="M1614" s="3">
        <v>24.99</v>
      </c>
      <c r="N1614" s="3">
        <v>49.99</v>
      </c>
      <c r="O1614" s="2" t="s">
        <v>97</v>
      </c>
      <c r="P1614" s="2" t="s">
        <v>1216</v>
      </c>
      <c r="Q1614" s="2" t="s">
        <v>99</v>
      </c>
      <c r="R1614" s="2" t="s">
        <v>100</v>
      </c>
      <c r="S1614" s="2" t="s">
        <v>4964</v>
      </c>
      <c r="T1614" s="2" t="s">
        <v>787</v>
      </c>
      <c r="U1614" s="2" t="s">
        <v>1508</v>
      </c>
      <c r="V1614" s="2" t="s">
        <v>449</v>
      </c>
      <c r="W1614" s="2" t="s">
        <v>105</v>
      </c>
      <c r="X1614" s="2" t="s">
        <v>976</v>
      </c>
      <c r="Y1614" s="2" t="s">
        <v>4305</v>
      </c>
      <c r="Z1614" s="4">
        <v>1411</v>
      </c>
      <c r="AA1614" s="4">
        <f>=ROUNDDOWN(1175.83333333333,0)</f>
      </c>
      <c r="AB1614" s="5">
        <v>1.2</v>
      </c>
      <c r="AC1614" s="2" t="s">
        <v>132</v>
      </c>
      <c r="AD1614" s="4">
        <v>243</v>
      </c>
      <c r="AE1614" s="4">
        <v>765</v>
      </c>
      <c r="AF1614" s="6">
        <v>63</v>
      </c>
      <c r="AG1614" s="6">
        <v>46</v>
      </c>
      <c r="AH1614" s="7">
        <v>1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100</v>
      </c>
      <c r="AW1614" s="8" t="s">
        <v>100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/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/>
      <c r="BJ1614" s="4">
        <v>3</v>
      </c>
      <c r="BK1614" s="8">
        <v>66</v>
      </c>
      <c r="BL1614" s="2" t="s">
        <v>715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109</v>
      </c>
      <c r="BV1614" s="2" t="s">
        <v>97</v>
      </c>
      <c r="BW1614" s="2" t="s">
        <v>1168</v>
      </c>
      <c r="BX1614" s="2" t="s">
        <v>100</v>
      </c>
      <c r="BY1614" s="2" t="s">
        <v>112</v>
      </c>
      <c r="BZ1614" s="2" t="s">
        <v>100</v>
      </c>
    </row>
    <row r="1615">
      <c r="A1615" s="2" t="s">
        <v>4966</v>
      </c>
      <c r="B1615" s="2" t="s">
        <v>87</v>
      </c>
      <c r="C1615" s="2" t="s">
        <v>4613</v>
      </c>
      <c r="D1615" s="2" t="s">
        <v>89</v>
      </c>
      <c r="E1615" s="2" t="s">
        <v>2030</v>
      </c>
      <c r="F1615" s="2" t="s">
        <v>4955</v>
      </c>
      <c r="G1615" s="2" t="s">
        <v>4956</v>
      </c>
      <c r="H1615" s="2" t="s">
        <v>4957</v>
      </c>
      <c r="I1615" s="2" t="s">
        <v>4958</v>
      </c>
      <c r="J1615" s="2" t="s">
        <v>795</v>
      </c>
      <c r="K1615" s="2" t="s">
        <v>146</v>
      </c>
      <c r="L1615" s="3">
        <v>26.19</v>
      </c>
      <c r="M1615" s="3">
        <v>27.5</v>
      </c>
      <c r="N1615" s="3">
        <v>54.99</v>
      </c>
      <c r="O1615" s="2" t="s">
        <v>97</v>
      </c>
      <c r="P1615" s="2" t="s">
        <v>1216</v>
      </c>
      <c r="Q1615" s="2" t="s">
        <v>99</v>
      </c>
      <c r="R1615" s="2" t="s">
        <v>100</v>
      </c>
      <c r="S1615" s="2" t="s">
        <v>4964</v>
      </c>
      <c r="T1615" s="2" t="s">
        <v>787</v>
      </c>
      <c r="U1615" s="2" t="s">
        <v>1508</v>
      </c>
      <c r="V1615" s="2" t="s">
        <v>449</v>
      </c>
      <c r="W1615" s="2" t="s">
        <v>105</v>
      </c>
      <c r="X1615" s="2" t="s">
        <v>976</v>
      </c>
      <c r="Y1615" s="2" t="s">
        <v>1281</v>
      </c>
      <c r="Z1615" s="4">
        <v>1143</v>
      </c>
      <c r="AA1615" s="4">
        <f>=ROUNDDOWN(3810,0)</f>
      </c>
      <c r="AB1615" s="5">
        <v>0.3</v>
      </c>
      <c r="AC1615" s="2" t="s">
        <v>132</v>
      </c>
      <c r="AD1615" s="4">
        <v>261</v>
      </c>
      <c r="AE1615" s="4">
        <v>684</v>
      </c>
      <c r="AF1615" s="6">
        <v>63</v>
      </c>
      <c r="AG1615" s="6">
        <v>46</v>
      </c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>
        <v>0</v>
      </c>
      <c r="AP1615" s="4"/>
      <c r="AQ1615" s="8"/>
      <c r="AR1615" s="4"/>
      <c r="AS1615" s="8"/>
      <c r="AT1615" s="7"/>
      <c r="AU1615" s="7"/>
      <c r="AV1615" s="4" t="s">
        <v>100</v>
      </c>
      <c r="AW1615" s="8" t="s">
        <v>100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/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/>
      <c r="BJ1615" s="4">
        <v>1</v>
      </c>
      <c r="BK1615" s="8">
        <v>23.8</v>
      </c>
      <c r="BL1615" s="2" t="s">
        <v>715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109</v>
      </c>
      <c r="BV1615" s="2" t="s">
        <v>97</v>
      </c>
      <c r="BW1615" s="2" t="s">
        <v>1168</v>
      </c>
      <c r="BX1615" s="2" t="s">
        <v>100</v>
      </c>
      <c r="BY1615" s="2" t="s">
        <v>112</v>
      </c>
      <c r="BZ1615" s="2" t="s">
        <v>100</v>
      </c>
    </row>
    <row r="1616">
      <c r="A1616" s="2" t="s">
        <v>4967</v>
      </c>
      <c r="B1616" s="2" t="s">
        <v>87</v>
      </c>
      <c r="C1616" s="2" t="s">
        <v>4613</v>
      </c>
      <c r="D1616" s="2" t="s">
        <v>89</v>
      </c>
      <c r="E1616" s="2" t="s">
        <v>2030</v>
      </c>
      <c r="F1616" s="2" t="s">
        <v>4955</v>
      </c>
      <c r="G1616" s="2" t="s">
        <v>4956</v>
      </c>
      <c r="H1616" s="2" t="s">
        <v>4957</v>
      </c>
      <c r="I1616" s="2" t="s">
        <v>4958</v>
      </c>
      <c r="J1616" s="2" t="s">
        <v>673</v>
      </c>
      <c r="K1616" s="2" t="s">
        <v>4968</v>
      </c>
      <c r="L1616" s="3">
        <v>19.04</v>
      </c>
      <c r="M1616" s="3">
        <v>19.99</v>
      </c>
      <c r="N1616" s="3">
        <v>39.99</v>
      </c>
      <c r="O1616" s="2" t="s">
        <v>97</v>
      </c>
      <c r="P1616" s="2" t="s">
        <v>1216</v>
      </c>
      <c r="Q1616" s="2" t="s">
        <v>99</v>
      </c>
      <c r="R1616" s="2" t="s">
        <v>100</v>
      </c>
      <c r="S1616" s="2" t="s">
        <v>4969</v>
      </c>
      <c r="T1616" s="2" t="s">
        <v>787</v>
      </c>
      <c r="U1616" s="2" t="s">
        <v>2150</v>
      </c>
      <c r="V1616" s="2" t="s">
        <v>449</v>
      </c>
      <c r="W1616" s="2" t="s">
        <v>105</v>
      </c>
      <c r="X1616" s="2" t="s">
        <v>976</v>
      </c>
      <c r="Y1616" s="2" t="s">
        <v>1281</v>
      </c>
      <c r="Z1616" s="4">
        <v>425</v>
      </c>
      <c r="AA1616" s="4">
        <f>=ROUNDDOWN(850,0)</f>
      </c>
      <c r="AB1616" s="5">
        <v>0.5</v>
      </c>
      <c r="AC1616" s="2" t="s">
        <v>132</v>
      </c>
      <c r="AD1616" s="4">
        <v>33</v>
      </c>
      <c r="AE1616" s="4">
        <v>105</v>
      </c>
      <c r="AF1616" s="6">
        <v>63</v>
      </c>
      <c r="AG1616" s="6">
        <v>46</v>
      </c>
      <c r="AH1616" s="7">
        <v>1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>
        <v>0</v>
      </c>
      <c r="AP1616" s="4"/>
      <c r="AQ1616" s="8"/>
      <c r="AR1616" s="4"/>
      <c r="AS1616" s="8"/>
      <c r="AT1616" s="7"/>
      <c r="AU1616" s="7"/>
      <c r="AV1616" s="4" t="s">
        <v>100</v>
      </c>
      <c r="AW1616" s="8" t="s">
        <v>100</v>
      </c>
      <c r="AX1616" s="4" t="s">
        <v>100</v>
      </c>
      <c r="AY1616" s="8" t="s">
        <v>100</v>
      </c>
      <c r="AZ1616" s="7" t="s">
        <v>100</v>
      </c>
      <c r="BA1616" s="7" t="s">
        <v>100</v>
      </c>
      <c r="BB1616" s="7"/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/>
      <c r="BJ1616" s="4"/>
      <c r="BK1616" s="8"/>
      <c r="BL1616" s="2" t="s">
        <v>100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109</v>
      </c>
      <c r="BV1616" s="2" t="s">
        <v>97</v>
      </c>
      <c r="BW1616" s="2" t="s">
        <v>3687</v>
      </c>
      <c r="BX1616" s="2" t="s">
        <v>100</v>
      </c>
      <c r="BY1616" s="2" t="s">
        <v>112</v>
      </c>
      <c r="BZ1616" s="2" t="s">
        <v>100</v>
      </c>
    </row>
    <row r="1617">
      <c r="A1617" s="2" t="s">
        <v>4970</v>
      </c>
      <c r="B1617" s="2" t="s">
        <v>87</v>
      </c>
      <c r="C1617" s="2" t="s">
        <v>4613</v>
      </c>
      <c r="D1617" s="2" t="s">
        <v>89</v>
      </c>
      <c r="E1617" s="2" t="s">
        <v>2030</v>
      </c>
      <c r="F1617" s="2" t="s">
        <v>4955</v>
      </c>
      <c r="G1617" s="2" t="s">
        <v>4956</v>
      </c>
      <c r="H1617" s="2" t="s">
        <v>4957</v>
      </c>
      <c r="I1617" s="2" t="s">
        <v>4958</v>
      </c>
      <c r="J1617" s="2" t="s">
        <v>785</v>
      </c>
      <c r="K1617" s="2" t="s">
        <v>4968</v>
      </c>
      <c r="L1617" s="3">
        <v>23.8</v>
      </c>
      <c r="M1617" s="3">
        <v>24.99</v>
      </c>
      <c r="N1617" s="3">
        <v>49.99</v>
      </c>
      <c r="O1617" s="2" t="s">
        <v>97</v>
      </c>
      <c r="P1617" s="2" t="s">
        <v>1216</v>
      </c>
      <c r="Q1617" s="2" t="s">
        <v>99</v>
      </c>
      <c r="R1617" s="2" t="s">
        <v>100</v>
      </c>
      <c r="S1617" s="2" t="s">
        <v>4969</v>
      </c>
      <c r="T1617" s="2" t="s">
        <v>787</v>
      </c>
      <c r="U1617" s="2" t="s">
        <v>1508</v>
      </c>
      <c r="V1617" s="2" t="s">
        <v>449</v>
      </c>
      <c r="W1617" s="2" t="s">
        <v>105</v>
      </c>
      <c r="X1617" s="2" t="s">
        <v>976</v>
      </c>
      <c r="Y1617" s="2" t="s">
        <v>3810</v>
      </c>
      <c r="Z1617" s="4">
        <v>991</v>
      </c>
      <c r="AA1617" s="4">
        <f>=ROUNDDOWN(991,0)</f>
      </c>
      <c r="AB1617" s="5">
        <v>1</v>
      </c>
      <c r="AC1617" s="2" t="s">
        <v>132</v>
      </c>
      <c r="AD1617" s="4">
        <v>252</v>
      </c>
      <c r="AE1617" s="4">
        <v>552</v>
      </c>
      <c r="AF1617" s="6">
        <v>63</v>
      </c>
      <c r="AG1617" s="6">
        <v>46</v>
      </c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>
        <v>0</v>
      </c>
      <c r="AP1617" s="4"/>
      <c r="AQ1617" s="8"/>
      <c r="AR1617" s="4"/>
      <c r="AS1617" s="8"/>
      <c r="AT1617" s="7"/>
      <c r="AU1617" s="7"/>
      <c r="AV1617" s="4" t="s">
        <v>100</v>
      </c>
      <c r="AW1617" s="8" t="s">
        <v>100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/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/>
      <c r="BJ1617" s="4">
        <v>1</v>
      </c>
      <c r="BK1617" s="8">
        <v>26.99</v>
      </c>
      <c r="BL1617" s="2" t="s">
        <v>2115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109</v>
      </c>
      <c r="BV1617" s="2" t="s">
        <v>97</v>
      </c>
      <c r="BW1617" s="2" t="s">
        <v>3687</v>
      </c>
      <c r="BX1617" s="2" t="s">
        <v>100</v>
      </c>
      <c r="BY1617" s="2" t="s">
        <v>112</v>
      </c>
      <c r="BZ1617" s="2" t="s">
        <v>100</v>
      </c>
    </row>
    <row r="1618">
      <c r="A1618" s="2" t="s">
        <v>4971</v>
      </c>
      <c r="B1618" s="2" t="s">
        <v>87</v>
      </c>
      <c r="C1618" s="2" t="s">
        <v>4613</v>
      </c>
      <c r="D1618" s="2" t="s">
        <v>89</v>
      </c>
      <c r="E1618" s="2" t="s">
        <v>2030</v>
      </c>
      <c r="F1618" s="2" t="s">
        <v>4955</v>
      </c>
      <c r="G1618" s="2" t="s">
        <v>4956</v>
      </c>
      <c r="H1618" s="2" t="s">
        <v>4957</v>
      </c>
      <c r="I1618" s="2" t="s">
        <v>4958</v>
      </c>
      <c r="J1618" s="2" t="s">
        <v>795</v>
      </c>
      <c r="K1618" s="2" t="s">
        <v>4968</v>
      </c>
      <c r="L1618" s="3">
        <v>26.19</v>
      </c>
      <c r="M1618" s="3">
        <v>27.5</v>
      </c>
      <c r="N1618" s="3">
        <v>54.99</v>
      </c>
      <c r="O1618" s="2" t="s">
        <v>97</v>
      </c>
      <c r="P1618" s="2" t="s">
        <v>1216</v>
      </c>
      <c r="Q1618" s="2" t="s">
        <v>99</v>
      </c>
      <c r="R1618" s="2" t="s">
        <v>100</v>
      </c>
      <c r="S1618" s="2" t="s">
        <v>4969</v>
      </c>
      <c r="T1618" s="2" t="s">
        <v>787</v>
      </c>
      <c r="U1618" s="2" t="s">
        <v>1508</v>
      </c>
      <c r="V1618" s="2" t="s">
        <v>449</v>
      </c>
      <c r="W1618" s="2" t="s">
        <v>105</v>
      </c>
      <c r="X1618" s="2" t="s">
        <v>976</v>
      </c>
      <c r="Y1618" s="2" t="s">
        <v>3810</v>
      </c>
      <c r="Z1618" s="4">
        <v>817</v>
      </c>
      <c r="AA1618" s="4">
        <f>=ROUNDDOWN(408.5,0)</f>
      </c>
      <c r="AB1618" s="5">
        <v>2</v>
      </c>
      <c r="AC1618" s="2" t="s">
        <v>132</v>
      </c>
      <c r="AD1618" s="4">
        <v>216</v>
      </c>
      <c r="AE1618" s="4">
        <v>438</v>
      </c>
      <c r="AF1618" s="6">
        <v>63</v>
      </c>
      <c r="AG1618" s="6">
        <v>46</v>
      </c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>
        <v>0</v>
      </c>
      <c r="AP1618" s="4"/>
      <c r="AQ1618" s="8"/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/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/>
      <c r="BJ1618" s="4"/>
      <c r="BK1618" s="8"/>
      <c r="BL1618" s="2" t="s">
        <v>100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109</v>
      </c>
      <c r="BV1618" s="2" t="s">
        <v>97</v>
      </c>
      <c r="BW1618" s="2" t="s">
        <v>3687</v>
      </c>
      <c r="BX1618" s="2" t="s">
        <v>100</v>
      </c>
      <c r="BY1618" s="2" t="s">
        <v>112</v>
      </c>
      <c r="BZ1618" s="2" t="s">
        <v>100</v>
      </c>
    </row>
    <row r="1619">
      <c r="A1619" s="2" t="s">
        <v>4972</v>
      </c>
      <c r="B1619" s="2" t="s">
        <v>87</v>
      </c>
      <c r="C1619" s="2" t="s">
        <v>4613</v>
      </c>
      <c r="D1619" s="2" t="s">
        <v>89</v>
      </c>
      <c r="E1619" s="2" t="s">
        <v>90</v>
      </c>
      <c r="F1619" s="2" t="s">
        <v>4973</v>
      </c>
      <c r="G1619" s="2" t="s">
        <v>4973</v>
      </c>
      <c r="H1619" s="2" t="s">
        <v>4973</v>
      </c>
      <c r="I1619" s="2" t="s">
        <v>4974</v>
      </c>
      <c r="J1619" s="2" t="s">
        <v>673</v>
      </c>
      <c r="K1619" s="2" t="s">
        <v>4975</v>
      </c>
      <c r="L1619" s="3">
        <v>19.04</v>
      </c>
      <c r="M1619" s="3">
        <v>19.99</v>
      </c>
      <c r="N1619" s="3">
        <v>39.99</v>
      </c>
      <c r="O1619" s="2" t="s">
        <v>473</v>
      </c>
      <c r="P1619" s="2" t="s">
        <v>447</v>
      </c>
      <c r="Q1619" s="2" t="s">
        <v>99</v>
      </c>
      <c r="R1619" s="2" t="s">
        <v>100</v>
      </c>
      <c r="S1619" s="2" t="s">
        <v>4976</v>
      </c>
      <c r="T1619" s="2" t="s">
        <v>787</v>
      </c>
      <c r="U1619" s="2" t="s">
        <v>2150</v>
      </c>
      <c r="V1619" s="2" t="s">
        <v>645</v>
      </c>
      <c r="W1619" s="2" t="s">
        <v>105</v>
      </c>
      <c r="X1619" s="2" t="s">
        <v>1064</v>
      </c>
      <c r="Y1619" s="2" t="s">
        <v>4672</v>
      </c>
      <c r="Z1619" s="4">
        <v>471</v>
      </c>
      <c r="AA1619" s="4">
        <f>=ROUNDDOWN(78.5,0)</f>
      </c>
      <c r="AB1619" s="5">
        <v>6</v>
      </c>
      <c r="AC1619" s="2" t="s">
        <v>100</v>
      </c>
      <c r="AD1619" s="4"/>
      <c r="AE1619" s="4"/>
      <c r="AF1619" s="6">
        <v>63</v>
      </c>
      <c r="AG1619" s="6">
        <v>46</v>
      </c>
      <c r="AH1619" s="7">
        <v>1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>
        <v>0</v>
      </c>
      <c r="AP1619" s="4">
        <v>1</v>
      </c>
      <c r="AQ1619" s="8">
        <v>19.04</v>
      </c>
      <c r="AR1619" s="4"/>
      <c r="AS1619" s="8"/>
      <c r="AT1619" s="7"/>
      <c r="AU1619" s="7"/>
      <c r="AV1619" s="4">
        <v>1</v>
      </c>
      <c r="AW1619" s="8">
        <v>19.04</v>
      </c>
      <c r="AX1619" s="4" t="s">
        <v>100</v>
      </c>
      <c r="AY1619" s="8" t="s">
        <v>100</v>
      </c>
      <c r="AZ1619" s="7" t="s">
        <v>100</v>
      </c>
      <c r="BA1619" s="7" t="s">
        <v>100</v>
      </c>
      <c r="BB1619" s="7">
        <v>1</v>
      </c>
      <c r="BC1619" s="4">
        <v>1</v>
      </c>
      <c r="BD1619" s="8">
        <v>19.04</v>
      </c>
      <c r="BE1619" s="4" t="s">
        <v>100</v>
      </c>
      <c r="BF1619" s="8" t="s">
        <v>100</v>
      </c>
      <c r="BG1619" s="7" t="s">
        <v>100</v>
      </c>
      <c r="BH1619" s="7" t="s">
        <v>100</v>
      </c>
      <c r="BI1619" s="7">
        <v>1</v>
      </c>
      <c r="BJ1619" s="4">
        <v>1</v>
      </c>
      <c r="BK1619" s="8">
        <v>19.04</v>
      </c>
      <c r="BL1619" s="2" t="s">
        <v>16</v>
      </c>
      <c r="BM1619" s="7">
        <v>1</v>
      </c>
      <c r="BN1619" s="7">
        <v>1</v>
      </c>
      <c r="BO1619" s="4">
        <v>1</v>
      </c>
      <c r="BP1619" s="8">
        <v>19.04</v>
      </c>
      <c r="BQ1619" s="4"/>
      <c r="BR1619" s="8"/>
      <c r="BS1619" s="7"/>
      <c r="BT1619" s="7"/>
      <c r="BU1619" s="2" t="s">
        <v>109</v>
      </c>
      <c r="BV1619" s="2" t="s">
        <v>97</v>
      </c>
      <c r="BW1619" s="2" t="s">
        <v>3735</v>
      </c>
      <c r="BX1619" s="2" t="s">
        <v>2009</v>
      </c>
      <c r="BY1619" s="2" t="s">
        <v>112</v>
      </c>
      <c r="BZ1619" s="2" t="s">
        <v>100</v>
      </c>
    </row>
    <row r="1620">
      <c r="A1620" s="2" t="s">
        <v>4977</v>
      </c>
      <c r="B1620" s="2" t="s">
        <v>87</v>
      </c>
      <c r="C1620" s="2" t="s">
        <v>4613</v>
      </c>
      <c r="D1620" s="2" t="s">
        <v>89</v>
      </c>
      <c r="E1620" s="2" t="s">
        <v>90</v>
      </c>
      <c r="F1620" s="2" t="s">
        <v>4973</v>
      </c>
      <c r="G1620" s="2" t="s">
        <v>4973</v>
      </c>
      <c r="H1620" s="2" t="s">
        <v>4973</v>
      </c>
      <c r="I1620" s="2" t="s">
        <v>4974</v>
      </c>
      <c r="J1620" s="2" t="s">
        <v>785</v>
      </c>
      <c r="K1620" s="2" t="s">
        <v>4975</v>
      </c>
      <c r="L1620" s="3">
        <v>23.8</v>
      </c>
      <c r="M1620" s="3">
        <v>24.99</v>
      </c>
      <c r="N1620" s="3">
        <v>49.99</v>
      </c>
      <c r="O1620" s="2" t="s">
        <v>473</v>
      </c>
      <c r="P1620" s="2" t="s">
        <v>447</v>
      </c>
      <c r="Q1620" s="2" t="s">
        <v>99</v>
      </c>
      <c r="R1620" s="2" t="s">
        <v>100</v>
      </c>
      <c r="S1620" s="2" t="s">
        <v>4976</v>
      </c>
      <c r="T1620" s="2" t="s">
        <v>787</v>
      </c>
      <c r="U1620" s="2" t="s">
        <v>1508</v>
      </c>
      <c r="V1620" s="2" t="s">
        <v>645</v>
      </c>
      <c r="W1620" s="2" t="s">
        <v>105</v>
      </c>
      <c r="X1620" s="2" t="s">
        <v>1064</v>
      </c>
      <c r="Y1620" s="2" t="s">
        <v>4672</v>
      </c>
      <c r="Z1620" s="4">
        <v>667</v>
      </c>
      <c r="AA1620" s="4">
        <f>=ROUNDDOWN(74.1111111111111,0)</f>
      </c>
      <c r="AB1620" s="5">
        <v>9</v>
      </c>
      <c r="AC1620" s="2" t="s">
        <v>100</v>
      </c>
      <c r="AD1620" s="4"/>
      <c r="AE1620" s="4"/>
      <c r="AF1620" s="6">
        <v>63</v>
      </c>
      <c r="AG1620" s="6">
        <v>46</v>
      </c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 t="s">
        <v>100</v>
      </c>
      <c r="AW1620" s="8" t="s">
        <v>100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/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 t="s">
        <v>100</v>
      </c>
      <c r="BJ1620" s="4">
        <v>5</v>
      </c>
      <c r="BK1620" s="8">
        <v>148.61</v>
      </c>
      <c r="BL1620" s="2" t="s">
        <v>4978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109</v>
      </c>
      <c r="BV1620" s="2" t="s">
        <v>97</v>
      </c>
      <c r="BW1620" s="2" t="s">
        <v>3735</v>
      </c>
      <c r="BX1620" s="2" t="s">
        <v>100</v>
      </c>
      <c r="BY1620" s="2" t="s">
        <v>112</v>
      </c>
      <c r="BZ1620" s="2" t="s">
        <v>100</v>
      </c>
    </row>
    <row r="1621">
      <c r="A1621" s="2" t="s">
        <v>4979</v>
      </c>
      <c r="B1621" s="2" t="s">
        <v>87</v>
      </c>
      <c r="C1621" s="2" t="s">
        <v>4613</v>
      </c>
      <c r="D1621" s="2" t="s">
        <v>89</v>
      </c>
      <c r="E1621" s="2" t="s">
        <v>90</v>
      </c>
      <c r="F1621" s="2" t="s">
        <v>4973</v>
      </c>
      <c r="G1621" s="2" t="s">
        <v>4973</v>
      </c>
      <c r="H1621" s="2" t="s">
        <v>4973</v>
      </c>
      <c r="I1621" s="2" t="s">
        <v>4974</v>
      </c>
      <c r="J1621" s="2" t="s">
        <v>795</v>
      </c>
      <c r="K1621" s="2" t="s">
        <v>4975</v>
      </c>
      <c r="L1621" s="3">
        <v>26.19</v>
      </c>
      <c r="M1621" s="3">
        <v>27.5</v>
      </c>
      <c r="N1621" s="3">
        <v>54.99</v>
      </c>
      <c r="O1621" s="2" t="s">
        <v>473</v>
      </c>
      <c r="P1621" s="2" t="s">
        <v>447</v>
      </c>
      <c r="Q1621" s="2" t="s">
        <v>99</v>
      </c>
      <c r="R1621" s="2" t="s">
        <v>100</v>
      </c>
      <c r="S1621" s="2" t="s">
        <v>4976</v>
      </c>
      <c r="T1621" s="2" t="s">
        <v>787</v>
      </c>
      <c r="U1621" s="2" t="s">
        <v>1508</v>
      </c>
      <c r="V1621" s="2" t="s">
        <v>645</v>
      </c>
      <c r="W1621" s="2" t="s">
        <v>105</v>
      </c>
      <c r="X1621" s="2" t="s">
        <v>1064</v>
      </c>
      <c r="Y1621" s="2" t="s">
        <v>2129</v>
      </c>
      <c r="Z1621" s="4">
        <v>530</v>
      </c>
      <c r="AA1621" s="4">
        <f>=ROUNDDOWN(106,0)</f>
      </c>
      <c r="AB1621" s="5">
        <v>5</v>
      </c>
      <c r="AC1621" s="2" t="s">
        <v>100</v>
      </c>
      <c r="AD1621" s="4"/>
      <c r="AE1621" s="4"/>
      <c r="AF1621" s="6">
        <v>63</v>
      </c>
      <c r="AG1621" s="6">
        <v>46</v>
      </c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>
        <v>0</v>
      </c>
      <c r="AP1621" s="4"/>
      <c r="AQ1621" s="8"/>
      <c r="AR1621" s="4"/>
      <c r="AS1621" s="8"/>
      <c r="AT1621" s="7"/>
      <c r="AU1621" s="7"/>
      <c r="AV1621" s="4" t="s">
        <v>100</v>
      </c>
      <c r="AW1621" s="8" t="s">
        <v>100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/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 t="s">
        <v>100</v>
      </c>
      <c r="BJ1621" s="4">
        <v>4</v>
      </c>
      <c r="BK1621" s="8">
        <v>104.76</v>
      </c>
      <c r="BL1621" s="2" t="s">
        <v>2799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109</v>
      </c>
      <c r="BV1621" s="2" t="s">
        <v>97</v>
      </c>
      <c r="BW1621" s="2" t="s">
        <v>3735</v>
      </c>
      <c r="BX1621" s="2" t="s">
        <v>4773</v>
      </c>
      <c r="BY1621" s="2" t="s">
        <v>112</v>
      </c>
      <c r="BZ1621" s="2" t="s">
        <v>100</v>
      </c>
    </row>
    <row r="1622">
      <c r="A1622" s="2" t="s">
        <v>4980</v>
      </c>
      <c r="B1622" s="2" t="s">
        <v>87</v>
      </c>
      <c r="C1622" s="2" t="s">
        <v>4613</v>
      </c>
      <c r="D1622" s="2" t="s">
        <v>89</v>
      </c>
      <c r="E1622" s="2" t="s">
        <v>90</v>
      </c>
      <c r="F1622" s="2" t="s">
        <v>4973</v>
      </c>
      <c r="G1622" s="2" t="s">
        <v>4973</v>
      </c>
      <c r="H1622" s="2" t="s">
        <v>4973</v>
      </c>
      <c r="I1622" s="2" t="s">
        <v>4974</v>
      </c>
      <c r="J1622" s="2" t="s">
        <v>673</v>
      </c>
      <c r="K1622" s="2" t="s">
        <v>1263</v>
      </c>
      <c r="L1622" s="3">
        <v>19.04</v>
      </c>
      <c r="M1622" s="3">
        <v>19.99</v>
      </c>
      <c r="N1622" s="3">
        <v>39.99</v>
      </c>
      <c r="O1622" s="2" t="s">
        <v>473</v>
      </c>
      <c r="P1622" s="2" t="s">
        <v>447</v>
      </c>
      <c r="Q1622" s="2" t="s">
        <v>99</v>
      </c>
      <c r="R1622" s="2" t="s">
        <v>100</v>
      </c>
      <c r="S1622" s="2" t="s">
        <v>4981</v>
      </c>
      <c r="T1622" s="2" t="s">
        <v>787</v>
      </c>
      <c r="U1622" s="2" t="s">
        <v>2150</v>
      </c>
      <c r="V1622" s="2" t="s">
        <v>645</v>
      </c>
      <c r="W1622" s="2" t="s">
        <v>105</v>
      </c>
      <c r="X1622" s="2" t="s">
        <v>1064</v>
      </c>
      <c r="Y1622" s="2" t="s">
        <v>4672</v>
      </c>
      <c r="Z1622" s="4">
        <v>113</v>
      </c>
      <c r="AA1622" s="4">
        <f>=ROUNDDOWN(37.6666666666667,0)</f>
      </c>
      <c r="AB1622" s="5">
        <v>3</v>
      </c>
      <c r="AC1622" s="2" t="s">
        <v>400</v>
      </c>
      <c r="AD1622" s="4">
        <v>99</v>
      </c>
      <c r="AE1622" s="4">
        <v>99</v>
      </c>
      <c r="AF1622" s="6">
        <v>63</v>
      </c>
      <c r="AG1622" s="6">
        <v>46</v>
      </c>
      <c r="AH1622" s="7">
        <v>1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>
        <v>0</v>
      </c>
      <c r="AP1622" s="4"/>
      <c r="AQ1622" s="8"/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/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 t="s">
        <v>100</v>
      </c>
      <c r="BJ1622" s="4">
        <v>2</v>
      </c>
      <c r="BK1622" s="8">
        <v>40.06</v>
      </c>
      <c r="BL1622" s="2" t="s">
        <v>1077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109</v>
      </c>
      <c r="BV1622" s="2" t="s">
        <v>97</v>
      </c>
      <c r="BW1622" s="2" t="s">
        <v>3735</v>
      </c>
      <c r="BX1622" s="2" t="s">
        <v>100</v>
      </c>
      <c r="BY1622" s="2" t="s">
        <v>112</v>
      </c>
      <c r="BZ1622" s="2" t="s">
        <v>100</v>
      </c>
    </row>
    <row r="1623">
      <c r="A1623" s="2" t="s">
        <v>4982</v>
      </c>
      <c r="B1623" s="2" t="s">
        <v>87</v>
      </c>
      <c r="C1623" s="2" t="s">
        <v>4613</v>
      </c>
      <c r="D1623" s="2" t="s">
        <v>89</v>
      </c>
      <c r="E1623" s="2" t="s">
        <v>90</v>
      </c>
      <c r="F1623" s="2" t="s">
        <v>4973</v>
      </c>
      <c r="G1623" s="2" t="s">
        <v>4973</v>
      </c>
      <c r="H1623" s="2" t="s">
        <v>4973</v>
      </c>
      <c r="I1623" s="2" t="s">
        <v>4974</v>
      </c>
      <c r="J1623" s="2" t="s">
        <v>785</v>
      </c>
      <c r="K1623" s="2" t="s">
        <v>1263</v>
      </c>
      <c r="L1623" s="3">
        <v>23.8</v>
      </c>
      <c r="M1623" s="3">
        <v>24.99</v>
      </c>
      <c r="N1623" s="3">
        <v>49.99</v>
      </c>
      <c r="O1623" s="2" t="s">
        <v>473</v>
      </c>
      <c r="P1623" s="2" t="s">
        <v>447</v>
      </c>
      <c r="Q1623" s="2" t="s">
        <v>99</v>
      </c>
      <c r="R1623" s="2" t="s">
        <v>100</v>
      </c>
      <c r="S1623" s="2" t="s">
        <v>4981</v>
      </c>
      <c r="T1623" s="2" t="s">
        <v>787</v>
      </c>
      <c r="U1623" s="2" t="s">
        <v>1508</v>
      </c>
      <c r="V1623" s="2" t="s">
        <v>645</v>
      </c>
      <c r="W1623" s="2" t="s">
        <v>105</v>
      </c>
      <c r="X1623" s="2" t="s">
        <v>1064</v>
      </c>
      <c r="Y1623" s="2" t="s">
        <v>4672</v>
      </c>
      <c r="Z1623" s="4">
        <v>2862</v>
      </c>
      <c r="AA1623" s="4">
        <f>=ROUNDDOWN(357.75,0)</f>
      </c>
      <c r="AB1623" s="5">
        <v>8</v>
      </c>
      <c r="AC1623" s="2" t="s">
        <v>100</v>
      </c>
      <c r="AD1623" s="4"/>
      <c r="AE1623" s="4"/>
      <c r="AF1623" s="6">
        <v>63</v>
      </c>
      <c r="AG1623" s="6">
        <v>46</v>
      </c>
      <c r="AH1623" s="7">
        <v>1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>
        <v>0</v>
      </c>
      <c r="AP1623" s="4"/>
      <c r="AQ1623" s="8"/>
      <c r="AR1623" s="4"/>
      <c r="AS1623" s="8"/>
      <c r="AT1623" s="7"/>
      <c r="AU1623" s="7"/>
      <c r="AV1623" s="4" t="s">
        <v>100</v>
      </c>
      <c r="AW1623" s="8" t="s">
        <v>100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/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 t="s">
        <v>100</v>
      </c>
      <c r="BJ1623" s="4">
        <v>4</v>
      </c>
      <c r="BK1623" s="8">
        <v>79.75</v>
      </c>
      <c r="BL1623" s="2" t="s">
        <v>4983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109</v>
      </c>
      <c r="BV1623" s="2" t="s">
        <v>97</v>
      </c>
      <c r="BW1623" s="2" t="s">
        <v>3735</v>
      </c>
      <c r="BX1623" s="2" t="s">
        <v>100</v>
      </c>
      <c r="BY1623" s="2" t="s">
        <v>112</v>
      </c>
      <c r="BZ1623" s="2" t="s">
        <v>100</v>
      </c>
    </row>
    <row r="1624">
      <c r="A1624" s="2" t="s">
        <v>4984</v>
      </c>
      <c r="B1624" s="2" t="s">
        <v>87</v>
      </c>
      <c r="C1624" s="2" t="s">
        <v>4613</v>
      </c>
      <c r="D1624" s="2" t="s">
        <v>89</v>
      </c>
      <c r="E1624" s="2" t="s">
        <v>90</v>
      </c>
      <c r="F1624" s="2" t="s">
        <v>4973</v>
      </c>
      <c r="G1624" s="2" t="s">
        <v>4973</v>
      </c>
      <c r="H1624" s="2" t="s">
        <v>4973</v>
      </c>
      <c r="I1624" s="2" t="s">
        <v>4974</v>
      </c>
      <c r="J1624" s="2" t="s">
        <v>795</v>
      </c>
      <c r="K1624" s="2" t="s">
        <v>1263</v>
      </c>
      <c r="L1624" s="3">
        <v>26.19</v>
      </c>
      <c r="M1624" s="3">
        <v>27.5</v>
      </c>
      <c r="N1624" s="3">
        <v>54.99</v>
      </c>
      <c r="O1624" s="2" t="s">
        <v>473</v>
      </c>
      <c r="P1624" s="2" t="s">
        <v>447</v>
      </c>
      <c r="Q1624" s="2" t="s">
        <v>99</v>
      </c>
      <c r="R1624" s="2" t="s">
        <v>100</v>
      </c>
      <c r="S1624" s="2" t="s">
        <v>4981</v>
      </c>
      <c r="T1624" s="2" t="s">
        <v>787</v>
      </c>
      <c r="U1624" s="2" t="s">
        <v>1508</v>
      </c>
      <c r="V1624" s="2" t="s">
        <v>645</v>
      </c>
      <c r="W1624" s="2" t="s">
        <v>105</v>
      </c>
      <c r="X1624" s="2" t="s">
        <v>1064</v>
      </c>
      <c r="Y1624" s="2" t="s">
        <v>2890</v>
      </c>
      <c r="Z1624" s="4">
        <v>570</v>
      </c>
      <c r="AA1624" s="4">
        <f>=ROUNDDOWN(81.4285714285714,0)</f>
      </c>
      <c r="AB1624" s="5">
        <v>7</v>
      </c>
      <c r="AC1624" s="2" t="s">
        <v>100</v>
      </c>
      <c r="AD1624" s="4"/>
      <c r="AE1624" s="4"/>
      <c r="AF1624" s="6">
        <v>63</v>
      </c>
      <c r="AG1624" s="6">
        <v>46</v>
      </c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>
        <v>0</v>
      </c>
      <c r="AP1624" s="4"/>
      <c r="AQ1624" s="8"/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/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 t="s">
        <v>100</v>
      </c>
      <c r="BJ1624" s="4">
        <v>3</v>
      </c>
      <c r="BK1624" s="8">
        <v>78.57</v>
      </c>
      <c r="BL1624" s="2" t="s">
        <v>2799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109</v>
      </c>
      <c r="BV1624" s="2" t="s">
        <v>97</v>
      </c>
      <c r="BW1624" s="2" t="s">
        <v>3735</v>
      </c>
      <c r="BX1624" s="2" t="s">
        <v>4740</v>
      </c>
      <c r="BY1624" s="2" t="s">
        <v>112</v>
      </c>
      <c r="BZ1624" s="2" t="s">
        <v>100</v>
      </c>
    </row>
    <row r="1625">
      <c r="A1625" s="2" t="s">
        <v>4985</v>
      </c>
      <c r="B1625" s="2" t="s">
        <v>87</v>
      </c>
      <c r="C1625" s="2" t="s">
        <v>4613</v>
      </c>
      <c r="D1625" s="2" t="s">
        <v>89</v>
      </c>
      <c r="E1625" s="2" t="s">
        <v>90</v>
      </c>
      <c r="F1625" s="2" t="s">
        <v>4973</v>
      </c>
      <c r="G1625" s="2" t="s">
        <v>4973</v>
      </c>
      <c r="H1625" s="2" t="s">
        <v>4973</v>
      </c>
      <c r="I1625" s="2" t="s">
        <v>4974</v>
      </c>
      <c r="J1625" s="2" t="s">
        <v>673</v>
      </c>
      <c r="K1625" s="2" t="s">
        <v>175</v>
      </c>
      <c r="L1625" s="3">
        <v>19.04</v>
      </c>
      <c r="M1625" s="3">
        <v>19.99</v>
      </c>
      <c r="N1625" s="3">
        <v>39.99</v>
      </c>
      <c r="O1625" s="2" t="s">
        <v>473</v>
      </c>
      <c r="P1625" s="2" t="s">
        <v>447</v>
      </c>
      <c r="Q1625" s="2" t="s">
        <v>99</v>
      </c>
      <c r="R1625" s="2" t="s">
        <v>100</v>
      </c>
      <c r="S1625" s="2" t="s">
        <v>4986</v>
      </c>
      <c r="T1625" s="2" t="s">
        <v>787</v>
      </c>
      <c r="U1625" s="2" t="s">
        <v>2150</v>
      </c>
      <c r="V1625" s="2" t="s">
        <v>645</v>
      </c>
      <c r="W1625" s="2" t="s">
        <v>105</v>
      </c>
      <c r="X1625" s="2" t="s">
        <v>1064</v>
      </c>
      <c r="Y1625" s="2" t="s">
        <v>4672</v>
      </c>
      <c r="Z1625" s="4">
        <v>174</v>
      </c>
      <c r="AA1625" s="4">
        <f>=ROUNDDOWN(43.5,0)</f>
      </c>
      <c r="AB1625" s="5">
        <v>4</v>
      </c>
      <c r="AC1625" s="2" t="s">
        <v>100</v>
      </c>
      <c r="AD1625" s="4"/>
      <c r="AE1625" s="4"/>
      <c r="AF1625" s="6">
        <v>63</v>
      </c>
      <c r="AG1625" s="6">
        <v>46</v>
      </c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>
        <v>0</v>
      </c>
      <c r="AP1625" s="4"/>
      <c r="AQ1625" s="8"/>
      <c r="AR1625" s="4"/>
      <c r="AS1625" s="8"/>
      <c r="AT1625" s="7"/>
      <c r="AU1625" s="7"/>
      <c r="AV1625" s="4" t="s">
        <v>100</v>
      </c>
      <c r="AW1625" s="8" t="s">
        <v>100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/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 t="s">
        <v>100</v>
      </c>
      <c r="BJ1625" s="4">
        <v>1</v>
      </c>
      <c r="BK1625" s="8">
        <v>19.04</v>
      </c>
      <c r="BL1625" s="2" t="s">
        <v>715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109</v>
      </c>
      <c r="BV1625" s="2" t="s">
        <v>97</v>
      </c>
      <c r="BW1625" s="2" t="s">
        <v>3735</v>
      </c>
      <c r="BX1625" s="2" t="s">
        <v>100</v>
      </c>
      <c r="BY1625" s="2" t="s">
        <v>112</v>
      </c>
      <c r="BZ1625" s="2" t="s">
        <v>100</v>
      </c>
    </row>
    <row r="1626">
      <c r="A1626" s="2" t="s">
        <v>4987</v>
      </c>
      <c r="B1626" s="2" t="s">
        <v>87</v>
      </c>
      <c r="C1626" s="2" t="s">
        <v>4613</v>
      </c>
      <c r="D1626" s="2" t="s">
        <v>89</v>
      </c>
      <c r="E1626" s="2" t="s">
        <v>90</v>
      </c>
      <c r="F1626" s="2" t="s">
        <v>4973</v>
      </c>
      <c r="G1626" s="2" t="s">
        <v>4973</v>
      </c>
      <c r="H1626" s="2" t="s">
        <v>4973</v>
      </c>
      <c r="I1626" s="2" t="s">
        <v>4974</v>
      </c>
      <c r="J1626" s="2" t="s">
        <v>785</v>
      </c>
      <c r="K1626" s="2" t="s">
        <v>175</v>
      </c>
      <c r="L1626" s="3">
        <v>23.8</v>
      </c>
      <c r="M1626" s="3">
        <v>24.99</v>
      </c>
      <c r="N1626" s="3">
        <v>49.99</v>
      </c>
      <c r="O1626" s="2" t="s">
        <v>473</v>
      </c>
      <c r="P1626" s="2" t="s">
        <v>447</v>
      </c>
      <c r="Q1626" s="2" t="s">
        <v>99</v>
      </c>
      <c r="R1626" s="2" t="s">
        <v>100</v>
      </c>
      <c r="S1626" s="2" t="s">
        <v>4986</v>
      </c>
      <c r="T1626" s="2" t="s">
        <v>787</v>
      </c>
      <c r="U1626" s="2" t="s">
        <v>1508</v>
      </c>
      <c r="V1626" s="2" t="s">
        <v>645</v>
      </c>
      <c r="W1626" s="2" t="s">
        <v>105</v>
      </c>
      <c r="X1626" s="2" t="s">
        <v>1064</v>
      </c>
      <c r="Y1626" s="2" t="s">
        <v>4672</v>
      </c>
      <c r="Z1626" s="4">
        <v>327</v>
      </c>
      <c r="AA1626" s="4">
        <f>=ROUNDDOWN(65.4,0)</f>
      </c>
      <c r="AB1626" s="5">
        <v>5</v>
      </c>
      <c r="AC1626" s="2" t="s">
        <v>100</v>
      </c>
      <c r="AD1626" s="4"/>
      <c r="AE1626" s="4"/>
      <c r="AF1626" s="6">
        <v>63</v>
      </c>
      <c r="AG1626" s="6">
        <v>46</v>
      </c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>
        <v>0</v>
      </c>
      <c r="AP1626" s="4"/>
      <c r="AQ1626" s="8"/>
      <c r="AR1626" s="4"/>
      <c r="AS1626" s="8"/>
      <c r="AT1626" s="7"/>
      <c r="AU1626" s="7"/>
      <c r="AV1626" s="4" t="s">
        <v>100</v>
      </c>
      <c r="AW1626" s="8" t="s">
        <v>100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/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 t="s">
        <v>100</v>
      </c>
      <c r="BJ1626" s="4"/>
      <c r="BK1626" s="8"/>
      <c r="BL1626" s="2" t="s">
        <v>100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109</v>
      </c>
      <c r="BV1626" s="2" t="s">
        <v>97</v>
      </c>
      <c r="BW1626" s="2" t="s">
        <v>3735</v>
      </c>
      <c r="BX1626" s="2" t="s">
        <v>4773</v>
      </c>
      <c r="BY1626" s="2" t="s">
        <v>112</v>
      </c>
      <c r="BZ1626" s="2" t="s">
        <v>100</v>
      </c>
    </row>
    <row r="1627">
      <c r="A1627" s="2" t="s">
        <v>4988</v>
      </c>
      <c r="B1627" s="2" t="s">
        <v>87</v>
      </c>
      <c r="C1627" s="2" t="s">
        <v>4613</v>
      </c>
      <c r="D1627" s="2" t="s">
        <v>89</v>
      </c>
      <c r="E1627" s="2" t="s">
        <v>90</v>
      </c>
      <c r="F1627" s="2" t="s">
        <v>4973</v>
      </c>
      <c r="G1627" s="2" t="s">
        <v>4973</v>
      </c>
      <c r="H1627" s="2" t="s">
        <v>4973</v>
      </c>
      <c r="I1627" s="2" t="s">
        <v>4974</v>
      </c>
      <c r="J1627" s="2" t="s">
        <v>795</v>
      </c>
      <c r="K1627" s="2" t="s">
        <v>175</v>
      </c>
      <c r="L1627" s="3">
        <v>26.19</v>
      </c>
      <c r="M1627" s="3">
        <v>27.5</v>
      </c>
      <c r="N1627" s="3">
        <v>54.99</v>
      </c>
      <c r="O1627" s="2" t="s">
        <v>473</v>
      </c>
      <c r="P1627" s="2" t="s">
        <v>447</v>
      </c>
      <c r="Q1627" s="2" t="s">
        <v>99</v>
      </c>
      <c r="R1627" s="2" t="s">
        <v>100</v>
      </c>
      <c r="S1627" s="2" t="s">
        <v>4986</v>
      </c>
      <c r="T1627" s="2" t="s">
        <v>787</v>
      </c>
      <c r="U1627" s="2" t="s">
        <v>1508</v>
      </c>
      <c r="V1627" s="2" t="s">
        <v>645</v>
      </c>
      <c r="W1627" s="2" t="s">
        <v>105</v>
      </c>
      <c r="X1627" s="2" t="s">
        <v>1064</v>
      </c>
      <c r="Y1627" s="2" t="s">
        <v>2890</v>
      </c>
      <c r="Z1627" s="4">
        <v>506</v>
      </c>
      <c r="AA1627" s="4">
        <f>=ROUNDDOWN(72.2857142857143,0)</f>
      </c>
      <c r="AB1627" s="5">
        <v>7</v>
      </c>
      <c r="AC1627" s="2" t="s">
        <v>100</v>
      </c>
      <c r="AD1627" s="4"/>
      <c r="AE1627" s="4"/>
      <c r="AF1627" s="6">
        <v>63</v>
      </c>
      <c r="AG1627" s="6">
        <v>46</v>
      </c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>
        <v>0</v>
      </c>
      <c r="AP1627" s="4"/>
      <c r="AQ1627" s="8"/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/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 t="s">
        <v>100</v>
      </c>
      <c r="BJ1627" s="4">
        <v>2</v>
      </c>
      <c r="BK1627" s="8">
        <v>52.38</v>
      </c>
      <c r="BL1627" s="2" t="s">
        <v>715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109</v>
      </c>
      <c r="BV1627" s="2" t="s">
        <v>97</v>
      </c>
      <c r="BW1627" s="2" t="s">
        <v>3735</v>
      </c>
      <c r="BX1627" s="2" t="s">
        <v>4751</v>
      </c>
      <c r="BY1627" s="2" t="s">
        <v>112</v>
      </c>
      <c r="BZ1627" s="2" t="s">
        <v>100</v>
      </c>
    </row>
    <row r="1628">
      <c r="A1628" s="2" t="s">
        <v>4989</v>
      </c>
      <c r="B1628" s="2" t="s">
        <v>87</v>
      </c>
      <c r="C1628" s="2" t="s">
        <v>4613</v>
      </c>
      <c r="D1628" s="2" t="s">
        <v>89</v>
      </c>
      <c r="E1628" s="2" t="s">
        <v>90</v>
      </c>
      <c r="F1628" s="2" t="s">
        <v>4890</v>
      </c>
      <c r="G1628" s="2" t="s">
        <v>4891</v>
      </c>
      <c r="H1628" s="2" t="s">
        <v>4892</v>
      </c>
      <c r="I1628" s="2" t="s">
        <v>4990</v>
      </c>
      <c r="J1628" s="2" t="s">
        <v>673</v>
      </c>
      <c r="K1628" s="2" t="s">
        <v>1263</v>
      </c>
      <c r="L1628" s="3">
        <v>19.04</v>
      </c>
      <c r="M1628" s="3">
        <v>19.99</v>
      </c>
      <c r="N1628" s="3">
        <v>39.99</v>
      </c>
      <c r="O1628" s="2" t="s">
        <v>473</v>
      </c>
      <c r="P1628" s="2" t="s">
        <v>447</v>
      </c>
      <c r="Q1628" s="2" t="s">
        <v>99</v>
      </c>
      <c r="R1628" s="2" t="s">
        <v>100</v>
      </c>
      <c r="S1628" s="2" t="s">
        <v>4991</v>
      </c>
      <c r="T1628" s="2" t="s">
        <v>787</v>
      </c>
      <c r="U1628" s="2" t="s">
        <v>2150</v>
      </c>
      <c r="V1628" s="2" t="s">
        <v>677</v>
      </c>
      <c r="W1628" s="2" t="s">
        <v>788</v>
      </c>
      <c r="X1628" s="2" t="s">
        <v>105</v>
      </c>
      <c r="Y1628" s="2" t="s">
        <v>2890</v>
      </c>
      <c r="Z1628" s="4">
        <v>168</v>
      </c>
      <c r="AA1628" s="4">
        <f>=ROUNDDOWN(56,0)</f>
      </c>
      <c r="AB1628" s="5">
        <v>3</v>
      </c>
      <c r="AC1628" s="2" t="s">
        <v>100</v>
      </c>
      <c r="AD1628" s="4"/>
      <c r="AE1628" s="4"/>
      <c r="AF1628" s="6">
        <v>63</v>
      </c>
      <c r="AG1628" s="6">
        <v>46</v>
      </c>
      <c r="AH1628" s="7">
        <v>1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>
        <v>0</v>
      </c>
      <c r="AP1628" s="4"/>
      <c r="AQ1628" s="8"/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/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/>
      <c r="BJ1628" s="4">
        <v>3</v>
      </c>
      <c r="BK1628" s="8">
        <v>50.34</v>
      </c>
      <c r="BL1628" s="2" t="s">
        <v>715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109</v>
      </c>
      <c r="BV1628" s="2" t="s">
        <v>97</v>
      </c>
      <c r="BW1628" s="2" t="s">
        <v>3735</v>
      </c>
      <c r="BX1628" s="2" t="s">
        <v>100</v>
      </c>
      <c r="BY1628" s="2" t="s">
        <v>112</v>
      </c>
      <c r="BZ1628" s="2" t="s">
        <v>100</v>
      </c>
    </row>
    <row r="1629">
      <c r="A1629" s="2" t="s">
        <v>4992</v>
      </c>
      <c r="B1629" s="2" t="s">
        <v>87</v>
      </c>
      <c r="C1629" s="2" t="s">
        <v>4613</v>
      </c>
      <c r="D1629" s="2" t="s">
        <v>89</v>
      </c>
      <c r="E1629" s="2" t="s">
        <v>90</v>
      </c>
      <c r="F1629" s="2" t="s">
        <v>4890</v>
      </c>
      <c r="G1629" s="2" t="s">
        <v>4891</v>
      </c>
      <c r="H1629" s="2" t="s">
        <v>4892</v>
      </c>
      <c r="I1629" s="2" t="s">
        <v>4990</v>
      </c>
      <c r="J1629" s="2" t="s">
        <v>785</v>
      </c>
      <c r="K1629" s="2" t="s">
        <v>1263</v>
      </c>
      <c r="L1629" s="3">
        <v>23.8</v>
      </c>
      <c r="M1629" s="3">
        <v>24.99</v>
      </c>
      <c r="N1629" s="3">
        <v>49.99</v>
      </c>
      <c r="O1629" s="2" t="s">
        <v>473</v>
      </c>
      <c r="P1629" s="2" t="s">
        <v>447</v>
      </c>
      <c r="Q1629" s="2" t="s">
        <v>99</v>
      </c>
      <c r="R1629" s="2" t="s">
        <v>100</v>
      </c>
      <c r="S1629" s="2" t="s">
        <v>4991</v>
      </c>
      <c r="T1629" s="2" t="s">
        <v>787</v>
      </c>
      <c r="U1629" s="2" t="s">
        <v>1508</v>
      </c>
      <c r="V1629" s="2" t="s">
        <v>677</v>
      </c>
      <c r="W1629" s="2" t="s">
        <v>788</v>
      </c>
      <c r="X1629" s="2" t="s">
        <v>105</v>
      </c>
      <c r="Y1629" s="2" t="s">
        <v>2129</v>
      </c>
      <c r="Z1629" s="4">
        <v>2343</v>
      </c>
      <c r="AA1629" s="4">
        <f>=ROUNDDOWN(585.75,0)</f>
      </c>
      <c r="AB1629" s="5">
        <v>4</v>
      </c>
      <c r="AC1629" s="2" t="s">
        <v>100</v>
      </c>
      <c r="AD1629" s="4"/>
      <c r="AE1629" s="4"/>
      <c r="AF1629" s="6">
        <v>63</v>
      </c>
      <c r="AG1629" s="6">
        <v>46</v>
      </c>
      <c r="AH1629" s="7">
        <v>1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>
        <v>0</v>
      </c>
      <c r="AP1629" s="4"/>
      <c r="AQ1629" s="8"/>
      <c r="AR1629" s="4"/>
      <c r="AS1629" s="8"/>
      <c r="AT1629" s="7"/>
      <c r="AU1629" s="7"/>
      <c r="AV1629" s="4" t="s">
        <v>100</v>
      </c>
      <c r="AW1629" s="8" t="s">
        <v>100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/>
      <c r="BC1629" s="4" t="s">
        <v>100</v>
      </c>
      <c r="BD1629" s="8" t="s">
        <v>100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/>
      <c r="BJ1629" s="4">
        <v>13</v>
      </c>
      <c r="BK1629" s="8">
        <v>262.91</v>
      </c>
      <c r="BL1629" s="2" t="s">
        <v>412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109</v>
      </c>
      <c r="BV1629" s="2" t="s">
        <v>97</v>
      </c>
      <c r="BW1629" s="2" t="s">
        <v>3735</v>
      </c>
      <c r="BX1629" s="2" t="s">
        <v>4993</v>
      </c>
      <c r="BY1629" s="2" t="s">
        <v>112</v>
      </c>
      <c r="BZ1629" s="2" t="s">
        <v>100</v>
      </c>
    </row>
    <row r="1630">
      <c r="A1630" s="2" t="s">
        <v>4994</v>
      </c>
      <c r="B1630" s="2" t="s">
        <v>87</v>
      </c>
      <c r="C1630" s="2" t="s">
        <v>4613</v>
      </c>
      <c r="D1630" s="2" t="s">
        <v>89</v>
      </c>
      <c r="E1630" s="2" t="s">
        <v>90</v>
      </c>
      <c r="F1630" s="2" t="s">
        <v>4890</v>
      </c>
      <c r="G1630" s="2" t="s">
        <v>4891</v>
      </c>
      <c r="H1630" s="2" t="s">
        <v>4892</v>
      </c>
      <c r="I1630" s="2" t="s">
        <v>4990</v>
      </c>
      <c r="J1630" s="2" t="s">
        <v>795</v>
      </c>
      <c r="K1630" s="2" t="s">
        <v>1263</v>
      </c>
      <c r="L1630" s="3">
        <v>26.19</v>
      </c>
      <c r="M1630" s="3">
        <v>27.5</v>
      </c>
      <c r="N1630" s="3">
        <v>54.99</v>
      </c>
      <c r="O1630" s="2" t="s">
        <v>473</v>
      </c>
      <c r="P1630" s="2" t="s">
        <v>447</v>
      </c>
      <c r="Q1630" s="2" t="s">
        <v>99</v>
      </c>
      <c r="R1630" s="2" t="s">
        <v>100</v>
      </c>
      <c r="S1630" s="2" t="s">
        <v>4991</v>
      </c>
      <c r="T1630" s="2" t="s">
        <v>787</v>
      </c>
      <c r="U1630" s="2" t="s">
        <v>1508</v>
      </c>
      <c r="V1630" s="2" t="s">
        <v>677</v>
      </c>
      <c r="W1630" s="2" t="s">
        <v>788</v>
      </c>
      <c r="X1630" s="2" t="s">
        <v>105</v>
      </c>
      <c r="Y1630" s="2" t="s">
        <v>2129</v>
      </c>
      <c r="Z1630" s="4">
        <v>373</v>
      </c>
      <c r="AA1630" s="4">
        <f>=ROUNDDOWN(74.6,0)</f>
      </c>
      <c r="AB1630" s="5">
        <v>5</v>
      </c>
      <c r="AC1630" s="2" t="s">
        <v>100</v>
      </c>
      <c r="AD1630" s="4"/>
      <c r="AE1630" s="4"/>
      <c r="AF1630" s="6">
        <v>63</v>
      </c>
      <c r="AG1630" s="6">
        <v>46</v>
      </c>
      <c r="AH1630" s="7">
        <v>1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>
        <v>0</v>
      </c>
      <c r="AP1630" s="4"/>
      <c r="AQ1630" s="8"/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/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/>
      <c r="BJ1630" s="4">
        <v>9</v>
      </c>
      <c r="BK1630" s="8">
        <v>203.01</v>
      </c>
      <c r="BL1630" s="2" t="s">
        <v>813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109</v>
      </c>
      <c r="BV1630" s="2" t="s">
        <v>97</v>
      </c>
      <c r="BW1630" s="2" t="s">
        <v>3735</v>
      </c>
      <c r="BX1630" s="2" t="s">
        <v>100</v>
      </c>
      <c r="BY1630" s="2" t="s">
        <v>112</v>
      </c>
      <c r="BZ1630" s="2" t="s">
        <v>100</v>
      </c>
    </row>
    <row r="1631">
      <c r="A1631" s="2" t="s">
        <v>4995</v>
      </c>
      <c r="B1631" s="2" t="s">
        <v>87</v>
      </c>
      <c r="C1631" s="2" t="s">
        <v>4613</v>
      </c>
      <c r="D1631" s="2" t="s">
        <v>89</v>
      </c>
      <c r="E1631" s="2" t="s">
        <v>90</v>
      </c>
      <c r="F1631" s="2" t="s">
        <v>4890</v>
      </c>
      <c r="G1631" s="2" t="s">
        <v>4891</v>
      </c>
      <c r="H1631" s="2" t="s">
        <v>4892</v>
      </c>
      <c r="I1631" s="2" t="s">
        <v>4990</v>
      </c>
      <c r="J1631" s="2" t="s">
        <v>673</v>
      </c>
      <c r="K1631" s="2" t="s">
        <v>4293</v>
      </c>
      <c r="L1631" s="3">
        <v>19.04</v>
      </c>
      <c r="M1631" s="3">
        <v>19.99</v>
      </c>
      <c r="N1631" s="3">
        <v>39.99</v>
      </c>
      <c r="O1631" s="2" t="s">
        <v>473</v>
      </c>
      <c r="P1631" s="2" t="s">
        <v>447</v>
      </c>
      <c r="Q1631" s="2" t="s">
        <v>99</v>
      </c>
      <c r="R1631" s="2" t="s">
        <v>100</v>
      </c>
      <c r="S1631" s="2" t="s">
        <v>4996</v>
      </c>
      <c r="T1631" s="2" t="s">
        <v>787</v>
      </c>
      <c r="U1631" s="2" t="s">
        <v>2150</v>
      </c>
      <c r="V1631" s="2" t="s">
        <v>677</v>
      </c>
      <c r="W1631" s="2" t="s">
        <v>788</v>
      </c>
      <c r="X1631" s="2" t="s">
        <v>105</v>
      </c>
      <c r="Y1631" s="2" t="s">
        <v>2890</v>
      </c>
      <c r="Z1631" s="4">
        <v>223</v>
      </c>
      <c r="AA1631" s="4">
        <f>=ROUNDDOWN(55.75,0)</f>
      </c>
      <c r="AB1631" s="5">
        <v>4</v>
      </c>
      <c r="AC1631" s="2" t="s">
        <v>100</v>
      </c>
      <c r="AD1631" s="4"/>
      <c r="AE1631" s="4"/>
      <c r="AF1631" s="6">
        <v>63</v>
      </c>
      <c r="AG1631" s="6">
        <v>46</v>
      </c>
      <c r="AH1631" s="7">
        <v>1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>
        <v>0</v>
      </c>
      <c r="AP1631" s="4"/>
      <c r="AQ1631" s="8"/>
      <c r="AR1631" s="4"/>
      <c r="AS1631" s="8"/>
      <c r="AT1631" s="7"/>
      <c r="AU1631" s="7"/>
      <c r="AV1631" s="4" t="s">
        <v>100</v>
      </c>
      <c r="AW1631" s="8" t="s">
        <v>100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/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/>
      <c r="BJ1631" s="4">
        <v>12</v>
      </c>
      <c r="BK1631" s="8">
        <v>226.8</v>
      </c>
      <c r="BL1631" s="2" t="s">
        <v>1077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109</v>
      </c>
      <c r="BV1631" s="2" t="s">
        <v>97</v>
      </c>
      <c r="BW1631" s="2" t="s">
        <v>3735</v>
      </c>
      <c r="BX1631" s="2" t="s">
        <v>1168</v>
      </c>
      <c r="BY1631" s="2" t="s">
        <v>112</v>
      </c>
      <c r="BZ1631" s="2" t="s">
        <v>100</v>
      </c>
    </row>
    <row r="1632">
      <c r="A1632" s="2" t="s">
        <v>4997</v>
      </c>
      <c r="B1632" s="2" t="s">
        <v>87</v>
      </c>
      <c r="C1632" s="2" t="s">
        <v>4613</v>
      </c>
      <c r="D1632" s="2" t="s">
        <v>89</v>
      </c>
      <c r="E1632" s="2" t="s">
        <v>90</v>
      </c>
      <c r="F1632" s="2" t="s">
        <v>4890</v>
      </c>
      <c r="G1632" s="2" t="s">
        <v>4891</v>
      </c>
      <c r="H1632" s="2" t="s">
        <v>4892</v>
      </c>
      <c r="I1632" s="2" t="s">
        <v>4990</v>
      </c>
      <c r="J1632" s="2" t="s">
        <v>785</v>
      </c>
      <c r="K1632" s="2" t="s">
        <v>4293</v>
      </c>
      <c r="L1632" s="3">
        <v>23.8</v>
      </c>
      <c r="M1632" s="3">
        <v>24.99</v>
      </c>
      <c r="N1632" s="3">
        <v>49.99</v>
      </c>
      <c r="O1632" s="2" t="s">
        <v>473</v>
      </c>
      <c r="P1632" s="2" t="s">
        <v>447</v>
      </c>
      <c r="Q1632" s="2" t="s">
        <v>99</v>
      </c>
      <c r="R1632" s="2" t="s">
        <v>100</v>
      </c>
      <c r="S1632" s="2" t="s">
        <v>4996</v>
      </c>
      <c r="T1632" s="2" t="s">
        <v>787</v>
      </c>
      <c r="U1632" s="2" t="s">
        <v>1508</v>
      </c>
      <c r="V1632" s="2" t="s">
        <v>677</v>
      </c>
      <c r="W1632" s="2" t="s">
        <v>788</v>
      </c>
      <c r="X1632" s="2" t="s">
        <v>105</v>
      </c>
      <c r="Y1632" s="2" t="s">
        <v>2890</v>
      </c>
      <c r="Z1632" s="4">
        <v>730</v>
      </c>
      <c r="AA1632" s="4">
        <f>=ROUNDDOWN(56.1538461538462,0)</f>
      </c>
      <c r="AB1632" s="5">
        <v>13</v>
      </c>
      <c r="AC1632" s="2" t="s">
        <v>2552</v>
      </c>
      <c r="AD1632" s="4">
        <v>300</v>
      </c>
      <c r="AE1632" s="4">
        <v>300</v>
      </c>
      <c r="AF1632" s="6">
        <v>63</v>
      </c>
      <c r="AG1632" s="6">
        <v>46</v>
      </c>
      <c r="AH1632" s="7">
        <v>1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>
        <v>0</v>
      </c>
      <c r="AP1632" s="4"/>
      <c r="AQ1632" s="8"/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/>
      <c r="BJ1632" s="4">
        <v>11</v>
      </c>
      <c r="BK1632" s="8">
        <v>221.94</v>
      </c>
      <c r="BL1632" s="2" t="s">
        <v>736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109</v>
      </c>
      <c r="BV1632" s="2" t="s">
        <v>97</v>
      </c>
      <c r="BW1632" s="2" t="s">
        <v>3735</v>
      </c>
      <c r="BX1632" s="2" t="s">
        <v>4740</v>
      </c>
      <c r="BY1632" s="2" t="s">
        <v>112</v>
      </c>
      <c r="BZ1632" s="2" t="s">
        <v>100</v>
      </c>
    </row>
    <row r="1633">
      <c r="A1633" s="2" t="s">
        <v>4998</v>
      </c>
      <c r="B1633" s="2" t="s">
        <v>87</v>
      </c>
      <c r="C1633" s="2" t="s">
        <v>4613</v>
      </c>
      <c r="D1633" s="2" t="s">
        <v>89</v>
      </c>
      <c r="E1633" s="2" t="s">
        <v>90</v>
      </c>
      <c r="F1633" s="2" t="s">
        <v>4890</v>
      </c>
      <c r="G1633" s="2" t="s">
        <v>4891</v>
      </c>
      <c r="H1633" s="2" t="s">
        <v>4892</v>
      </c>
      <c r="I1633" s="2" t="s">
        <v>4990</v>
      </c>
      <c r="J1633" s="2" t="s">
        <v>795</v>
      </c>
      <c r="K1633" s="2" t="s">
        <v>4293</v>
      </c>
      <c r="L1633" s="3">
        <v>26.19</v>
      </c>
      <c r="M1633" s="3">
        <v>27.5</v>
      </c>
      <c r="N1633" s="3">
        <v>54.99</v>
      </c>
      <c r="O1633" s="2" t="s">
        <v>473</v>
      </c>
      <c r="P1633" s="2" t="s">
        <v>447</v>
      </c>
      <c r="Q1633" s="2" t="s">
        <v>99</v>
      </c>
      <c r="R1633" s="2" t="s">
        <v>100</v>
      </c>
      <c r="S1633" s="2" t="s">
        <v>4996</v>
      </c>
      <c r="T1633" s="2" t="s">
        <v>787</v>
      </c>
      <c r="U1633" s="2" t="s">
        <v>1508</v>
      </c>
      <c r="V1633" s="2" t="s">
        <v>677</v>
      </c>
      <c r="W1633" s="2" t="s">
        <v>788</v>
      </c>
      <c r="X1633" s="2" t="s">
        <v>105</v>
      </c>
      <c r="Y1633" s="2" t="s">
        <v>2129</v>
      </c>
      <c r="Z1633" s="4">
        <v>566</v>
      </c>
      <c r="AA1633" s="4">
        <f>=ROUNDDOWN(94.3333333333333,0)</f>
      </c>
      <c r="AB1633" s="5">
        <v>6</v>
      </c>
      <c r="AC1633" s="2" t="s">
        <v>2552</v>
      </c>
      <c r="AD1633" s="4">
        <v>300</v>
      </c>
      <c r="AE1633" s="4">
        <v>300</v>
      </c>
      <c r="AF1633" s="6">
        <v>63</v>
      </c>
      <c r="AG1633" s="6">
        <v>46</v>
      </c>
      <c r="AH1633" s="7">
        <v>1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>
        <v>0</v>
      </c>
      <c r="AP1633" s="4"/>
      <c r="AQ1633" s="8"/>
      <c r="AR1633" s="4"/>
      <c r="AS1633" s="8"/>
      <c r="AT1633" s="7"/>
      <c r="AU1633" s="7"/>
      <c r="AV1633" s="4" t="s">
        <v>100</v>
      </c>
      <c r="AW1633" s="8" t="s">
        <v>100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/>
      <c r="BC1633" s="4" t="s">
        <v>100</v>
      </c>
      <c r="BD1633" s="8" t="s">
        <v>100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/>
      <c r="BJ1633" s="4">
        <v>14</v>
      </c>
      <c r="BK1633" s="8">
        <v>342.34</v>
      </c>
      <c r="BL1633" s="2" t="s">
        <v>760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109</v>
      </c>
      <c r="BV1633" s="2" t="s">
        <v>97</v>
      </c>
      <c r="BW1633" s="2" t="s">
        <v>3735</v>
      </c>
      <c r="BX1633" s="2" t="s">
        <v>1570</v>
      </c>
      <c r="BY1633" s="2" t="s">
        <v>112</v>
      </c>
      <c r="BZ1633" s="2" t="s">
        <v>100</v>
      </c>
    </row>
    <row r="1634">
      <c r="A1634" s="2" t="s">
        <v>4999</v>
      </c>
      <c r="B1634" s="2" t="s">
        <v>87</v>
      </c>
      <c r="C1634" s="2" t="s">
        <v>4613</v>
      </c>
      <c r="D1634" s="2" t="s">
        <v>89</v>
      </c>
      <c r="E1634" s="2" t="s">
        <v>90</v>
      </c>
      <c r="F1634" s="2" t="s">
        <v>4685</v>
      </c>
      <c r="G1634" s="2" t="s">
        <v>4686</v>
      </c>
      <c r="H1634" s="2" t="s">
        <v>4687</v>
      </c>
      <c r="I1634" s="2" t="s">
        <v>5000</v>
      </c>
      <c r="J1634" s="2" t="s">
        <v>673</v>
      </c>
      <c r="K1634" s="2" t="s">
        <v>1263</v>
      </c>
      <c r="L1634" s="3">
        <v>28.59</v>
      </c>
      <c r="M1634" s="3">
        <v>30.02</v>
      </c>
      <c r="N1634" s="3">
        <v>54.99</v>
      </c>
      <c r="O1634" s="2" t="s">
        <v>97</v>
      </c>
      <c r="P1634" s="2" t="s">
        <v>242</v>
      </c>
      <c r="Q1634" s="2" t="s">
        <v>99</v>
      </c>
      <c r="R1634" s="2" t="s">
        <v>100</v>
      </c>
      <c r="S1634" s="2" t="s">
        <v>4699</v>
      </c>
      <c r="T1634" s="2" t="s">
        <v>787</v>
      </c>
      <c r="U1634" s="2" t="s">
        <v>644</v>
      </c>
      <c r="V1634" s="2" t="s">
        <v>645</v>
      </c>
      <c r="W1634" s="2" t="s">
        <v>976</v>
      </c>
      <c r="X1634" s="2" t="s">
        <v>105</v>
      </c>
      <c r="Y1634" s="2" t="s">
        <v>4693</v>
      </c>
      <c r="Z1634" s="4">
        <v>104</v>
      </c>
      <c r="AA1634" s="4">
        <f>=ROUNDDOWN(104,0)</f>
      </c>
      <c r="AB1634" s="5">
        <v>1</v>
      </c>
      <c r="AC1634" s="2" t="s">
        <v>2992</v>
      </c>
      <c r="AD1634" s="4">
        <v>24</v>
      </c>
      <c r="AE1634" s="4">
        <v>24</v>
      </c>
      <c r="AF1634" s="6">
        <v>63</v>
      </c>
      <c r="AG1634" s="6">
        <v>46</v>
      </c>
      <c r="AH1634" s="7">
        <v>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>
        <v>0</v>
      </c>
      <c r="AP1634" s="4"/>
      <c r="AQ1634" s="8"/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/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/>
      <c r="BJ1634" s="4">
        <v>6</v>
      </c>
      <c r="BK1634" s="8">
        <v>171</v>
      </c>
      <c r="BL1634" s="2" t="s">
        <v>625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109</v>
      </c>
      <c r="BV1634" s="2" t="s">
        <v>97</v>
      </c>
      <c r="BW1634" s="2" t="s">
        <v>3400</v>
      </c>
      <c r="BX1634" s="2" t="s">
        <v>100</v>
      </c>
      <c r="BY1634" s="2" t="s">
        <v>112</v>
      </c>
      <c r="BZ1634" s="2" t="s">
        <v>100</v>
      </c>
    </row>
    <row r="1635">
      <c r="A1635" s="2" t="s">
        <v>5001</v>
      </c>
      <c r="B1635" s="2" t="s">
        <v>87</v>
      </c>
      <c r="C1635" s="2" t="s">
        <v>4613</v>
      </c>
      <c r="D1635" s="2" t="s">
        <v>89</v>
      </c>
      <c r="E1635" s="2" t="s">
        <v>90</v>
      </c>
      <c r="F1635" s="2" t="s">
        <v>4685</v>
      </c>
      <c r="G1635" s="2" t="s">
        <v>4686</v>
      </c>
      <c r="H1635" s="2" t="s">
        <v>4687</v>
      </c>
      <c r="I1635" s="2" t="s">
        <v>5000</v>
      </c>
      <c r="J1635" s="2" t="s">
        <v>95</v>
      </c>
      <c r="K1635" s="2" t="s">
        <v>1263</v>
      </c>
      <c r="L1635" s="3">
        <v>31.19</v>
      </c>
      <c r="M1635" s="3">
        <v>32.75</v>
      </c>
      <c r="N1635" s="3">
        <v>59.99</v>
      </c>
      <c r="O1635" s="2" t="s">
        <v>97</v>
      </c>
      <c r="P1635" s="2" t="s">
        <v>242</v>
      </c>
      <c r="Q1635" s="2" t="s">
        <v>99</v>
      </c>
      <c r="R1635" s="2" t="s">
        <v>100</v>
      </c>
      <c r="S1635" s="2" t="s">
        <v>4699</v>
      </c>
      <c r="T1635" s="2" t="s">
        <v>787</v>
      </c>
      <c r="U1635" s="2" t="s">
        <v>102</v>
      </c>
      <c r="V1635" s="2" t="s">
        <v>645</v>
      </c>
      <c r="W1635" s="2" t="s">
        <v>976</v>
      </c>
      <c r="X1635" s="2" t="s">
        <v>105</v>
      </c>
      <c r="Y1635" s="2" t="s">
        <v>4693</v>
      </c>
      <c r="Z1635" s="4">
        <v>170</v>
      </c>
      <c r="AA1635" s="4">
        <f>=ROUNDDOWN(85,0)</f>
      </c>
      <c r="AB1635" s="5">
        <v>2</v>
      </c>
      <c r="AC1635" s="2" t="s">
        <v>2992</v>
      </c>
      <c r="AD1635" s="4">
        <v>30</v>
      </c>
      <c r="AE1635" s="4">
        <v>30</v>
      </c>
      <c r="AF1635" s="6">
        <v>63</v>
      </c>
      <c r="AG1635" s="6">
        <v>46</v>
      </c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>
        <v>0</v>
      </c>
      <c r="AP1635" s="4"/>
      <c r="AQ1635" s="8"/>
      <c r="AR1635" s="4"/>
      <c r="AS1635" s="8"/>
      <c r="AT1635" s="7"/>
      <c r="AU1635" s="7"/>
      <c r="AV1635" s="4" t="s">
        <v>100</v>
      </c>
      <c r="AW1635" s="8" t="s">
        <v>100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/>
      <c r="BC1635" s="4" t="s">
        <v>100</v>
      </c>
      <c r="BD1635" s="8" t="s">
        <v>100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/>
      <c r="BJ1635" s="4"/>
      <c r="BK1635" s="8"/>
      <c r="BL1635" s="2" t="s">
        <v>100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109</v>
      </c>
      <c r="BV1635" s="2" t="s">
        <v>97</v>
      </c>
      <c r="BW1635" s="2" t="s">
        <v>3400</v>
      </c>
      <c r="BX1635" s="2" t="s">
        <v>100</v>
      </c>
      <c r="BY1635" s="2" t="s">
        <v>112</v>
      </c>
      <c r="BZ1635" s="2" t="s">
        <v>100</v>
      </c>
    </row>
    <row r="1636">
      <c r="A1636" s="2" t="s">
        <v>5002</v>
      </c>
      <c r="B1636" s="2" t="s">
        <v>87</v>
      </c>
      <c r="C1636" s="2" t="s">
        <v>4613</v>
      </c>
      <c r="D1636" s="2" t="s">
        <v>89</v>
      </c>
      <c r="E1636" s="2" t="s">
        <v>90</v>
      </c>
      <c r="F1636" s="2" t="s">
        <v>4685</v>
      </c>
      <c r="G1636" s="2" t="s">
        <v>4686</v>
      </c>
      <c r="H1636" s="2" t="s">
        <v>4687</v>
      </c>
      <c r="I1636" s="2" t="s">
        <v>5000</v>
      </c>
      <c r="J1636" s="2" t="s">
        <v>114</v>
      </c>
      <c r="K1636" s="2" t="s">
        <v>1263</v>
      </c>
      <c r="L1636" s="3">
        <v>33.79</v>
      </c>
      <c r="M1636" s="3">
        <v>35.48</v>
      </c>
      <c r="N1636" s="3">
        <v>64.99</v>
      </c>
      <c r="O1636" s="2" t="s">
        <v>97</v>
      </c>
      <c r="P1636" s="2" t="s">
        <v>242</v>
      </c>
      <c r="Q1636" s="2" t="s">
        <v>99</v>
      </c>
      <c r="R1636" s="2" t="s">
        <v>100</v>
      </c>
      <c r="S1636" s="2" t="s">
        <v>4699</v>
      </c>
      <c r="T1636" s="2" t="s">
        <v>787</v>
      </c>
      <c r="U1636" s="2" t="s">
        <v>102</v>
      </c>
      <c r="V1636" s="2" t="s">
        <v>645</v>
      </c>
      <c r="W1636" s="2" t="s">
        <v>976</v>
      </c>
      <c r="X1636" s="2" t="s">
        <v>105</v>
      </c>
      <c r="Y1636" s="2" t="s">
        <v>4693</v>
      </c>
      <c r="Z1636" s="4">
        <v>2297</v>
      </c>
      <c r="AA1636" s="4">
        <f>=ROUNDDOWN(765.666666666667,0)</f>
      </c>
      <c r="AB1636" s="5">
        <v>3</v>
      </c>
      <c r="AC1636" s="2" t="s">
        <v>100</v>
      </c>
      <c r="AD1636" s="4"/>
      <c r="AE1636" s="4"/>
      <c r="AF1636" s="6">
        <v>63</v>
      </c>
      <c r="AG1636" s="6">
        <v>46</v>
      </c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>
        <v>0</v>
      </c>
      <c r="AP1636" s="4"/>
      <c r="AQ1636" s="8"/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/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/>
      <c r="BJ1636" s="4">
        <v>1</v>
      </c>
      <c r="BK1636" s="8">
        <v>38.32</v>
      </c>
      <c r="BL1636" s="2" t="s">
        <v>2115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109</v>
      </c>
      <c r="BV1636" s="2" t="s">
        <v>97</v>
      </c>
      <c r="BW1636" s="2" t="s">
        <v>3400</v>
      </c>
      <c r="BX1636" s="2" t="s">
        <v>100</v>
      </c>
      <c r="BY1636" s="2" t="s">
        <v>112</v>
      </c>
      <c r="BZ1636" s="2" t="s">
        <v>100</v>
      </c>
    </row>
    <row r="1637">
      <c r="A1637" s="2" t="s">
        <v>5003</v>
      </c>
      <c r="B1637" s="2" t="s">
        <v>87</v>
      </c>
      <c r="C1637" s="2" t="s">
        <v>4613</v>
      </c>
      <c r="D1637" s="2" t="s">
        <v>89</v>
      </c>
      <c r="E1637" s="2" t="s">
        <v>90</v>
      </c>
      <c r="F1637" s="2" t="s">
        <v>4685</v>
      </c>
      <c r="G1637" s="2" t="s">
        <v>4686</v>
      </c>
      <c r="H1637" s="2" t="s">
        <v>4687</v>
      </c>
      <c r="I1637" s="2" t="s">
        <v>5000</v>
      </c>
      <c r="J1637" s="2" t="s">
        <v>120</v>
      </c>
      <c r="K1637" s="2" t="s">
        <v>1263</v>
      </c>
      <c r="L1637" s="3">
        <v>38.99</v>
      </c>
      <c r="M1637" s="3">
        <v>40.94</v>
      </c>
      <c r="N1637" s="3">
        <v>74.99</v>
      </c>
      <c r="O1637" s="2" t="s">
        <v>97</v>
      </c>
      <c r="P1637" s="2" t="s">
        <v>242</v>
      </c>
      <c r="Q1637" s="2" t="s">
        <v>99</v>
      </c>
      <c r="R1637" s="2" t="s">
        <v>100</v>
      </c>
      <c r="S1637" s="2" t="s">
        <v>4699</v>
      </c>
      <c r="T1637" s="2" t="s">
        <v>787</v>
      </c>
      <c r="U1637" s="2" t="s">
        <v>102</v>
      </c>
      <c r="V1637" s="2" t="s">
        <v>645</v>
      </c>
      <c r="W1637" s="2" t="s">
        <v>976</v>
      </c>
      <c r="X1637" s="2" t="s">
        <v>105</v>
      </c>
      <c r="Y1637" s="2" t="s">
        <v>4693</v>
      </c>
      <c r="Z1637" s="4">
        <v>434</v>
      </c>
      <c r="AA1637" s="4">
        <f>=ROUNDDOWN(434,0)</f>
      </c>
      <c r="AB1637" s="5">
        <v>1</v>
      </c>
      <c r="AC1637" s="2" t="s">
        <v>2992</v>
      </c>
      <c r="AD1637" s="4">
        <v>99</v>
      </c>
      <c r="AE1637" s="4">
        <v>99</v>
      </c>
      <c r="AF1637" s="6">
        <v>63</v>
      </c>
      <c r="AG1637" s="6">
        <v>46</v>
      </c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>
        <v>0</v>
      </c>
      <c r="AP1637" s="4"/>
      <c r="AQ1637" s="8"/>
      <c r="AR1637" s="4"/>
      <c r="AS1637" s="8"/>
      <c r="AT1637" s="7"/>
      <c r="AU1637" s="7"/>
      <c r="AV1637" s="4" t="s">
        <v>100</v>
      </c>
      <c r="AW1637" s="8" t="s">
        <v>100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/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/>
      <c r="BJ1637" s="4"/>
      <c r="BK1637" s="8"/>
      <c r="BL1637" s="2" t="s">
        <v>100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109</v>
      </c>
      <c r="BV1637" s="2" t="s">
        <v>97</v>
      </c>
      <c r="BW1637" s="2" t="s">
        <v>3400</v>
      </c>
      <c r="BX1637" s="2" t="s">
        <v>100</v>
      </c>
      <c r="BY1637" s="2" t="s">
        <v>112</v>
      </c>
      <c r="BZ1637" s="2" t="s">
        <v>100</v>
      </c>
    </row>
    <row r="1638">
      <c r="A1638" s="2" t="s">
        <v>5004</v>
      </c>
      <c r="B1638" s="2" t="s">
        <v>87</v>
      </c>
      <c r="C1638" s="2" t="s">
        <v>4613</v>
      </c>
      <c r="D1638" s="2" t="s">
        <v>89</v>
      </c>
      <c r="E1638" s="2" t="s">
        <v>90</v>
      </c>
      <c r="F1638" s="2" t="s">
        <v>4685</v>
      </c>
      <c r="G1638" s="2" t="s">
        <v>4686</v>
      </c>
      <c r="H1638" s="2" t="s">
        <v>4687</v>
      </c>
      <c r="I1638" s="2" t="s">
        <v>5000</v>
      </c>
      <c r="J1638" s="2" t="s">
        <v>673</v>
      </c>
      <c r="K1638" s="2" t="s">
        <v>163</v>
      </c>
      <c r="L1638" s="3">
        <v>28.59</v>
      </c>
      <c r="M1638" s="3">
        <v>30.02</v>
      </c>
      <c r="N1638" s="3">
        <v>54.99</v>
      </c>
      <c r="O1638" s="2" t="s">
        <v>97</v>
      </c>
      <c r="P1638" s="2" t="s">
        <v>242</v>
      </c>
      <c r="Q1638" s="2" t="s">
        <v>99</v>
      </c>
      <c r="R1638" s="2" t="s">
        <v>100</v>
      </c>
      <c r="S1638" s="2" t="s">
        <v>4707</v>
      </c>
      <c r="T1638" s="2" t="s">
        <v>787</v>
      </c>
      <c r="U1638" s="2" t="s">
        <v>644</v>
      </c>
      <c r="V1638" s="2" t="s">
        <v>645</v>
      </c>
      <c r="W1638" s="2" t="s">
        <v>976</v>
      </c>
      <c r="X1638" s="2" t="s">
        <v>105</v>
      </c>
      <c r="Y1638" s="2" t="s">
        <v>4693</v>
      </c>
      <c r="Z1638" s="4">
        <v>174</v>
      </c>
      <c r="AA1638" s="4">
        <f>=ROUNDDOWN(174,0)</f>
      </c>
      <c r="AB1638" s="5">
        <v>1</v>
      </c>
      <c r="AC1638" s="2" t="s">
        <v>100</v>
      </c>
      <c r="AD1638" s="4"/>
      <c r="AE1638" s="4"/>
      <c r="AF1638" s="6">
        <v>63</v>
      </c>
      <c r="AG1638" s="6">
        <v>46</v>
      </c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>
        <v>0</v>
      </c>
      <c r="AP1638" s="4"/>
      <c r="AQ1638" s="8"/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/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/>
      <c r="BJ1638" s="4">
        <v>6</v>
      </c>
      <c r="BK1638" s="8">
        <v>165</v>
      </c>
      <c r="BL1638" s="2" t="s">
        <v>625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109</v>
      </c>
      <c r="BV1638" s="2" t="s">
        <v>97</v>
      </c>
      <c r="BW1638" s="2" t="s">
        <v>3400</v>
      </c>
      <c r="BX1638" s="2" t="s">
        <v>100</v>
      </c>
      <c r="BY1638" s="2" t="s">
        <v>112</v>
      </c>
      <c r="BZ1638" s="2" t="s">
        <v>100</v>
      </c>
    </row>
    <row r="1639">
      <c r="A1639" s="2" t="s">
        <v>5005</v>
      </c>
      <c r="B1639" s="2" t="s">
        <v>87</v>
      </c>
      <c r="C1639" s="2" t="s">
        <v>4613</v>
      </c>
      <c r="D1639" s="2" t="s">
        <v>89</v>
      </c>
      <c r="E1639" s="2" t="s">
        <v>90</v>
      </c>
      <c r="F1639" s="2" t="s">
        <v>4685</v>
      </c>
      <c r="G1639" s="2" t="s">
        <v>4686</v>
      </c>
      <c r="H1639" s="2" t="s">
        <v>4687</v>
      </c>
      <c r="I1639" s="2" t="s">
        <v>5000</v>
      </c>
      <c r="J1639" s="2" t="s">
        <v>95</v>
      </c>
      <c r="K1639" s="2" t="s">
        <v>163</v>
      </c>
      <c r="L1639" s="3">
        <v>31.19</v>
      </c>
      <c r="M1639" s="3">
        <v>32.75</v>
      </c>
      <c r="N1639" s="3">
        <v>59.99</v>
      </c>
      <c r="O1639" s="2" t="s">
        <v>97</v>
      </c>
      <c r="P1639" s="2" t="s">
        <v>242</v>
      </c>
      <c r="Q1639" s="2" t="s">
        <v>99</v>
      </c>
      <c r="R1639" s="2" t="s">
        <v>100</v>
      </c>
      <c r="S1639" s="2" t="s">
        <v>4707</v>
      </c>
      <c r="T1639" s="2" t="s">
        <v>787</v>
      </c>
      <c r="U1639" s="2" t="s">
        <v>102</v>
      </c>
      <c r="V1639" s="2" t="s">
        <v>645</v>
      </c>
      <c r="W1639" s="2" t="s">
        <v>976</v>
      </c>
      <c r="X1639" s="2" t="s">
        <v>105</v>
      </c>
      <c r="Y1639" s="2" t="s">
        <v>4693</v>
      </c>
      <c r="Z1639" s="4">
        <v>284</v>
      </c>
      <c r="AA1639" s="4">
        <f>=ROUNDDOWN(284,0)</f>
      </c>
      <c r="AB1639" s="5">
        <v>1</v>
      </c>
      <c r="AC1639" s="2" t="s">
        <v>100</v>
      </c>
      <c r="AD1639" s="4"/>
      <c r="AE1639" s="4"/>
      <c r="AF1639" s="6">
        <v>63</v>
      </c>
      <c r="AG1639" s="6">
        <v>46</v>
      </c>
      <c r="AH1639" s="7">
        <v>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>
        <v>0</v>
      </c>
      <c r="AP1639" s="4"/>
      <c r="AQ1639" s="8"/>
      <c r="AR1639" s="4"/>
      <c r="AS1639" s="8"/>
      <c r="AT1639" s="7"/>
      <c r="AU1639" s="7"/>
      <c r="AV1639" s="4" t="s">
        <v>100</v>
      </c>
      <c r="AW1639" s="8" t="s">
        <v>100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/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/>
      <c r="BJ1639" s="4"/>
      <c r="BK1639" s="8"/>
      <c r="BL1639" s="2" t="s">
        <v>100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109</v>
      </c>
      <c r="BV1639" s="2" t="s">
        <v>97</v>
      </c>
      <c r="BW1639" s="2" t="s">
        <v>3400</v>
      </c>
      <c r="BX1639" s="2" t="s">
        <v>100</v>
      </c>
      <c r="BY1639" s="2" t="s">
        <v>112</v>
      </c>
      <c r="BZ1639" s="2" t="s">
        <v>100</v>
      </c>
    </row>
    <row r="1640">
      <c r="A1640" s="2" t="s">
        <v>5006</v>
      </c>
      <c r="B1640" s="2" t="s">
        <v>87</v>
      </c>
      <c r="C1640" s="2" t="s">
        <v>4613</v>
      </c>
      <c r="D1640" s="2" t="s">
        <v>89</v>
      </c>
      <c r="E1640" s="2" t="s">
        <v>90</v>
      </c>
      <c r="F1640" s="2" t="s">
        <v>4685</v>
      </c>
      <c r="G1640" s="2" t="s">
        <v>4686</v>
      </c>
      <c r="H1640" s="2" t="s">
        <v>4687</v>
      </c>
      <c r="I1640" s="2" t="s">
        <v>5000</v>
      </c>
      <c r="J1640" s="2" t="s">
        <v>114</v>
      </c>
      <c r="K1640" s="2" t="s">
        <v>163</v>
      </c>
      <c r="L1640" s="3">
        <v>33.79</v>
      </c>
      <c r="M1640" s="3">
        <v>35.48</v>
      </c>
      <c r="N1640" s="3">
        <v>64.99</v>
      </c>
      <c r="O1640" s="2" t="s">
        <v>97</v>
      </c>
      <c r="P1640" s="2" t="s">
        <v>242</v>
      </c>
      <c r="Q1640" s="2" t="s">
        <v>99</v>
      </c>
      <c r="R1640" s="2" t="s">
        <v>100</v>
      </c>
      <c r="S1640" s="2" t="s">
        <v>4707</v>
      </c>
      <c r="T1640" s="2" t="s">
        <v>787</v>
      </c>
      <c r="U1640" s="2" t="s">
        <v>102</v>
      </c>
      <c r="V1640" s="2" t="s">
        <v>645</v>
      </c>
      <c r="W1640" s="2" t="s">
        <v>976</v>
      </c>
      <c r="X1640" s="2" t="s">
        <v>105</v>
      </c>
      <c r="Y1640" s="2" t="s">
        <v>4693</v>
      </c>
      <c r="Z1640" s="4">
        <v>415</v>
      </c>
      <c r="AA1640" s="4">
        <f>=ROUNDDOWN(415,0)</f>
      </c>
      <c r="AB1640" s="5">
        <v>1</v>
      </c>
      <c r="AC1640" s="2" t="s">
        <v>100</v>
      </c>
      <c r="AD1640" s="4"/>
      <c r="AE1640" s="4"/>
      <c r="AF1640" s="6">
        <v>63</v>
      </c>
      <c r="AG1640" s="6">
        <v>46</v>
      </c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>
        <v>0</v>
      </c>
      <c r="AP1640" s="4"/>
      <c r="AQ1640" s="8"/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/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/>
      <c r="BJ1640" s="4"/>
      <c r="BK1640" s="8"/>
      <c r="BL1640" s="2" t="s">
        <v>100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109</v>
      </c>
      <c r="BV1640" s="2" t="s">
        <v>97</v>
      </c>
      <c r="BW1640" s="2" t="s">
        <v>3400</v>
      </c>
      <c r="BX1640" s="2" t="s">
        <v>100</v>
      </c>
      <c r="BY1640" s="2" t="s">
        <v>112</v>
      </c>
      <c r="BZ1640" s="2" t="s">
        <v>100</v>
      </c>
    </row>
    <row r="1641">
      <c r="A1641" s="2" t="s">
        <v>5007</v>
      </c>
      <c r="B1641" s="2" t="s">
        <v>87</v>
      </c>
      <c r="C1641" s="2" t="s">
        <v>4613</v>
      </c>
      <c r="D1641" s="2" t="s">
        <v>89</v>
      </c>
      <c r="E1641" s="2" t="s">
        <v>90</v>
      </c>
      <c r="F1641" s="2" t="s">
        <v>4685</v>
      </c>
      <c r="G1641" s="2" t="s">
        <v>4686</v>
      </c>
      <c r="H1641" s="2" t="s">
        <v>4687</v>
      </c>
      <c r="I1641" s="2" t="s">
        <v>5000</v>
      </c>
      <c r="J1641" s="2" t="s">
        <v>120</v>
      </c>
      <c r="K1641" s="2" t="s">
        <v>163</v>
      </c>
      <c r="L1641" s="3">
        <v>38.99</v>
      </c>
      <c r="M1641" s="3">
        <v>40.94</v>
      </c>
      <c r="N1641" s="3">
        <v>74.99</v>
      </c>
      <c r="O1641" s="2" t="s">
        <v>97</v>
      </c>
      <c r="P1641" s="2" t="s">
        <v>242</v>
      </c>
      <c r="Q1641" s="2" t="s">
        <v>99</v>
      </c>
      <c r="R1641" s="2" t="s">
        <v>100</v>
      </c>
      <c r="S1641" s="2" t="s">
        <v>4707</v>
      </c>
      <c r="T1641" s="2" t="s">
        <v>787</v>
      </c>
      <c r="U1641" s="2" t="s">
        <v>102</v>
      </c>
      <c r="V1641" s="2" t="s">
        <v>645</v>
      </c>
      <c r="W1641" s="2" t="s">
        <v>976</v>
      </c>
      <c r="X1641" s="2" t="s">
        <v>105</v>
      </c>
      <c r="Y1641" s="2" t="s">
        <v>4693</v>
      </c>
      <c r="Z1641" s="4">
        <v>204</v>
      </c>
      <c r="AA1641" s="4">
        <f>=ROUNDDOWN(204,0)</f>
      </c>
      <c r="AB1641" s="5">
        <v>1</v>
      </c>
      <c r="AC1641" s="2" t="s">
        <v>100</v>
      </c>
      <c r="AD1641" s="4"/>
      <c r="AE1641" s="4"/>
      <c r="AF1641" s="6">
        <v>63</v>
      </c>
      <c r="AG1641" s="6">
        <v>46</v>
      </c>
      <c r="AH1641" s="7">
        <v>1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>
        <v>0</v>
      </c>
      <c r="AP1641" s="4"/>
      <c r="AQ1641" s="8"/>
      <c r="AR1641" s="4"/>
      <c r="AS1641" s="8"/>
      <c r="AT1641" s="7"/>
      <c r="AU1641" s="7"/>
      <c r="AV1641" s="4" t="s">
        <v>100</v>
      </c>
      <c r="AW1641" s="8" t="s">
        <v>100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/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/>
      <c r="BJ1641" s="4"/>
      <c r="BK1641" s="8"/>
      <c r="BL1641" s="2" t="s">
        <v>100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109</v>
      </c>
      <c r="BV1641" s="2" t="s">
        <v>97</v>
      </c>
      <c r="BW1641" s="2" t="s">
        <v>3400</v>
      </c>
      <c r="BX1641" s="2" t="s">
        <v>100</v>
      </c>
      <c r="BY1641" s="2" t="s">
        <v>112</v>
      </c>
      <c r="BZ1641" s="2" t="s">
        <v>100</v>
      </c>
    </row>
    <row r="1642">
      <c r="A1642" s="2" t="s">
        <v>5008</v>
      </c>
      <c r="B1642" s="2" t="s">
        <v>87</v>
      </c>
      <c r="C1642" s="2" t="s">
        <v>4613</v>
      </c>
      <c r="D1642" s="2" t="s">
        <v>89</v>
      </c>
      <c r="E1642" s="2" t="s">
        <v>90</v>
      </c>
      <c r="F1642" s="2" t="s">
        <v>4685</v>
      </c>
      <c r="G1642" s="2" t="s">
        <v>4686</v>
      </c>
      <c r="H1642" s="2" t="s">
        <v>4687</v>
      </c>
      <c r="I1642" s="2" t="s">
        <v>5000</v>
      </c>
      <c r="J1642" s="2" t="s">
        <v>673</v>
      </c>
      <c r="K1642" s="2" t="s">
        <v>1555</v>
      </c>
      <c r="L1642" s="3">
        <v>28.59</v>
      </c>
      <c r="M1642" s="3">
        <v>30.02</v>
      </c>
      <c r="N1642" s="3">
        <v>54.99</v>
      </c>
      <c r="O1642" s="2" t="s">
        <v>97</v>
      </c>
      <c r="P1642" s="2" t="s">
        <v>242</v>
      </c>
      <c r="Q1642" s="2" t="s">
        <v>99</v>
      </c>
      <c r="R1642" s="2" t="s">
        <v>100</v>
      </c>
      <c r="S1642" s="2" t="s">
        <v>4716</v>
      </c>
      <c r="T1642" s="2" t="s">
        <v>787</v>
      </c>
      <c r="U1642" s="2" t="s">
        <v>644</v>
      </c>
      <c r="V1642" s="2" t="s">
        <v>645</v>
      </c>
      <c r="W1642" s="2" t="s">
        <v>976</v>
      </c>
      <c r="X1642" s="2" t="s">
        <v>105</v>
      </c>
      <c r="Y1642" s="2" t="s">
        <v>4693</v>
      </c>
      <c r="Z1642" s="4">
        <v>107</v>
      </c>
      <c r="AA1642" s="4">
        <f>=ROUNDDOWN(107,0)</f>
      </c>
      <c r="AB1642" s="5">
        <v>1</v>
      </c>
      <c r="AC1642" s="2" t="s">
        <v>2992</v>
      </c>
      <c r="AD1642" s="4">
        <v>21</v>
      </c>
      <c r="AE1642" s="4">
        <v>21</v>
      </c>
      <c r="AF1642" s="6">
        <v>63</v>
      </c>
      <c r="AG1642" s="6">
        <v>46</v>
      </c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>
        <v>0</v>
      </c>
      <c r="AP1642" s="4"/>
      <c r="AQ1642" s="8"/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/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/>
      <c r="BJ1642" s="4">
        <v>3</v>
      </c>
      <c r="BK1642" s="8">
        <v>82.5</v>
      </c>
      <c r="BL1642" s="2" t="s">
        <v>625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109</v>
      </c>
      <c r="BV1642" s="2" t="s">
        <v>97</v>
      </c>
      <c r="BW1642" s="2" t="s">
        <v>3400</v>
      </c>
      <c r="BX1642" s="2" t="s">
        <v>100</v>
      </c>
      <c r="BY1642" s="2" t="s">
        <v>112</v>
      </c>
      <c r="BZ1642" s="2" t="s">
        <v>100</v>
      </c>
    </row>
    <row r="1643">
      <c r="A1643" s="2" t="s">
        <v>5009</v>
      </c>
      <c r="B1643" s="2" t="s">
        <v>87</v>
      </c>
      <c r="C1643" s="2" t="s">
        <v>4613</v>
      </c>
      <c r="D1643" s="2" t="s">
        <v>89</v>
      </c>
      <c r="E1643" s="2" t="s">
        <v>90</v>
      </c>
      <c r="F1643" s="2" t="s">
        <v>4685</v>
      </c>
      <c r="G1643" s="2" t="s">
        <v>4686</v>
      </c>
      <c r="H1643" s="2" t="s">
        <v>4687</v>
      </c>
      <c r="I1643" s="2" t="s">
        <v>5000</v>
      </c>
      <c r="J1643" s="2" t="s">
        <v>95</v>
      </c>
      <c r="K1643" s="2" t="s">
        <v>1555</v>
      </c>
      <c r="L1643" s="3">
        <v>31.19</v>
      </c>
      <c r="M1643" s="3">
        <v>32.75</v>
      </c>
      <c r="N1643" s="3">
        <v>59.99</v>
      </c>
      <c r="O1643" s="2" t="s">
        <v>97</v>
      </c>
      <c r="P1643" s="2" t="s">
        <v>242</v>
      </c>
      <c r="Q1643" s="2" t="s">
        <v>99</v>
      </c>
      <c r="R1643" s="2" t="s">
        <v>100</v>
      </c>
      <c r="S1643" s="2" t="s">
        <v>4716</v>
      </c>
      <c r="T1643" s="2" t="s">
        <v>787</v>
      </c>
      <c r="U1643" s="2" t="s">
        <v>102</v>
      </c>
      <c r="V1643" s="2" t="s">
        <v>645</v>
      </c>
      <c r="W1643" s="2" t="s">
        <v>976</v>
      </c>
      <c r="X1643" s="2" t="s">
        <v>105</v>
      </c>
      <c r="Y1643" s="2" t="s">
        <v>4693</v>
      </c>
      <c r="Z1643" s="4">
        <v>208</v>
      </c>
      <c r="AA1643" s="4">
        <f>=ROUNDDOWN(208,0)</f>
      </c>
      <c r="AB1643" s="5">
        <v>1</v>
      </c>
      <c r="AC1643" s="2" t="s">
        <v>2992</v>
      </c>
      <c r="AD1643" s="4">
        <v>18</v>
      </c>
      <c r="AE1643" s="4">
        <v>18</v>
      </c>
      <c r="AF1643" s="6">
        <v>63</v>
      </c>
      <c r="AG1643" s="6">
        <v>46</v>
      </c>
      <c r="AH1643" s="7">
        <v>1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>
        <v>0</v>
      </c>
      <c r="AP1643" s="4"/>
      <c r="AQ1643" s="8"/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/>
      <c r="BJ1643" s="4">
        <v>6</v>
      </c>
      <c r="BK1643" s="8">
        <v>195</v>
      </c>
      <c r="BL1643" s="2" t="s">
        <v>625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109</v>
      </c>
      <c r="BV1643" s="2" t="s">
        <v>97</v>
      </c>
      <c r="BW1643" s="2" t="s">
        <v>3400</v>
      </c>
      <c r="BX1643" s="2" t="s">
        <v>100</v>
      </c>
      <c r="BY1643" s="2" t="s">
        <v>112</v>
      </c>
      <c r="BZ1643" s="2" t="s">
        <v>100</v>
      </c>
    </row>
    <row r="1644">
      <c r="A1644" s="2" t="s">
        <v>5010</v>
      </c>
      <c r="B1644" s="2" t="s">
        <v>87</v>
      </c>
      <c r="C1644" s="2" t="s">
        <v>4613</v>
      </c>
      <c r="D1644" s="2" t="s">
        <v>89</v>
      </c>
      <c r="E1644" s="2" t="s">
        <v>90</v>
      </c>
      <c r="F1644" s="2" t="s">
        <v>4685</v>
      </c>
      <c r="G1644" s="2" t="s">
        <v>4686</v>
      </c>
      <c r="H1644" s="2" t="s">
        <v>4687</v>
      </c>
      <c r="I1644" s="2" t="s">
        <v>5000</v>
      </c>
      <c r="J1644" s="2" t="s">
        <v>114</v>
      </c>
      <c r="K1644" s="2" t="s">
        <v>1555</v>
      </c>
      <c r="L1644" s="3">
        <v>33.79</v>
      </c>
      <c r="M1644" s="3">
        <v>35.48</v>
      </c>
      <c r="N1644" s="3">
        <v>64.99</v>
      </c>
      <c r="O1644" s="2" t="s">
        <v>97</v>
      </c>
      <c r="P1644" s="2" t="s">
        <v>242</v>
      </c>
      <c r="Q1644" s="2" t="s">
        <v>99</v>
      </c>
      <c r="R1644" s="2" t="s">
        <v>100</v>
      </c>
      <c r="S1644" s="2" t="s">
        <v>4716</v>
      </c>
      <c r="T1644" s="2" t="s">
        <v>787</v>
      </c>
      <c r="U1644" s="2" t="s">
        <v>102</v>
      </c>
      <c r="V1644" s="2" t="s">
        <v>645</v>
      </c>
      <c r="W1644" s="2" t="s">
        <v>976</v>
      </c>
      <c r="X1644" s="2" t="s">
        <v>105</v>
      </c>
      <c r="Y1644" s="2" t="s">
        <v>4693</v>
      </c>
      <c r="Z1644" s="4">
        <v>536</v>
      </c>
      <c r="AA1644" s="4">
        <f>=ROUNDDOWN(536,0)</f>
      </c>
      <c r="AB1644" s="5">
        <v>1</v>
      </c>
      <c r="AC1644" s="2" t="s">
        <v>2992</v>
      </c>
      <c r="AD1644" s="4">
        <v>72</v>
      </c>
      <c r="AE1644" s="4">
        <v>72</v>
      </c>
      <c r="AF1644" s="6">
        <v>63</v>
      </c>
      <c r="AG1644" s="6">
        <v>46</v>
      </c>
      <c r="AH1644" s="7">
        <v>1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>
        <v>0</v>
      </c>
      <c r="AP1644" s="4"/>
      <c r="AQ1644" s="8"/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/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/>
      <c r="BJ1644" s="4"/>
      <c r="BK1644" s="8"/>
      <c r="BL1644" s="2" t="s">
        <v>100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109</v>
      </c>
      <c r="BV1644" s="2" t="s">
        <v>97</v>
      </c>
      <c r="BW1644" s="2" t="s">
        <v>3400</v>
      </c>
      <c r="BX1644" s="2" t="s">
        <v>100</v>
      </c>
      <c r="BY1644" s="2" t="s">
        <v>112</v>
      </c>
      <c r="BZ1644" s="2" t="s">
        <v>100</v>
      </c>
    </row>
    <row r="1645">
      <c r="A1645" s="2" t="s">
        <v>5011</v>
      </c>
      <c r="B1645" s="2" t="s">
        <v>87</v>
      </c>
      <c r="C1645" s="2" t="s">
        <v>4613</v>
      </c>
      <c r="D1645" s="2" t="s">
        <v>89</v>
      </c>
      <c r="E1645" s="2" t="s">
        <v>90</v>
      </c>
      <c r="F1645" s="2" t="s">
        <v>4685</v>
      </c>
      <c r="G1645" s="2" t="s">
        <v>4686</v>
      </c>
      <c r="H1645" s="2" t="s">
        <v>4687</v>
      </c>
      <c r="I1645" s="2" t="s">
        <v>5000</v>
      </c>
      <c r="J1645" s="2" t="s">
        <v>120</v>
      </c>
      <c r="K1645" s="2" t="s">
        <v>1555</v>
      </c>
      <c r="L1645" s="3">
        <v>38.99</v>
      </c>
      <c r="M1645" s="3">
        <v>40.94</v>
      </c>
      <c r="N1645" s="3">
        <v>74.99</v>
      </c>
      <c r="O1645" s="2" t="s">
        <v>97</v>
      </c>
      <c r="P1645" s="2" t="s">
        <v>242</v>
      </c>
      <c r="Q1645" s="2" t="s">
        <v>99</v>
      </c>
      <c r="R1645" s="2" t="s">
        <v>100</v>
      </c>
      <c r="S1645" s="2" t="s">
        <v>4716</v>
      </c>
      <c r="T1645" s="2" t="s">
        <v>787</v>
      </c>
      <c r="U1645" s="2" t="s">
        <v>102</v>
      </c>
      <c r="V1645" s="2" t="s">
        <v>645</v>
      </c>
      <c r="W1645" s="2" t="s">
        <v>976</v>
      </c>
      <c r="X1645" s="2" t="s">
        <v>105</v>
      </c>
      <c r="Y1645" s="2" t="s">
        <v>4693</v>
      </c>
      <c r="Z1645" s="4">
        <v>682</v>
      </c>
      <c r="AA1645" s="4">
        <f>=ROUNDDOWN(341,0)</f>
      </c>
      <c r="AB1645" s="5">
        <v>2</v>
      </c>
      <c r="AC1645" s="2" t="s">
        <v>2992</v>
      </c>
      <c r="AD1645" s="4">
        <v>15</v>
      </c>
      <c r="AE1645" s="4">
        <v>15</v>
      </c>
      <c r="AF1645" s="6">
        <v>63</v>
      </c>
      <c r="AG1645" s="6">
        <v>46</v>
      </c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>
        <v>0</v>
      </c>
      <c r="AP1645" s="4"/>
      <c r="AQ1645" s="8"/>
      <c r="AR1645" s="4"/>
      <c r="AS1645" s="8"/>
      <c r="AT1645" s="7"/>
      <c r="AU1645" s="7"/>
      <c r="AV1645" s="4" t="s">
        <v>100</v>
      </c>
      <c r="AW1645" s="8" t="s">
        <v>100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/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/>
      <c r="BJ1645" s="4">
        <v>1</v>
      </c>
      <c r="BK1645" s="8">
        <v>44.21</v>
      </c>
      <c r="BL1645" s="2" t="s">
        <v>2115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109</v>
      </c>
      <c r="BV1645" s="2" t="s">
        <v>97</v>
      </c>
      <c r="BW1645" s="2" t="s">
        <v>3400</v>
      </c>
      <c r="BX1645" s="2" t="s">
        <v>100</v>
      </c>
      <c r="BY1645" s="2" t="s">
        <v>112</v>
      </c>
      <c r="BZ1645" s="2" t="s">
        <v>100</v>
      </c>
    </row>
    <row r="1646">
      <c r="A1646" s="2" t="s">
        <v>5012</v>
      </c>
      <c r="B1646" s="2" t="s">
        <v>87</v>
      </c>
      <c r="C1646" s="2" t="s">
        <v>4613</v>
      </c>
      <c r="D1646" s="2" t="s">
        <v>89</v>
      </c>
      <c r="E1646" s="2" t="s">
        <v>90</v>
      </c>
      <c r="F1646" s="2" t="s">
        <v>4685</v>
      </c>
      <c r="G1646" s="2" t="s">
        <v>4686</v>
      </c>
      <c r="H1646" s="2" t="s">
        <v>4687</v>
      </c>
      <c r="I1646" s="2" t="s">
        <v>5000</v>
      </c>
      <c r="J1646" s="2" t="s">
        <v>673</v>
      </c>
      <c r="K1646" s="2" t="s">
        <v>4652</v>
      </c>
      <c r="L1646" s="3">
        <v>28.59</v>
      </c>
      <c r="M1646" s="3">
        <v>30.02</v>
      </c>
      <c r="N1646" s="3">
        <v>54.99</v>
      </c>
      <c r="O1646" s="2" t="s">
        <v>97</v>
      </c>
      <c r="P1646" s="2" t="s">
        <v>281</v>
      </c>
      <c r="Q1646" s="2" t="s">
        <v>99</v>
      </c>
      <c r="R1646" s="2" t="s">
        <v>100</v>
      </c>
      <c r="S1646" s="2" t="s">
        <v>4689</v>
      </c>
      <c r="T1646" s="2" t="s">
        <v>787</v>
      </c>
      <c r="U1646" s="2" t="s">
        <v>644</v>
      </c>
      <c r="V1646" s="2" t="s">
        <v>645</v>
      </c>
      <c r="W1646" s="2" t="s">
        <v>976</v>
      </c>
      <c r="X1646" s="2" t="s">
        <v>105</v>
      </c>
      <c r="Y1646" s="2" t="s">
        <v>4693</v>
      </c>
      <c r="Z1646" s="4">
        <v>61</v>
      </c>
      <c r="AA1646" s="4">
        <f>=ROUNDDOWN(61,0)</f>
      </c>
      <c r="AB1646" s="5">
        <v>1</v>
      </c>
      <c r="AC1646" s="2" t="s">
        <v>2552</v>
      </c>
      <c r="AD1646" s="4">
        <v>81</v>
      </c>
      <c r="AE1646" s="4">
        <v>81</v>
      </c>
      <c r="AF1646" s="6">
        <v>63</v>
      </c>
      <c r="AG1646" s="6">
        <v>46</v>
      </c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>
        <v>0</v>
      </c>
      <c r="AP1646" s="4"/>
      <c r="AQ1646" s="8"/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/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/>
      <c r="BJ1646" s="4"/>
      <c r="BK1646" s="8"/>
      <c r="BL1646" s="2" t="s">
        <v>100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109</v>
      </c>
      <c r="BV1646" s="2" t="s">
        <v>97</v>
      </c>
      <c r="BW1646" s="2" t="s">
        <v>3400</v>
      </c>
      <c r="BX1646" s="2" t="s">
        <v>100</v>
      </c>
      <c r="BY1646" s="2" t="s">
        <v>112</v>
      </c>
      <c r="BZ1646" s="2" t="s">
        <v>100</v>
      </c>
    </row>
    <row r="1647">
      <c r="A1647" s="2" t="s">
        <v>5013</v>
      </c>
      <c r="B1647" s="2" t="s">
        <v>87</v>
      </c>
      <c r="C1647" s="2" t="s">
        <v>4613</v>
      </c>
      <c r="D1647" s="2" t="s">
        <v>89</v>
      </c>
      <c r="E1647" s="2" t="s">
        <v>90</v>
      </c>
      <c r="F1647" s="2" t="s">
        <v>4685</v>
      </c>
      <c r="G1647" s="2" t="s">
        <v>4686</v>
      </c>
      <c r="H1647" s="2" t="s">
        <v>4687</v>
      </c>
      <c r="I1647" s="2" t="s">
        <v>5000</v>
      </c>
      <c r="J1647" s="2" t="s">
        <v>95</v>
      </c>
      <c r="K1647" s="2" t="s">
        <v>4652</v>
      </c>
      <c r="L1647" s="3">
        <v>31.19</v>
      </c>
      <c r="M1647" s="3">
        <v>32.75</v>
      </c>
      <c r="N1647" s="3">
        <v>59.99</v>
      </c>
      <c r="O1647" s="2" t="s">
        <v>97</v>
      </c>
      <c r="P1647" s="2" t="s">
        <v>281</v>
      </c>
      <c r="Q1647" s="2" t="s">
        <v>99</v>
      </c>
      <c r="R1647" s="2" t="s">
        <v>100</v>
      </c>
      <c r="S1647" s="2" t="s">
        <v>4689</v>
      </c>
      <c r="T1647" s="2" t="s">
        <v>787</v>
      </c>
      <c r="U1647" s="2" t="s">
        <v>102</v>
      </c>
      <c r="V1647" s="2" t="s">
        <v>645</v>
      </c>
      <c r="W1647" s="2" t="s">
        <v>976</v>
      </c>
      <c r="X1647" s="2" t="s">
        <v>105</v>
      </c>
      <c r="Y1647" s="2" t="s">
        <v>4693</v>
      </c>
      <c r="Z1647" s="4">
        <v>119</v>
      </c>
      <c r="AA1647" s="4">
        <f>=ROUNDDOWN(59.5,0)</f>
      </c>
      <c r="AB1647" s="5">
        <v>2</v>
      </c>
      <c r="AC1647" s="2" t="s">
        <v>2552</v>
      </c>
      <c r="AD1647" s="4">
        <v>81</v>
      </c>
      <c r="AE1647" s="4">
        <v>81</v>
      </c>
      <c r="AF1647" s="6">
        <v>63</v>
      </c>
      <c r="AG1647" s="6">
        <v>46</v>
      </c>
      <c r="AH1647" s="7">
        <v>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>
        <v>0</v>
      </c>
      <c r="AP1647" s="4"/>
      <c r="AQ1647" s="8"/>
      <c r="AR1647" s="4"/>
      <c r="AS1647" s="8"/>
      <c r="AT1647" s="7"/>
      <c r="AU1647" s="7"/>
      <c r="AV1647" s="4" t="s">
        <v>100</v>
      </c>
      <c r="AW1647" s="8" t="s">
        <v>100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/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/>
      <c r="BJ1647" s="4">
        <v>1</v>
      </c>
      <c r="BK1647" s="8">
        <v>35.37</v>
      </c>
      <c r="BL1647" s="2" t="s">
        <v>2115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109</v>
      </c>
      <c r="BV1647" s="2" t="s">
        <v>97</v>
      </c>
      <c r="BW1647" s="2" t="s">
        <v>3400</v>
      </c>
      <c r="BX1647" s="2" t="s">
        <v>100</v>
      </c>
      <c r="BY1647" s="2" t="s">
        <v>112</v>
      </c>
      <c r="BZ1647" s="2" t="s">
        <v>100</v>
      </c>
    </row>
    <row r="1648">
      <c r="A1648" s="2" t="s">
        <v>5014</v>
      </c>
      <c r="B1648" s="2" t="s">
        <v>87</v>
      </c>
      <c r="C1648" s="2" t="s">
        <v>4613</v>
      </c>
      <c r="D1648" s="2" t="s">
        <v>89</v>
      </c>
      <c r="E1648" s="2" t="s">
        <v>90</v>
      </c>
      <c r="F1648" s="2" t="s">
        <v>4685</v>
      </c>
      <c r="G1648" s="2" t="s">
        <v>4686</v>
      </c>
      <c r="H1648" s="2" t="s">
        <v>4687</v>
      </c>
      <c r="I1648" s="2" t="s">
        <v>5000</v>
      </c>
      <c r="J1648" s="2" t="s">
        <v>114</v>
      </c>
      <c r="K1648" s="2" t="s">
        <v>4652</v>
      </c>
      <c r="L1648" s="3">
        <v>33.79</v>
      </c>
      <c r="M1648" s="3">
        <v>35.48</v>
      </c>
      <c r="N1648" s="3">
        <v>64.99</v>
      </c>
      <c r="O1648" s="2" t="s">
        <v>97</v>
      </c>
      <c r="P1648" s="2" t="s">
        <v>281</v>
      </c>
      <c r="Q1648" s="2" t="s">
        <v>99</v>
      </c>
      <c r="R1648" s="2" t="s">
        <v>100</v>
      </c>
      <c r="S1648" s="2" t="s">
        <v>4689</v>
      </c>
      <c r="T1648" s="2" t="s">
        <v>787</v>
      </c>
      <c r="U1648" s="2" t="s">
        <v>102</v>
      </c>
      <c r="V1648" s="2" t="s">
        <v>645</v>
      </c>
      <c r="W1648" s="2" t="s">
        <v>976</v>
      </c>
      <c r="X1648" s="2" t="s">
        <v>105</v>
      </c>
      <c r="Y1648" s="2" t="s">
        <v>4693</v>
      </c>
      <c r="Z1648" s="4">
        <v>409</v>
      </c>
      <c r="AA1648" s="4">
        <f>=ROUNDDOWN(204.5,0)</f>
      </c>
      <c r="AB1648" s="5">
        <v>2</v>
      </c>
      <c r="AC1648" s="2" t="s">
        <v>2552</v>
      </c>
      <c r="AD1648" s="4">
        <v>201</v>
      </c>
      <c r="AE1648" s="4">
        <v>201</v>
      </c>
      <c r="AF1648" s="6">
        <v>63</v>
      </c>
      <c r="AG1648" s="6">
        <v>46</v>
      </c>
      <c r="AH1648" s="7">
        <v>1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>
        <v>0</v>
      </c>
      <c r="AP1648" s="4"/>
      <c r="AQ1648" s="8"/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/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/>
      <c r="BJ1648" s="4">
        <v>1</v>
      </c>
      <c r="BK1648" s="8">
        <v>23.84</v>
      </c>
      <c r="BL1648" s="2" t="s">
        <v>133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109</v>
      </c>
      <c r="BV1648" s="2" t="s">
        <v>97</v>
      </c>
      <c r="BW1648" s="2" t="s">
        <v>3400</v>
      </c>
      <c r="BX1648" s="2" t="s">
        <v>100</v>
      </c>
      <c r="BY1648" s="2" t="s">
        <v>112</v>
      </c>
      <c r="BZ1648" s="2" t="s">
        <v>100</v>
      </c>
    </row>
    <row r="1649">
      <c r="A1649" s="2" t="s">
        <v>5015</v>
      </c>
      <c r="B1649" s="2" t="s">
        <v>87</v>
      </c>
      <c r="C1649" s="2" t="s">
        <v>4613</v>
      </c>
      <c r="D1649" s="2" t="s">
        <v>89</v>
      </c>
      <c r="E1649" s="2" t="s">
        <v>90</v>
      </c>
      <c r="F1649" s="2" t="s">
        <v>4685</v>
      </c>
      <c r="G1649" s="2" t="s">
        <v>4686</v>
      </c>
      <c r="H1649" s="2" t="s">
        <v>4687</v>
      </c>
      <c r="I1649" s="2" t="s">
        <v>5000</v>
      </c>
      <c r="J1649" s="2" t="s">
        <v>120</v>
      </c>
      <c r="K1649" s="2" t="s">
        <v>4652</v>
      </c>
      <c r="L1649" s="3">
        <v>38.99</v>
      </c>
      <c r="M1649" s="3">
        <v>40.94</v>
      </c>
      <c r="N1649" s="3">
        <v>74.99</v>
      </c>
      <c r="O1649" s="2" t="s">
        <v>97</v>
      </c>
      <c r="P1649" s="2" t="s">
        <v>281</v>
      </c>
      <c r="Q1649" s="2" t="s">
        <v>99</v>
      </c>
      <c r="R1649" s="2" t="s">
        <v>100</v>
      </c>
      <c r="S1649" s="2" t="s">
        <v>4689</v>
      </c>
      <c r="T1649" s="2" t="s">
        <v>787</v>
      </c>
      <c r="U1649" s="2" t="s">
        <v>102</v>
      </c>
      <c r="V1649" s="2" t="s">
        <v>645</v>
      </c>
      <c r="W1649" s="2" t="s">
        <v>976</v>
      </c>
      <c r="X1649" s="2" t="s">
        <v>105</v>
      </c>
      <c r="Y1649" s="2" t="s">
        <v>4693</v>
      </c>
      <c r="Z1649" s="4">
        <v>196</v>
      </c>
      <c r="AA1649" s="4">
        <f>=ROUNDDOWN(196,0)</f>
      </c>
      <c r="AB1649" s="5">
        <v>1</v>
      </c>
      <c r="AC1649" s="2" t="s">
        <v>2992</v>
      </c>
      <c r="AD1649" s="4">
        <v>81</v>
      </c>
      <c r="AE1649" s="4">
        <v>81</v>
      </c>
      <c r="AF1649" s="6">
        <v>63</v>
      </c>
      <c r="AG1649" s="6">
        <v>46</v>
      </c>
      <c r="AH1649" s="7">
        <v>1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>
        <v>0</v>
      </c>
      <c r="AP1649" s="4"/>
      <c r="AQ1649" s="8"/>
      <c r="AR1649" s="4"/>
      <c r="AS1649" s="8"/>
      <c r="AT1649" s="7"/>
      <c r="AU1649" s="7"/>
      <c r="AV1649" s="4" t="s">
        <v>100</v>
      </c>
      <c r="AW1649" s="8" t="s">
        <v>100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/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/>
      <c r="BJ1649" s="4"/>
      <c r="BK1649" s="8"/>
      <c r="BL1649" s="2" t="s">
        <v>100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109</v>
      </c>
      <c r="BV1649" s="2" t="s">
        <v>97</v>
      </c>
      <c r="BW1649" s="2" t="s">
        <v>3400</v>
      </c>
      <c r="BX1649" s="2" t="s">
        <v>100</v>
      </c>
      <c r="BY1649" s="2" t="s">
        <v>112</v>
      </c>
      <c r="BZ1649" s="2" t="s">
        <v>100</v>
      </c>
    </row>
    <row r="1650">
      <c r="A1650" s="2" t="s">
        <v>5016</v>
      </c>
      <c r="B1650" s="2" t="s">
        <v>87</v>
      </c>
      <c r="C1650" s="2" t="s">
        <v>4613</v>
      </c>
      <c r="D1650" s="2" t="s">
        <v>3079</v>
      </c>
      <c r="E1650" s="2" t="s">
        <v>3176</v>
      </c>
      <c r="F1650" s="2" t="s">
        <v>4648</v>
      </c>
      <c r="G1650" s="2" t="s">
        <v>4649</v>
      </c>
      <c r="H1650" s="2" t="s">
        <v>4650</v>
      </c>
      <c r="I1650" s="2" t="s">
        <v>5017</v>
      </c>
      <c r="J1650" s="2" t="s">
        <v>673</v>
      </c>
      <c r="K1650" s="2" t="s">
        <v>1555</v>
      </c>
      <c r="L1650" s="3">
        <v>16.9</v>
      </c>
      <c r="M1650" s="3">
        <v>17.75</v>
      </c>
      <c r="N1650" s="3">
        <v>35.49</v>
      </c>
      <c r="O1650" s="2" t="s">
        <v>97</v>
      </c>
      <c r="P1650" s="2" t="s">
        <v>341</v>
      </c>
      <c r="Q1650" s="2" t="s">
        <v>99</v>
      </c>
      <c r="R1650" s="2" t="s">
        <v>100</v>
      </c>
      <c r="S1650" s="2" t="s">
        <v>4664</v>
      </c>
      <c r="T1650" s="2" t="s">
        <v>1218</v>
      </c>
      <c r="U1650" s="2" t="s">
        <v>2150</v>
      </c>
      <c r="V1650" s="2" t="s">
        <v>645</v>
      </c>
      <c r="W1650" s="2" t="s">
        <v>976</v>
      </c>
      <c r="X1650" s="2" t="s">
        <v>105</v>
      </c>
      <c r="Y1650" s="2" t="s">
        <v>1740</v>
      </c>
      <c r="Z1650" s="4">
        <v>167</v>
      </c>
      <c r="AA1650" s="4">
        <f>=ROUNDDOWN(20.875,0)</f>
      </c>
      <c r="AB1650" s="5">
        <v>8</v>
      </c>
      <c r="AC1650" s="2" t="s">
        <v>2598</v>
      </c>
      <c r="AD1650" s="4">
        <v>60</v>
      </c>
      <c r="AE1650" s="4">
        <v>260</v>
      </c>
      <c r="AF1650" s="6">
        <v>63</v>
      </c>
      <c r="AG1650" s="6">
        <v>46</v>
      </c>
      <c r="AH1650" s="7">
        <v>1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>
        <v>0</v>
      </c>
      <c r="AP1650" s="4"/>
      <c r="AQ1650" s="8"/>
      <c r="AR1650" s="4"/>
      <c r="AS1650" s="8"/>
      <c r="AT1650" s="7"/>
      <c r="AU1650" s="7"/>
      <c r="AV1650" s="4">
        <v>2</v>
      </c>
      <c r="AW1650" s="8">
        <v>53.3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/>
      <c r="BC1650" s="4">
        <v>3</v>
      </c>
      <c r="BD1650" s="8">
        <v>76.85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>
        <v>0.6936</v>
      </c>
      <c r="BJ1650" s="4">
        <v>5</v>
      </c>
      <c r="BK1650" s="8">
        <v>93.19</v>
      </c>
      <c r="BL1650" s="2" t="s">
        <v>776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109</v>
      </c>
      <c r="BV1650" s="2" t="s">
        <v>97</v>
      </c>
      <c r="BW1650" s="2" t="s">
        <v>819</v>
      </c>
      <c r="BX1650" s="2" t="s">
        <v>100</v>
      </c>
      <c r="BY1650" s="2" t="s">
        <v>112</v>
      </c>
      <c r="BZ1650" s="2" t="s">
        <v>100</v>
      </c>
    </row>
    <row r="1651">
      <c r="A1651" s="2" t="s">
        <v>5018</v>
      </c>
      <c r="B1651" s="2" t="s">
        <v>87</v>
      </c>
      <c r="C1651" s="2" t="s">
        <v>4613</v>
      </c>
      <c r="D1651" s="2" t="s">
        <v>3079</v>
      </c>
      <c r="E1651" s="2" t="s">
        <v>3176</v>
      </c>
      <c r="F1651" s="2" t="s">
        <v>4648</v>
      </c>
      <c r="G1651" s="2" t="s">
        <v>4649</v>
      </c>
      <c r="H1651" s="2" t="s">
        <v>4650</v>
      </c>
      <c r="I1651" s="2" t="s">
        <v>5017</v>
      </c>
      <c r="J1651" s="2" t="s">
        <v>785</v>
      </c>
      <c r="K1651" s="2" t="s">
        <v>1555</v>
      </c>
      <c r="L1651" s="3">
        <v>20.23</v>
      </c>
      <c r="M1651" s="3">
        <v>21.24</v>
      </c>
      <c r="N1651" s="3">
        <v>42.49</v>
      </c>
      <c r="O1651" s="2" t="s">
        <v>97</v>
      </c>
      <c r="P1651" s="2" t="s">
        <v>341</v>
      </c>
      <c r="Q1651" s="2" t="s">
        <v>99</v>
      </c>
      <c r="R1651" s="2" t="s">
        <v>100</v>
      </c>
      <c r="S1651" s="2" t="s">
        <v>4664</v>
      </c>
      <c r="T1651" s="2" t="s">
        <v>1218</v>
      </c>
      <c r="U1651" s="2" t="s">
        <v>1508</v>
      </c>
      <c r="V1651" s="2" t="s">
        <v>645</v>
      </c>
      <c r="W1651" s="2" t="s">
        <v>976</v>
      </c>
      <c r="X1651" s="2" t="s">
        <v>105</v>
      </c>
      <c r="Y1651" s="2" t="s">
        <v>1740</v>
      </c>
      <c r="Z1651" s="4">
        <v>1220</v>
      </c>
      <c r="AA1651" s="4">
        <f>=ROUNDDOWN(35.8823529411765,0)</f>
      </c>
      <c r="AB1651" s="5">
        <v>34</v>
      </c>
      <c r="AC1651" s="2" t="s">
        <v>2404</v>
      </c>
      <c r="AD1651" s="4">
        <v>200</v>
      </c>
      <c r="AE1651" s="4">
        <v>1600</v>
      </c>
      <c r="AF1651" s="6">
        <v>63</v>
      </c>
      <c r="AG1651" s="6">
        <v>46</v>
      </c>
      <c r="AH1651" s="7">
        <v>1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>
        <v>0</v>
      </c>
      <c r="AP1651" s="4"/>
      <c r="AQ1651" s="8"/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/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 t="s">
        <v>100</v>
      </c>
      <c r="BJ1651" s="4">
        <v>24</v>
      </c>
      <c r="BK1651" s="8">
        <v>511.36</v>
      </c>
      <c r="BL1651" s="2" t="s">
        <v>710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109</v>
      </c>
      <c r="BV1651" s="2" t="s">
        <v>97</v>
      </c>
      <c r="BW1651" s="2" t="s">
        <v>819</v>
      </c>
      <c r="BX1651" s="2" t="s">
        <v>5019</v>
      </c>
      <c r="BY1651" s="2" t="s">
        <v>112</v>
      </c>
      <c r="BZ1651" s="2" t="s">
        <v>100</v>
      </c>
    </row>
    <row r="1652">
      <c r="A1652" s="2" t="s">
        <v>5020</v>
      </c>
      <c r="B1652" s="2" t="s">
        <v>87</v>
      </c>
      <c r="C1652" s="2" t="s">
        <v>4613</v>
      </c>
      <c r="D1652" s="2" t="s">
        <v>3079</v>
      </c>
      <c r="E1652" s="2" t="s">
        <v>3176</v>
      </c>
      <c r="F1652" s="2" t="s">
        <v>4648</v>
      </c>
      <c r="G1652" s="2" t="s">
        <v>4649</v>
      </c>
      <c r="H1652" s="2" t="s">
        <v>4650</v>
      </c>
      <c r="I1652" s="2" t="s">
        <v>5017</v>
      </c>
      <c r="J1652" s="2" t="s">
        <v>795</v>
      </c>
      <c r="K1652" s="2" t="s">
        <v>1555</v>
      </c>
      <c r="L1652" s="3">
        <v>23.57</v>
      </c>
      <c r="M1652" s="3">
        <v>24.75</v>
      </c>
      <c r="N1652" s="3">
        <v>49.49</v>
      </c>
      <c r="O1652" s="2" t="s">
        <v>97</v>
      </c>
      <c r="P1652" s="2" t="s">
        <v>341</v>
      </c>
      <c r="Q1652" s="2" t="s">
        <v>99</v>
      </c>
      <c r="R1652" s="2" t="s">
        <v>100</v>
      </c>
      <c r="S1652" s="2" t="s">
        <v>4664</v>
      </c>
      <c r="T1652" s="2" t="s">
        <v>1218</v>
      </c>
      <c r="U1652" s="2" t="s">
        <v>1508</v>
      </c>
      <c r="V1652" s="2" t="s">
        <v>645</v>
      </c>
      <c r="W1652" s="2" t="s">
        <v>976</v>
      </c>
      <c r="X1652" s="2" t="s">
        <v>105</v>
      </c>
      <c r="Y1652" s="2" t="s">
        <v>1740</v>
      </c>
      <c r="Z1652" s="4">
        <v>1030</v>
      </c>
      <c r="AA1652" s="4">
        <f>=ROUNDDOWN(28.6111111111111,0)</f>
      </c>
      <c r="AB1652" s="5">
        <v>36</v>
      </c>
      <c r="AC1652" s="2" t="s">
        <v>955</v>
      </c>
      <c r="AD1652" s="4">
        <v>156</v>
      </c>
      <c r="AE1652" s="4">
        <v>1156</v>
      </c>
      <c r="AF1652" s="6">
        <v>63</v>
      </c>
      <c r="AG1652" s="6">
        <v>46</v>
      </c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>
        <v>0</v>
      </c>
      <c r="AP1652" s="4">
        <v>2</v>
      </c>
      <c r="AQ1652" s="8">
        <v>53.3</v>
      </c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>
        <v>1</v>
      </c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 t="s">
        <v>100</v>
      </c>
      <c r="BJ1652" s="4">
        <v>56</v>
      </c>
      <c r="BK1652" s="8">
        <v>1407.24</v>
      </c>
      <c r="BL1652" s="2" t="s">
        <v>5021</v>
      </c>
      <c r="BM1652" s="7">
        <v>0.0357</v>
      </c>
      <c r="BN1652" s="7">
        <v>0.0379</v>
      </c>
      <c r="BO1652" s="4">
        <v>2</v>
      </c>
      <c r="BP1652" s="8">
        <v>53.3</v>
      </c>
      <c r="BQ1652" s="4"/>
      <c r="BR1652" s="8"/>
      <c r="BS1652" s="7"/>
      <c r="BT1652" s="7"/>
      <c r="BU1652" s="2" t="s">
        <v>109</v>
      </c>
      <c r="BV1652" s="2" t="s">
        <v>97</v>
      </c>
      <c r="BW1652" s="2" t="s">
        <v>819</v>
      </c>
      <c r="BX1652" s="2" t="s">
        <v>4667</v>
      </c>
      <c r="BY1652" s="2" t="s">
        <v>112</v>
      </c>
      <c r="BZ1652" s="2" t="s">
        <v>100</v>
      </c>
    </row>
    <row r="1653">
      <c r="A1653" s="2" t="s">
        <v>5022</v>
      </c>
      <c r="B1653" s="2" t="s">
        <v>87</v>
      </c>
      <c r="C1653" s="2" t="s">
        <v>4613</v>
      </c>
      <c r="D1653" s="2" t="s">
        <v>3079</v>
      </c>
      <c r="E1653" s="2" t="s">
        <v>3176</v>
      </c>
      <c r="F1653" s="2" t="s">
        <v>4648</v>
      </c>
      <c r="G1653" s="2" t="s">
        <v>4649</v>
      </c>
      <c r="H1653" s="2" t="s">
        <v>4650</v>
      </c>
      <c r="I1653" s="2" t="s">
        <v>5017</v>
      </c>
      <c r="J1653" s="2" t="s">
        <v>673</v>
      </c>
      <c r="K1653" s="2" t="s">
        <v>4652</v>
      </c>
      <c r="L1653" s="3">
        <v>16.9</v>
      </c>
      <c r="M1653" s="3">
        <v>17.75</v>
      </c>
      <c r="N1653" s="3">
        <v>35.49</v>
      </c>
      <c r="O1653" s="2" t="s">
        <v>97</v>
      </c>
      <c r="P1653" s="2" t="s">
        <v>341</v>
      </c>
      <c r="Q1653" s="2" t="s">
        <v>99</v>
      </c>
      <c r="R1653" s="2" t="s">
        <v>100</v>
      </c>
      <c r="S1653" s="2" t="s">
        <v>4653</v>
      </c>
      <c r="T1653" s="2" t="s">
        <v>1218</v>
      </c>
      <c r="U1653" s="2" t="s">
        <v>2150</v>
      </c>
      <c r="V1653" s="2" t="s">
        <v>645</v>
      </c>
      <c r="W1653" s="2" t="s">
        <v>976</v>
      </c>
      <c r="X1653" s="2" t="s">
        <v>105</v>
      </c>
      <c r="Y1653" s="2" t="s">
        <v>2129</v>
      </c>
      <c r="Z1653" s="4">
        <v>189</v>
      </c>
      <c r="AA1653" s="4">
        <f>=ROUNDDOWN(27,0)</f>
      </c>
      <c r="AB1653" s="5">
        <v>7</v>
      </c>
      <c r="AC1653" s="2" t="s">
        <v>107</v>
      </c>
      <c r="AD1653" s="4">
        <v>100</v>
      </c>
      <c r="AE1653" s="4">
        <v>100</v>
      </c>
      <c r="AF1653" s="6">
        <v>63</v>
      </c>
      <c r="AG1653" s="6">
        <v>46</v>
      </c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>
        <v>0</v>
      </c>
      <c r="AP1653" s="4"/>
      <c r="AQ1653" s="8"/>
      <c r="AR1653" s="4"/>
      <c r="AS1653" s="8"/>
      <c r="AT1653" s="7"/>
      <c r="AU1653" s="7"/>
      <c r="AV1653" s="4">
        <v>1</v>
      </c>
      <c r="AW1653" s="8">
        <v>23.55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/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>
        <v>0.3064</v>
      </c>
      <c r="BJ1653" s="4">
        <v>7</v>
      </c>
      <c r="BK1653" s="8">
        <v>136.06</v>
      </c>
      <c r="BL1653" s="2" t="s">
        <v>156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109</v>
      </c>
      <c r="BV1653" s="2" t="s">
        <v>97</v>
      </c>
      <c r="BW1653" s="2" t="s">
        <v>2674</v>
      </c>
      <c r="BX1653" s="2" t="s">
        <v>5023</v>
      </c>
      <c r="BY1653" s="2" t="s">
        <v>112</v>
      </c>
      <c r="BZ1653" s="2" t="s">
        <v>100</v>
      </c>
    </row>
    <row r="1654">
      <c r="A1654" s="2" t="s">
        <v>5024</v>
      </c>
      <c r="B1654" s="2" t="s">
        <v>87</v>
      </c>
      <c r="C1654" s="2" t="s">
        <v>4613</v>
      </c>
      <c r="D1654" s="2" t="s">
        <v>3079</v>
      </c>
      <c r="E1654" s="2" t="s">
        <v>3176</v>
      </c>
      <c r="F1654" s="2" t="s">
        <v>4648</v>
      </c>
      <c r="G1654" s="2" t="s">
        <v>4649</v>
      </c>
      <c r="H1654" s="2" t="s">
        <v>4650</v>
      </c>
      <c r="I1654" s="2" t="s">
        <v>5017</v>
      </c>
      <c r="J1654" s="2" t="s">
        <v>785</v>
      </c>
      <c r="K1654" s="2" t="s">
        <v>4652</v>
      </c>
      <c r="L1654" s="3">
        <v>20.23</v>
      </c>
      <c r="M1654" s="3">
        <v>21.24</v>
      </c>
      <c r="N1654" s="3">
        <v>42.49</v>
      </c>
      <c r="O1654" s="2" t="s">
        <v>97</v>
      </c>
      <c r="P1654" s="2" t="s">
        <v>341</v>
      </c>
      <c r="Q1654" s="2" t="s">
        <v>99</v>
      </c>
      <c r="R1654" s="2" t="s">
        <v>100</v>
      </c>
      <c r="S1654" s="2" t="s">
        <v>4653</v>
      </c>
      <c r="T1654" s="2" t="s">
        <v>1218</v>
      </c>
      <c r="U1654" s="2" t="s">
        <v>1508</v>
      </c>
      <c r="V1654" s="2" t="s">
        <v>645</v>
      </c>
      <c r="W1654" s="2" t="s">
        <v>976</v>
      </c>
      <c r="X1654" s="2" t="s">
        <v>105</v>
      </c>
      <c r="Y1654" s="2" t="s">
        <v>2129</v>
      </c>
      <c r="Z1654" s="4">
        <v>845</v>
      </c>
      <c r="AA1654" s="4">
        <f>=ROUNDDOWN(27.258064516129,0)</f>
      </c>
      <c r="AB1654" s="5">
        <v>31</v>
      </c>
      <c r="AC1654" s="2" t="s">
        <v>955</v>
      </c>
      <c r="AD1654" s="4">
        <v>200</v>
      </c>
      <c r="AE1654" s="4">
        <v>1360</v>
      </c>
      <c r="AF1654" s="6">
        <v>63</v>
      </c>
      <c r="AG1654" s="6">
        <v>46</v>
      </c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>
        <v>0</v>
      </c>
      <c r="AP1654" s="4">
        <v>1</v>
      </c>
      <c r="AQ1654" s="8">
        <v>23.55</v>
      </c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>
        <v>1</v>
      </c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27</v>
      </c>
      <c r="BK1654" s="8">
        <v>547.74</v>
      </c>
      <c r="BL1654" s="2" t="s">
        <v>5025</v>
      </c>
      <c r="BM1654" s="7">
        <v>0.037</v>
      </c>
      <c r="BN1654" s="7">
        <v>0.043</v>
      </c>
      <c r="BO1654" s="4">
        <v>1</v>
      </c>
      <c r="BP1654" s="8">
        <v>23.55</v>
      </c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4661</v>
      </c>
      <c r="BX1654" s="2" t="s">
        <v>2009</v>
      </c>
      <c r="BY1654" s="2" t="s">
        <v>112</v>
      </c>
      <c r="BZ1654" s="2" t="s">
        <v>100</v>
      </c>
    </row>
    <row r="1655">
      <c r="A1655" s="2" t="s">
        <v>5026</v>
      </c>
      <c r="B1655" s="2" t="s">
        <v>87</v>
      </c>
      <c r="C1655" s="2" t="s">
        <v>4613</v>
      </c>
      <c r="D1655" s="2" t="s">
        <v>3079</v>
      </c>
      <c r="E1655" s="2" t="s">
        <v>3176</v>
      </c>
      <c r="F1655" s="2" t="s">
        <v>4648</v>
      </c>
      <c r="G1655" s="2" t="s">
        <v>4649</v>
      </c>
      <c r="H1655" s="2" t="s">
        <v>4650</v>
      </c>
      <c r="I1655" s="2" t="s">
        <v>5017</v>
      </c>
      <c r="J1655" s="2" t="s">
        <v>795</v>
      </c>
      <c r="K1655" s="2" t="s">
        <v>4652</v>
      </c>
      <c r="L1655" s="3">
        <v>23.57</v>
      </c>
      <c r="M1655" s="3">
        <v>24.75</v>
      </c>
      <c r="N1655" s="3">
        <v>49.49</v>
      </c>
      <c r="O1655" s="2" t="s">
        <v>97</v>
      </c>
      <c r="P1655" s="2" t="s">
        <v>341</v>
      </c>
      <c r="Q1655" s="2" t="s">
        <v>99</v>
      </c>
      <c r="R1655" s="2" t="s">
        <v>100</v>
      </c>
      <c r="S1655" s="2" t="s">
        <v>4653</v>
      </c>
      <c r="T1655" s="2" t="s">
        <v>1218</v>
      </c>
      <c r="U1655" s="2" t="s">
        <v>1508</v>
      </c>
      <c r="V1655" s="2" t="s">
        <v>645</v>
      </c>
      <c r="W1655" s="2" t="s">
        <v>976</v>
      </c>
      <c r="X1655" s="2" t="s">
        <v>105</v>
      </c>
      <c r="Y1655" s="2" t="s">
        <v>2129</v>
      </c>
      <c r="Z1655" s="4">
        <v>353</v>
      </c>
      <c r="AA1655" s="4">
        <f>=ROUNDDOWN(11.3870967741935,0)</f>
      </c>
      <c r="AB1655" s="5">
        <v>31</v>
      </c>
      <c r="AC1655" s="2" t="s">
        <v>871</v>
      </c>
      <c r="AD1655" s="4">
        <v>400</v>
      </c>
      <c r="AE1655" s="4">
        <v>1800</v>
      </c>
      <c r="AF1655" s="6">
        <v>63</v>
      </c>
      <c r="AG1655" s="6">
        <v>46</v>
      </c>
      <c r="AH1655" s="7">
        <v>1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>
        <v>0</v>
      </c>
      <c r="AP1655" s="4"/>
      <c r="AQ1655" s="8"/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/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 t="s">
        <v>100</v>
      </c>
      <c r="BJ1655" s="4">
        <v>29</v>
      </c>
      <c r="BK1655" s="8">
        <v>717.03</v>
      </c>
      <c r="BL1655" s="2" t="s">
        <v>710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2674</v>
      </c>
      <c r="BX1655" s="2" t="s">
        <v>2797</v>
      </c>
      <c r="BY1655" s="2" t="s">
        <v>112</v>
      </c>
      <c r="BZ1655" s="2" t="s">
        <v>100</v>
      </c>
    </row>
    <row r="1656">
      <c r="A1656" s="2" t="s">
        <v>5027</v>
      </c>
      <c r="B1656" s="2" t="s">
        <v>87</v>
      </c>
      <c r="C1656" s="2" t="s">
        <v>4613</v>
      </c>
      <c r="D1656" s="2" t="s">
        <v>3079</v>
      </c>
      <c r="E1656" s="2" t="s">
        <v>3176</v>
      </c>
      <c r="F1656" s="2" t="s">
        <v>4648</v>
      </c>
      <c r="G1656" s="2" t="s">
        <v>4649</v>
      </c>
      <c r="H1656" s="2" t="s">
        <v>4650</v>
      </c>
      <c r="I1656" s="2" t="s">
        <v>5017</v>
      </c>
      <c r="J1656" s="2" t="s">
        <v>673</v>
      </c>
      <c r="K1656" s="2" t="s">
        <v>4670</v>
      </c>
      <c r="L1656" s="3">
        <v>16.9</v>
      </c>
      <c r="M1656" s="3">
        <v>17.75</v>
      </c>
      <c r="N1656" s="3">
        <v>35.49</v>
      </c>
      <c r="O1656" s="2" t="s">
        <v>97</v>
      </c>
      <c r="P1656" s="2" t="s">
        <v>281</v>
      </c>
      <c r="Q1656" s="2" t="s">
        <v>99</v>
      </c>
      <c r="R1656" s="2" t="s">
        <v>100</v>
      </c>
      <c r="S1656" s="2" t="s">
        <v>4671</v>
      </c>
      <c r="T1656" s="2" t="s">
        <v>1218</v>
      </c>
      <c r="U1656" s="2" t="s">
        <v>2150</v>
      </c>
      <c r="V1656" s="2" t="s">
        <v>645</v>
      </c>
      <c r="W1656" s="2" t="s">
        <v>976</v>
      </c>
      <c r="X1656" s="2" t="s">
        <v>105</v>
      </c>
      <c r="Y1656" s="2" t="s">
        <v>4672</v>
      </c>
      <c r="Z1656" s="4">
        <v>251</v>
      </c>
      <c r="AA1656" s="4">
        <f>=ROUNDDOWN(50.2,0)</f>
      </c>
      <c r="AB1656" s="5">
        <v>5</v>
      </c>
      <c r="AC1656" s="2" t="s">
        <v>871</v>
      </c>
      <c r="AD1656" s="4">
        <v>100</v>
      </c>
      <c r="AE1656" s="4">
        <v>100</v>
      </c>
      <c r="AF1656" s="6">
        <v>63</v>
      </c>
      <c r="AG1656" s="6">
        <v>46</v>
      </c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>
        <v>0</v>
      </c>
      <c r="AP1656" s="4"/>
      <c r="AQ1656" s="8"/>
      <c r="AR1656" s="4"/>
      <c r="AS1656" s="8"/>
      <c r="AT1656" s="7"/>
      <c r="AU1656" s="7"/>
      <c r="AV1656" s="4" t="s">
        <v>100</v>
      </c>
      <c r="AW1656" s="8" t="s">
        <v>100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/>
      <c r="BC1656" s="4" t="s">
        <v>100</v>
      </c>
      <c r="BD1656" s="8" t="s">
        <v>100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 t="s">
        <v>100</v>
      </c>
      <c r="BJ1656" s="4">
        <v>3</v>
      </c>
      <c r="BK1656" s="8">
        <v>73.08</v>
      </c>
      <c r="BL1656" s="2" t="s">
        <v>5028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109</v>
      </c>
      <c r="BV1656" s="2" t="s">
        <v>97</v>
      </c>
      <c r="BW1656" s="2" t="s">
        <v>819</v>
      </c>
      <c r="BX1656" s="2" t="s">
        <v>100</v>
      </c>
      <c r="BY1656" s="2" t="s">
        <v>112</v>
      </c>
      <c r="BZ1656" s="2" t="s">
        <v>100</v>
      </c>
    </row>
    <row r="1657">
      <c r="A1657" s="2" t="s">
        <v>5029</v>
      </c>
      <c r="B1657" s="2" t="s">
        <v>87</v>
      </c>
      <c r="C1657" s="2" t="s">
        <v>4613</v>
      </c>
      <c r="D1657" s="2" t="s">
        <v>3079</v>
      </c>
      <c r="E1657" s="2" t="s">
        <v>3176</v>
      </c>
      <c r="F1657" s="2" t="s">
        <v>4648</v>
      </c>
      <c r="G1657" s="2" t="s">
        <v>4649</v>
      </c>
      <c r="H1657" s="2" t="s">
        <v>4650</v>
      </c>
      <c r="I1657" s="2" t="s">
        <v>5017</v>
      </c>
      <c r="J1657" s="2" t="s">
        <v>785</v>
      </c>
      <c r="K1657" s="2" t="s">
        <v>4670</v>
      </c>
      <c r="L1657" s="3">
        <v>20.23</v>
      </c>
      <c r="M1657" s="3">
        <v>21.24</v>
      </c>
      <c r="N1657" s="3">
        <v>42.49</v>
      </c>
      <c r="O1657" s="2" t="s">
        <v>97</v>
      </c>
      <c r="P1657" s="2" t="s">
        <v>281</v>
      </c>
      <c r="Q1657" s="2" t="s">
        <v>99</v>
      </c>
      <c r="R1657" s="2" t="s">
        <v>100</v>
      </c>
      <c r="S1657" s="2" t="s">
        <v>4671</v>
      </c>
      <c r="T1657" s="2" t="s">
        <v>1218</v>
      </c>
      <c r="U1657" s="2" t="s">
        <v>1508</v>
      </c>
      <c r="V1657" s="2" t="s">
        <v>645</v>
      </c>
      <c r="W1657" s="2" t="s">
        <v>976</v>
      </c>
      <c r="X1657" s="2" t="s">
        <v>105</v>
      </c>
      <c r="Y1657" s="2" t="s">
        <v>4672</v>
      </c>
      <c r="Z1657" s="4">
        <v>1165</v>
      </c>
      <c r="AA1657" s="4">
        <f>=ROUNDDOWN(44.8076923076923,0)</f>
      </c>
      <c r="AB1657" s="5">
        <v>26</v>
      </c>
      <c r="AC1657" s="2" t="s">
        <v>107</v>
      </c>
      <c r="AD1657" s="4">
        <v>100</v>
      </c>
      <c r="AE1657" s="4">
        <v>800</v>
      </c>
      <c r="AF1657" s="6">
        <v>63</v>
      </c>
      <c r="AG1657" s="6">
        <v>46</v>
      </c>
      <c r="AH1657" s="7">
        <v>1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>
        <v>0</v>
      </c>
      <c r="AP1657" s="4"/>
      <c r="AQ1657" s="8"/>
      <c r="AR1657" s="4"/>
      <c r="AS1657" s="8"/>
      <c r="AT1657" s="7"/>
      <c r="AU1657" s="7"/>
      <c r="AV1657" s="4" t="s">
        <v>100</v>
      </c>
      <c r="AW1657" s="8" t="s">
        <v>100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/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 t="s">
        <v>100</v>
      </c>
      <c r="BJ1657" s="4">
        <v>14</v>
      </c>
      <c r="BK1657" s="8">
        <v>296.95</v>
      </c>
      <c r="BL1657" s="2" t="s">
        <v>2833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109</v>
      </c>
      <c r="BV1657" s="2" t="s">
        <v>97</v>
      </c>
      <c r="BW1657" s="2" t="s">
        <v>819</v>
      </c>
      <c r="BX1657" s="2" t="s">
        <v>1462</v>
      </c>
      <c r="BY1657" s="2" t="s">
        <v>112</v>
      </c>
      <c r="BZ1657" s="2" t="s">
        <v>100</v>
      </c>
    </row>
    <row r="1658">
      <c r="A1658" s="2" t="s">
        <v>5030</v>
      </c>
      <c r="B1658" s="2" t="s">
        <v>87</v>
      </c>
      <c r="C1658" s="2" t="s">
        <v>4613</v>
      </c>
      <c r="D1658" s="2" t="s">
        <v>3079</v>
      </c>
      <c r="E1658" s="2" t="s">
        <v>3176</v>
      </c>
      <c r="F1658" s="2" t="s">
        <v>4648</v>
      </c>
      <c r="G1658" s="2" t="s">
        <v>4649</v>
      </c>
      <c r="H1658" s="2" t="s">
        <v>4650</v>
      </c>
      <c r="I1658" s="2" t="s">
        <v>5017</v>
      </c>
      <c r="J1658" s="2" t="s">
        <v>795</v>
      </c>
      <c r="K1658" s="2" t="s">
        <v>4670</v>
      </c>
      <c r="L1658" s="3">
        <v>23.57</v>
      </c>
      <c r="M1658" s="3">
        <v>24.75</v>
      </c>
      <c r="N1658" s="3">
        <v>49.49</v>
      </c>
      <c r="O1658" s="2" t="s">
        <v>97</v>
      </c>
      <c r="P1658" s="2" t="s">
        <v>281</v>
      </c>
      <c r="Q1658" s="2" t="s">
        <v>99</v>
      </c>
      <c r="R1658" s="2" t="s">
        <v>100</v>
      </c>
      <c r="S1658" s="2" t="s">
        <v>4671</v>
      </c>
      <c r="T1658" s="2" t="s">
        <v>1218</v>
      </c>
      <c r="U1658" s="2" t="s">
        <v>1508</v>
      </c>
      <c r="V1658" s="2" t="s">
        <v>645</v>
      </c>
      <c r="W1658" s="2" t="s">
        <v>976</v>
      </c>
      <c r="X1658" s="2" t="s">
        <v>105</v>
      </c>
      <c r="Y1658" s="2" t="s">
        <v>5031</v>
      </c>
      <c r="Z1658" s="4">
        <v>1045</v>
      </c>
      <c r="AA1658" s="4">
        <f>=ROUNDDOWN(49.7619047619048,0)</f>
      </c>
      <c r="AB1658" s="5">
        <v>21</v>
      </c>
      <c r="AC1658" s="2" t="s">
        <v>107</v>
      </c>
      <c r="AD1658" s="4">
        <v>100</v>
      </c>
      <c r="AE1658" s="4">
        <v>140</v>
      </c>
      <c r="AF1658" s="6">
        <v>63</v>
      </c>
      <c r="AG1658" s="6">
        <v>46</v>
      </c>
      <c r="AH1658" s="7">
        <v>1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>
        <v>0</v>
      </c>
      <c r="AP1658" s="4"/>
      <c r="AQ1658" s="8"/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/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 t="s">
        <v>100</v>
      </c>
      <c r="BJ1658" s="4">
        <v>17</v>
      </c>
      <c r="BK1658" s="8">
        <v>438.84</v>
      </c>
      <c r="BL1658" s="2" t="s">
        <v>2450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109</v>
      </c>
      <c r="BV1658" s="2" t="s">
        <v>97</v>
      </c>
      <c r="BW1658" s="2" t="s">
        <v>819</v>
      </c>
      <c r="BX1658" s="2" t="s">
        <v>2183</v>
      </c>
      <c r="BY1658" s="2" t="s">
        <v>112</v>
      </c>
      <c r="BZ1658" s="2" t="s">
        <v>100</v>
      </c>
    </row>
    <row r="1659">
      <c r="A1659" s="2" t="s">
        <v>5032</v>
      </c>
      <c r="B1659" s="2" t="s">
        <v>87</v>
      </c>
      <c r="C1659" s="2" t="s">
        <v>4613</v>
      </c>
      <c r="D1659" s="2" t="s">
        <v>3079</v>
      </c>
      <c r="E1659" s="2" t="s">
        <v>3176</v>
      </c>
      <c r="F1659" s="2" t="s">
        <v>4648</v>
      </c>
      <c r="G1659" s="2" t="s">
        <v>4649</v>
      </c>
      <c r="H1659" s="2" t="s">
        <v>4650</v>
      </c>
      <c r="I1659" s="2" t="s">
        <v>5017</v>
      </c>
      <c r="J1659" s="2" t="s">
        <v>673</v>
      </c>
      <c r="K1659" s="2" t="s">
        <v>213</v>
      </c>
      <c r="L1659" s="3">
        <v>16.9</v>
      </c>
      <c r="M1659" s="3">
        <v>17.75</v>
      </c>
      <c r="N1659" s="3">
        <v>35.49</v>
      </c>
      <c r="O1659" s="2" t="s">
        <v>97</v>
      </c>
      <c r="P1659" s="2" t="s">
        <v>341</v>
      </c>
      <c r="Q1659" s="2" t="s">
        <v>99</v>
      </c>
      <c r="R1659" s="2" t="s">
        <v>100</v>
      </c>
      <c r="S1659" s="2" t="s">
        <v>4679</v>
      </c>
      <c r="T1659" s="2" t="s">
        <v>1218</v>
      </c>
      <c r="U1659" s="2" t="s">
        <v>2150</v>
      </c>
      <c r="V1659" s="2" t="s">
        <v>645</v>
      </c>
      <c r="W1659" s="2" t="s">
        <v>976</v>
      </c>
      <c r="X1659" s="2" t="s">
        <v>105</v>
      </c>
      <c r="Y1659" s="2" t="s">
        <v>4672</v>
      </c>
      <c r="Z1659" s="4">
        <v>127</v>
      </c>
      <c r="AA1659" s="4">
        <f>=ROUNDDOWN(11.5454545454545,0)</f>
      </c>
      <c r="AB1659" s="5">
        <v>11</v>
      </c>
      <c r="AC1659" s="2" t="s">
        <v>871</v>
      </c>
      <c r="AD1659" s="4">
        <v>100</v>
      </c>
      <c r="AE1659" s="4">
        <v>616</v>
      </c>
      <c r="AF1659" s="6">
        <v>63</v>
      </c>
      <c r="AG1659" s="6">
        <v>46</v>
      </c>
      <c r="AH1659" s="7">
        <v>1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>
        <v>0</v>
      </c>
      <c r="AP1659" s="4"/>
      <c r="AQ1659" s="8"/>
      <c r="AR1659" s="4"/>
      <c r="AS1659" s="8"/>
      <c r="AT1659" s="7"/>
      <c r="AU1659" s="7"/>
      <c r="AV1659" s="4" t="s">
        <v>100</v>
      </c>
      <c r="AW1659" s="8" t="s">
        <v>100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/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 t="s">
        <v>100</v>
      </c>
      <c r="BJ1659" s="4">
        <v>32</v>
      </c>
      <c r="BK1659" s="8">
        <v>609.82</v>
      </c>
      <c r="BL1659" s="2" t="s">
        <v>5033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109</v>
      </c>
      <c r="BV1659" s="2" t="s">
        <v>97</v>
      </c>
      <c r="BW1659" s="2" t="s">
        <v>819</v>
      </c>
      <c r="BX1659" s="2" t="s">
        <v>5034</v>
      </c>
      <c r="BY1659" s="2" t="s">
        <v>112</v>
      </c>
      <c r="BZ1659" s="2" t="s">
        <v>100</v>
      </c>
    </row>
    <row r="1660">
      <c r="A1660" s="2" t="s">
        <v>5035</v>
      </c>
      <c r="B1660" s="2" t="s">
        <v>87</v>
      </c>
      <c r="C1660" s="2" t="s">
        <v>4613</v>
      </c>
      <c r="D1660" s="2" t="s">
        <v>3079</v>
      </c>
      <c r="E1660" s="2" t="s">
        <v>3176</v>
      </c>
      <c r="F1660" s="2" t="s">
        <v>4648</v>
      </c>
      <c r="G1660" s="2" t="s">
        <v>4649</v>
      </c>
      <c r="H1660" s="2" t="s">
        <v>4650</v>
      </c>
      <c r="I1660" s="2" t="s">
        <v>5017</v>
      </c>
      <c r="J1660" s="2" t="s">
        <v>785</v>
      </c>
      <c r="K1660" s="2" t="s">
        <v>213</v>
      </c>
      <c r="L1660" s="3">
        <v>20.23</v>
      </c>
      <c r="M1660" s="3">
        <v>21.24</v>
      </c>
      <c r="N1660" s="3">
        <v>42.49</v>
      </c>
      <c r="O1660" s="2" t="s">
        <v>97</v>
      </c>
      <c r="P1660" s="2" t="s">
        <v>341</v>
      </c>
      <c r="Q1660" s="2" t="s">
        <v>99</v>
      </c>
      <c r="R1660" s="2" t="s">
        <v>100</v>
      </c>
      <c r="S1660" s="2" t="s">
        <v>4679</v>
      </c>
      <c r="T1660" s="2" t="s">
        <v>1218</v>
      </c>
      <c r="U1660" s="2" t="s">
        <v>1508</v>
      </c>
      <c r="V1660" s="2" t="s">
        <v>645</v>
      </c>
      <c r="W1660" s="2" t="s">
        <v>976</v>
      </c>
      <c r="X1660" s="2" t="s">
        <v>105</v>
      </c>
      <c r="Y1660" s="2" t="s">
        <v>4672</v>
      </c>
      <c r="Z1660" s="4">
        <v>1769</v>
      </c>
      <c r="AA1660" s="4">
        <f>=ROUNDDOWN(26.8030303030303,0)</f>
      </c>
      <c r="AB1660" s="5">
        <v>66</v>
      </c>
      <c r="AC1660" s="2" t="s">
        <v>2404</v>
      </c>
      <c r="AD1660" s="4">
        <v>92</v>
      </c>
      <c r="AE1660" s="4">
        <v>1808</v>
      </c>
      <c r="AF1660" s="6">
        <v>63</v>
      </c>
      <c r="AG1660" s="6">
        <v>46</v>
      </c>
      <c r="AH1660" s="7">
        <v>1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>
        <v>0</v>
      </c>
      <c r="AP1660" s="4"/>
      <c r="AQ1660" s="8"/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/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 t="s">
        <v>100</v>
      </c>
      <c r="BJ1660" s="4">
        <v>61</v>
      </c>
      <c r="BK1660" s="8">
        <v>1377.66</v>
      </c>
      <c r="BL1660" s="2" t="s">
        <v>685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109</v>
      </c>
      <c r="BV1660" s="2" t="s">
        <v>97</v>
      </c>
      <c r="BW1660" s="2" t="s">
        <v>819</v>
      </c>
      <c r="BX1660" s="2" t="s">
        <v>4719</v>
      </c>
      <c r="BY1660" s="2" t="s">
        <v>112</v>
      </c>
      <c r="BZ1660" s="2" t="s">
        <v>100</v>
      </c>
    </row>
    <row r="1661">
      <c r="A1661" s="2" t="s">
        <v>5036</v>
      </c>
      <c r="B1661" s="2" t="s">
        <v>87</v>
      </c>
      <c r="C1661" s="2" t="s">
        <v>4613</v>
      </c>
      <c r="D1661" s="2" t="s">
        <v>3079</v>
      </c>
      <c r="E1661" s="2" t="s">
        <v>3176</v>
      </c>
      <c r="F1661" s="2" t="s">
        <v>4648</v>
      </c>
      <c r="G1661" s="2" t="s">
        <v>4649</v>
      </c>
      <c r="H1661" s="2" t="s">
        <v>4650</v>
      </c>
      <c r="I1661" s="2" t="s">
        <v>5017</v>
      </c>
      <c r="J1661" s="2" t="s">
        <v>795</v>
      </c>
      <c r="K1661" s="2" t="s">
        <v>213</v>
      </c>
      <c r="L1661" s="3">
        <v>23.57</v>
      </c>
      <c r="M1661" s="3">
        <v>24.75</v>
      </c>
      <c r="N1661" s="3">
        <v>49.49</v>
      </c>
      <c r="O1661" s="2" t="s">
        <v>97</v>
      </c>
      <c r="P1661" s="2" t="s">
        <v>341</v>
      </c>
      <c r="Q1661" s="2" t="s">
        <v>99</v>
      </c>
      <c r="R1661" s="2" t="s">
        <v>100</v>
      </c>
      <c r="S1661" s="2" t="s">
        <v>4679</v>
      </c>
      <c r="T1661" s="2" t="s">
        <v>1218</v>
      </c>
      <c r="U1661" s="2" t="s">
        <v>1508</v>
      </c>
      <c r="V1661" s="2" t="s">
        <v>645</v>
      </c>
      <c r="W1661" s="2" t="s">
        <v>976</v>
      </c>
      <c r="X1661" s="2" t="s">
        <v>105</v>
      </c>
      <c r="Y1661" s="2" t="s">
        <v>5031</v>
      </c>
      <c r="Z1661" s="4">
        <v>769</v>
      </c>
      <c r="AA1661" s="4">
        <f>=ROUNDDOWN(12.015625,0)</f>
      </c>
      <c r="AB1661" s="5">
        <v>64</v>
      </c>
      <c r="AC1661" s="2" t="s">
        <v>2404</v>
      </c>
      <c r="AD1661" s="4">
        <v>24</v>
      </c>
      <c r="AE1661" s="4">
        <v>1884</v>
      </c>
      <c r="AF1661" s="6">
        <v>63</v>
      </c>
      <c r="AG1661" s="6">
        <v>46</v>
      </c>
      <c r="AH1661" s="7">
        <v>1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>
        <v>0</v>
      </c>
      <c r="AP1661" s="4"/>
      <c r="AQ1661" s="8"/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/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 t="s">
        <v>100</v>
      </c>
      <c r="BJ1661" s="4">
        <v>77</v>
      </c>
      <c r="BK1661" s="8">
        <v>2012.97</v>
      </c>
      <c r="BL1661" s="2" t="s">
        <v>2455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109</v>
      </c>
      <c r="BV1661" s="2" t="s">
        <v>97</v>
      </c>
      <c r="BW1661" s="2" t="s">
        <v>819</v>
      </c>
      <c r="BX1661" s="2" t="s">
        <v>4719</v>
      </c>
      <c r="BY1661" s="2" t="s">
        <v>112</v>
      </c>
      <c r="BZ1661" s="2" t="s">
        <v>100</v>
      </c>
    </row>
    <row r="1662">
      <c r="A1662" s="2" t="s">
        <v>5037</v>
      </c>
      <c r="B1662" s="2" t="s">
        <v>87</v>
      </c>
      <c r="C1662" s="2" t="s">
        <v>4613</v>
      </c>
      <c r="D1662" s="2" t="s">
        <v>3079</v>
      </c>
      <c r="E1662" s="2" t="s">
        <v>3176</v>
      </c>
      <c r="F1662" s="2" t="s">
        <v>4767</v>
      </c>
      <c r="G1662" s="2" t="s">
        <v>4768</v>
      </c>
      <c r="H1662" s="2" t="s">
        <v>4769</v>
      </c>
      <c r="I1662" s="2" t="s">
        <v>5038</v>
      </c>
      <c r="J1662" s="2" t="s">
        <v>673</v>
      </c>
      <c r="K1662" s="2" t="s">
        <v>1555</v>
      </c>
      <c r="L1662" s="3">
        <v>15.47</v>
      </c>
      <c r="M1662" s="3">
        <v>16.24</v>
      </c>
      <c r="N1662" s="3">
        <v>32.49</v>
      </c>
      <c r="O1662" s="2" t="s">
        <v>97</v>
      </c>
      <c r="P1662" s="2" t="s">
        <v>341</v>
      </c>
      <c r="Q1662" s="2" t="s">
        <v>99</v>
      </c>
      <c r="R1662" s="2" t="s">
        <v>100</v>
      </c>
      <c r="S1662" s="2" t="s">
        <v>4771</v>
      </c>
      <c r="T1662" s="2" t="s">
        <v>787</v>
      </c>
      <c r="U1662" s="2" t="s">
        <v>2150</v>
      </c>
      <c r="V1662" s="2" t="s">
        <v>645</v>
      </c>
      <c r="W1662" s="2" t="s">
        <v>976</v>
      </c>
      <c r="X1662" s="2" t="s">
        <v>105</v>
      </c>
      <c r="Y1662" s="2" t="s">
        <v>4672</v>
      </c>
      <c r="Z1662" s="4">
        <v>830</v>
      </c>
      <c r="AA1662" s="4">
        <f>=ROUNDDOWN(55.3333333333333,0)</f>
      </c>
      <c r="AB1662" s="5">
        <v>15</v>
      </c>
      <c r="AC1662" s="2" t="s">
        <v>100</v>
      </c>
      <c r="AD1662" s="4"/>
      <c r="AE1662" s="4"/>
      <c r="AF1662" s="6">
        <v>63</v>
      </c>
      <c r="AG1662" s="6">
        <v>46</v>
      </c>
      <c r="AH1662" s="7">
        <v>1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>
        <v>0</v>
      </c>
      <c r="AP1662" s="4"/>
      <c r="AQ1662" s="8"/>
      <c r="AR1662" s="4"/>
      <c r="AS1662" s="8"/>
      <c r="AT1662" s="7"/>
      <c r="AU1662" s="7"/>
      <c r="AV1662" s="4">
        <v>1</v>
      </c>
      <c r="AW1662" s="8">
        <v>26.65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/>
      <c r="BC1662" s="4">
        <v>3</v>
      </c>
      <c r="BD1662" s="8">
        <v>70.36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>
        <v>0.3788</v>
      </c>
      <c r="BJ1662" s="4">
        <v>83</v>
      </c>
      <c r="BK1662" s="8">
        <v>1443.89</v>
      </c>
      <c r="BL1662" s="2" t="s">
        <v>2520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109</v>
      </c>
      <c r="BV1662" s="2" t="s">
        <v>97</v>
      </c>
      <c r="BW1662" s="2" t="s">
        <v>819</v>
      </c>
      <c r="BX1662" s="2" t="s">
        <v>100</v>
      </c>
      <c r="BY1662" s="2" t="s">
        <v>112</v>
      </c>
      <c r="BZ1662" s="2" t="s">
        <v>100</v>
      </c>
    </row>
    <row r="1663">
      <c r="A1663" s="2" t="s">
        <v>5039</v>
      </c>
      <c r="B1663" s="2" t="s">
        <v>87</v>
      </c>
      <c r="C1663" s="2" t="s">
        <v>4613</v>
      </c>
      <c r="D1663" s="2" t="s">
        <v>3079</v>
      </c>
      <c r="E1663" s="2" t="s">
        <v>3176</v>
      </c>
      <c r="F1663" s="2" t="s">
        <v>4767</v>
      </c>
      <c r="G1663" s="2" t="s">
        <v>4768</v>
      </c>
      <c r="H1663" s="2" t="s">
        <v>4769</v>
      </c>
      <c r="I1663" s="2" t="s">
        <v>5038</v>
      </c>
      <c r="J1663" s="2" t="s">
        <v>95</v>
      </c>
      <c r="K1663" s="2" t="s">
        <v>1555</v>
      </c>
      <c r="L1663" s="3">
        <v>19.76</v>
      </c>
      <c r="M1663" s="3">
        <v>20.75</v>
      </c>
      <c r="N1663" s="3">
        <v>41.49</v>
      </c>
      <c r="O1663" s="2" t="s">
        <v>97</v>
      </c>
      <c r="P1663" s="2" t="s">
        <v>1216</v>
      </c>
      <c r="Q1663" s="2" t="s">
        <v>99</v>
      </c>
      <c r="R1663" s="2" t="s">
        <v>100</v>
      </c>
      <c r="S1663" s="2" t="s">
        <v>4771</v>
      </c>
      <c r="T1663" s="2" t="s">
        <v>787</v>
      </c>
      <c r="U1663" s="2" t="s">
        <v>1508</v>
      </c>
      <c r="V1663" s="2" t="s">
        <v>645</v>
      </c>
      <c r="W1663" s="2" t="s">
        <v>976</v>
      </c>
      <c r="X1663" s="2" t="s">
        <v>105</v>
      </c>
      <c r="Y1663" s="2" t="s">
        <v>100</v>
      </c>
      <c r="Z1663" s="4"/>
      <c r="AA1663" s="4">
        <f>=ROUNDDOWN({0},0)</f>
      </c>
      <c r="AB1663" s="5"/>
      <c r="AC1663" s="2" t="s">
        <v>411</v>
      </c>
      <c r="AD1663" s="4">
        <v>404</v>
      </c>
      <c r="AE1663" s="4">
        <v>612</v>
      </c>
      <c r="AF1663" s="6">
        <v>63</v>
      </c>
      <c r="AG1663" s="6">
        <v>46</v>
      </c>
      <c r="AH1663" s="7">
        <v>0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>
        <v>0</v>
      </c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 t="s">
        <v>100</v>
      </c>
      <c r="BJ1663" s="4"/>
      <c r="BK1663" s="8"/>
      <c r="BL1663" s="2" t="s">
        <v>100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1338</v>
      </c>
      <c r="BV1663" s="2" t="s">
        <v>97</v>
      </c>
      <c r="BW1663" s="2" t="s">
        <v>100</v>
      </c>
      <c r="BX1663" s="2" t="s">
        <v>100</v>
      </c>
      <c r="BY1663" s="2" t="s">
        <v>112</v>
      </c>
      <c r="BZ1663" s="2" t="s">
        <v>100</v>
      </c>
    </row>
    <row r="1664">
      <c r="A1664" s="2" t="s">
        <v>5040</v>
      </c>
      <c r="B1664" s="2" t="s">
        <v>87</v>
      </c>
      <c r="C1664" s="2" t="s">
        <v>4613</v>
      </c>
      <c r="D1664" s="2" t="s">
        <v>3079</v>
      </c>
      <c r="E1664" s="2" t="s">
        <v>3176</v>
      </c>
      <c r="F1664" s="2" t="s">
        <v>4767</v>
      </c>
      <c r="G1664" s="2" t="s">
        <v>4768</v>
      </c>
      <c r="H1664" s="2" t="s">
        <v>4769</v>
      </c>
      <c r="I1664" s="2" t="s">
        <v>5038</v>
      </c>
      <c r="J1664" s="2" t="s">
        <v>114</v>
      </c>
      <c r="K1664" s="2" t="s">
        <v>1555</v>
      </c>
      <c r="L1664" s="3">
        <v>20.23</v>
      </c>
      <c r="M1664" s="3">
        <v>21.24</v>
      </c>
      <c r="N1664" s="3">
        <v>42.49</v>
      </c>
      <c r="O1664" s="2" t="s">
        <v>97</v>
      </c>
      <c r="P1664" s="2" t="s">
        <v>341</v>
      </c>
      <c r="Q1664" s="2" t="s">
        <v>99</v>
      </c>
      <c r="R1664" s="2" t="s">
        <v>100</v>
      </c>
      <c r="S1664" s="2" t="s">
        <v>4771</v>
      </c>
      <c r="T1664" s="2" t="s">
        <v>787</v>
      </c>
      <c r="U1664" s="2" t="s">
        <v>1508</v>
      </c>
      <c r="V1664" s="2" t="s">
        <v>645</v>
      </c>
      <c r="W1664" s="2" t="s">
        <v>976</v>
      </c>
      <c r="X1664" s="2" t="s">
        <v>105</v>
      </c>
      <c r="Y1664" s="2" t="s">
        <v>4672</v>
      </c>
      <c r="Z1664" s="4">
        <v>2459</v>
      </c>
      <c r="AA1664" s="4">
        <f>=ROUNDDOWN(94.5769230769231,0)</f>
      </c>
      <c r="AB1664" s="5">
        <v>26</v>
      </c>
      <c r="AC1664" s="2" t="s">
        <v>1678</v>
      </c>
      <c r="AD1664" s="4">
        <v>720</v>
      </c>
      <c r="AE1664" s="4">
        <v>1720</v>
      </c>
      <c r="AF1664" s="6">
        <v>63</v>
      </c>
      <c r="AG1664" s="6">
        <v>46</v>
      </c>
      <c r="AH1664" s="7">
        <v>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/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 t="s">
        <v>100</v>
      </c>
      <c r="BJ1664" s="4">
        <v>223</v>
      </c>
      <c r="BK1664" s="8">
        <v>4842.28</v>
      </c>
      <c r="BL1664" s="2" t="s">
        <v>5041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109</v>
      </c>
      <c r="BV1664" s="2" t="s">
        <v>97</v>
      </c>
      <c r="BW1664" s="2" t="s">
        <v>5042</v>
      </c>
      <c r="BX1664" s="2" t="s">
        <v>5043</v>
      </c>
      <c r="BY1664" s="2" t="s">
        <v>112</v>
      </c>
      <c r="BZ1664" s="2" t="s">
        <v>100</v>
      </c>
    </row>
    <row r="1665">
      <c r="A1665" s="2" t="s">
        <v>5044</v>
      </c>
      <c r="B1665" s="2" t="s">
        <v>87</v>
      </c>
      <c r="C1665" s="2" t="s">
        <v>4613</v>
      </c>
      <c r="D1665" s="2" t="s">
        <v>3079</v>
      </c>
      <c r="E1665" s="2" t="s">
        <v>3176</v>
      </c>
      <c r="F1665" s="2" t="s">
        <v>4767</v>
      </c>
      <c r="G1665" s="2" t="s">
        <v>4768</v>
      </c>
      <c r="H1665" s="2" t="s">
        <v>4769</v>
      </c>
      <c r="I1665" s="2" t="s">
        <v>5038</v>
      </c>
      <c r="J1665" s="2" t="s">
        <v>120</v>
      </c>
      <c r="K1665" s="2" t="s">
        <v>1555</v>
      </c>
      <c r="L1665" s="3">
        <v>22.61</v>
      </c>
      <c r="M1665" s="3">
        <v>23.74</v>
      </c>
      <c r="N1665" s="3">
        <v>47.49</v>
      </c>
      <c r="O1665" s="2" t="s">
        <v>97</v>
      </c>
      <c r="P1665" s="2" t="s">
        <v>341</v>
      </c>
      <c r="Q1665" s="2" t="s">
        <v>99</v>
      </c>
      <c r="R1665" s="2" t="s">
        <v>100</v>
      </c>
      <c r="S1665" s="2" t="s">
        <v>4771</v>
      </c>
      <c r="T1665" s="2" t="s">
        <v>787</v>
      </c>
      <c r="U1665" s="2" t="s">
        <v>1508</v>
      </c>
      <c r="V1665" s="2" t="s">
        <v>645</v>
      </c>
      <c r="W1665" s="2" t="s">
        <v>976</v>
      </c>
      <c r="X1665" s="2" t="s">
        <v>105</v>
      </c>
      <c r="Y1665" s="2" t="s">
        <v>2129</v>
      </c>
      <c r="Z1665" s="4">
        <v>1565</v>
      </c>
      <c r="AA1665" s="4">
        <f>=ROUNDDOWN(60.1923076923077,0)</f>
      </c>
      <c r="AB1665" s="5">
        <v>26</v>
      </c>
      <c r="AC1665" s="2" t="s">
        <v>2404</v>
      </c>
      <c r="AD1665" s="4">
        <v>268</v>
      </c>
      <c r="AE1665" s="4">
        <v>3368</v>
      </c>
      <c r="AF1665" s="6">
        <v>63</v>
      </c>
      <c r="AG1665" s="6">
        <v>46</v>
      </c>
      <c r="AH1665" s="7">
        <v>1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>
        <v>0</v>
      </c>
      <c r="AP1665" s="4">
        <v>1</v>
      </c>
      <c r="AQ1665" s="8">
        <v>26.65</v>
      </c>
      <c r="AR1665" s="4"/>
      <c r="AS1665" s="8"/>
      <c r="AT1665" s="7"/>
      <c r="AU1665" s="7"/>
      <c r="AV1665" s="4" t="s">
        <v>100</v>
      </c>
      <c r="AW1665" s="8" t="s">
        <v>100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>
        <v>1</v>
      </c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 t="s">
        <v>100</v>
      </c>
      <c r="BJ1665" s="4">
        <v>164</v>
      </c>
      <c r="BK1665" s="8">
        <v>3922.1</v>
      </c>
      <c r="BL1665" s="2" t="s">
        <v>5045</v>
      </c>
      <c r="BM1665" s="7">
        <v>0.0061</v>
      </c>
      <c r="BN1665" s="7">
        <v>0.0068</v>
      </c>
      <c r="BO1665" s="4">
        <v>1</v>
      </c>
      <c r="BP1665" s="8">
        <v>26.65</v>
      </c>
      <c r="BQ1665" s="4"/>
      <c r="BR1665" s="8"/>
      <c r="BS1665" s="7"/>
      <c r="BT1665" s="7"/>
      <c r="BU1665" s="2" t="s">
        <v>109</v>
      </c>
      <c r="BV1665" s="2" t="s">
        <v>97</v>
      </c>
      <c r="BW1665" s="2" t="s">
        <v>5042</v>
      </c>
      <c r="BX1665" s="2" t="s">
        <v>2171</v>
      </c>
      <c r="BY1665" s="2" t="s">
        <v>112</v>
      </c>
      <c r="BZ1665" s="2" t="s">
        <v>100</v>
      </c>
    </row>
    <row r="1666">
      <c r="A1666" s="2" t="s">
        <v>5046</v>
      </c>
      <c r="B1666" s="2" t="s">
        <v>87</v>
      </c>
      <c r="C1666" s="2" t="s">
        <v>4613</v>
      </c>
      <c r="D1666" s="2" t="s">
        <v>3079</v>
      </c>
      <c r="E1666" s="2" t="s">
        <v>3176</v>
      </c>
      <c r="F1666" s="2" t="s">
        <v>4767</v>
      </c>
      <c r="G1666" s="2" t="s">
        <v>4768</v>
      </c>
      <c r="H1666" s="2" t="s">
        <v>4769</v>
      </c>
      <c r="I1666" s="2" t="s">
        <v>5038</v>
      </c>
      <c r="J1666" s="2" t="s">
        <v>124</v>
      </c>
      <c r="K1666" s="2" t="s">
        <v>1555</v>
      </c>
      <c r="L1666" s="3">
        <v>23.57</v>
      </c>
      <c r="M1666" s="3">
        <v>24.75</v>
      </c>
      <c r="N1666" s="3">
        <v>49.49</v>
      </c>
      <c r="O1666" s="2" t="s">
        <v>97</v>
      </c>
      <c r="P1666" s="2" t="s">
        <v>1216</v>
      </c>
      <c r="Q1666" s="2" t="s">
        <v>99</v>
      </c>
      <c r="R1666" s="2" t="s">
        <v>100</v>
      </c>
      <c r="S1666" s="2" t="s">
        <v>4771</v>
      </c>
      <c r="T1666" s="2" t="s">
        <v>787</v>
      </c>
      <c r="U1666" s="2" t="s">
        <v>1508</v>
      </c>
      <c r="V1666" s="2" t="s">
        <v>645</v>
      </c>
      <c r="W1666" s="2" t="s">
        <v>976</v>
      </c>
      <c r="X1666" s="2" t="s">
        <v>105</v>
      </c>
      <c r="Y1666" s="2" t="s">
        <v>100</v>
      </c>
      <c r="Z1666" s="4"/>
      <c r="AA1666" s="4">
        <f>=ROUNDDOWN({0},0)</f>
      </c>
      <c r="AB1666" s="5"/>
      <c r="AC1666" s="2" t="s">
        <v>411</v>
      </c>
      <c r="AD1666" s="4">
        <v>764</v>
      </c>
      <c r="AE1666" s="4">
        <v>980</v>
      </c>
      <c r="AF1666" s="6">
        <v>63</v>
      </c>
      <c r="AG1666" s="6">
        <v>46</v>
      </c>
      <c r="AH1666" s="7">
        <v>0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>
        <v>0</v>
      </c>
      <c r="AP1666" s="4"/>
      <c r="AQ1666" s="8"/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/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 t="s">
        <v>100</v>
      </c>
      <c r="BJ1666" s="4"/>
      <c r="BK1666" s="8"/>
      <c r="BL1666" s="2" t="s">
        <v>100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1338</v>
      </c>
      <c r="BV1666" s="2" t="s">
        <v>97</v>
      </c>
      <c r="BW1666" s="2" t="s">
        <v>100</v>
      </c>
      <c r="BX1666" s="2" t="s">
        <v>100</v>
      </c>
      <c r="BY1666" s="2" t="s">
        <v>112</v>
      </c>
      <c r="BZ1666" s="2" t="s">
        <v>100</v>
      </c>
    </row>
    <row r="1667">
      <c r="A1667" s="2" t="s">
        <v>5047</v>
      </c>
      <c r="B1667" s="2" t="s">
        <v>87</v>
      </c>
      <c r="C1667" s="2" t="s">
        <v>4613</v>
      </c>
      <c r="D1667" s="2" t="s">
        <v>3079</v>
      </c>
      <c r="E1667" s="2" t="s">
        <v>3176</v>
      </c>
      <c r="F1667" s="2" t="s">
        <v>4767</v>
      </c>
      <c r="G1667" s="2" t="s">
        <v>4768</v>
      </c>
      <c r="H1667" s="2" t="s">
        <v>4769</v>
      </c>
      <c r="I1667" s="2" t="s">
        <v>5038</v>
      </c>
      <c r="J1667" s="2" t="s">
        <v>673</v>
      </c>
      <c r="K1667" s="2" t="s">
        <v>213</v>
      </c>
      <c r="L1667" s="3">
        <v>15.47</v>
      </c>
      <c r="M1667" s="3">
        <v>16.24</v>
      </c>
      <c r="N1667" s="3">
        <v>32.49</v>
      </c>
      <c r="O1667" s="2" t="s">
        <v>97</v>
      </c>
      <c r="P1667" s="2" t="s">
        <v>341</v>
      </c>
      <c r="Q1667" s="2" t="s">
        <v>99</v>
      </c>
      <c r="R1667" s="2" t="s">
        <v>100</v>
      </c>
      <c r="S1667" s="2" t="s">
        <v>4781</v>
      </c>
      <c r="T1667" s="2" t="s">
        <v>787</v>
      </c>
      <c r="U1667" s="2" t="s">
        <v>2150</v>
      </c>
      <c r="V1667" s="2" t="s">
        <v>645</v>
      </c>
      <c r="W1667" s="2" t="s">
        <v>976</v>
      </c>
      <c r="X1667" s="2" t="s">
        <v>105</v>
      </c>
      <c r="Y1667" s="2" t="s">
        <v>2129</v>
      </c>
      <c r="Z1667" s="4">
        <v>305</v>
      </c>
      <c r="AA1667" s="4">
        <f>=ROUNDDOWN(43.5714285714286,0)</f>
      </c>
      <c r="AB1667" s="5">
        <v>7</v>
      </c>
      <c r="AC1667" s="2" t="s">
        <v>1678</v>
      </c>
      <c r="AD1667" s="4">
        <v>100</v>
      </c>
      <c r="AE1667" s="4">
        <v>100</v>
      </c>
      <c r="AF1667" s="6">
        <v>63</v>
      </c>
      <c r="AG1667" s="6">
        <v>46</v>
      </c>
      <c r="AH1667" s="7">
        <v>1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>
        <v>0</v>
      </c>
      <c r="AP1667" s="4"/>
      <c r="AQ1667" s="8"/>
      <c r="AR1667" s="4"/>
      <c r="AS1667" s="8"/>
      <c r="AT1667" s="7"/>
      <c r="AU1667" s="7"/>
      <c r="AV1667" s="4">
        <v>1</v>
      </c>
      <c r="AW1667" s="8">
        <v>26.65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/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>
        <v>0.3788</v>
      </c>
      <c r="BJ1667" s="4">
        <v>14</v>
      </c>
      <c r="BK1667" s="8">
        <v>246.54</v>
      </c>
      <c r="BL1667" s="2" t="s">
        <v>5048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109</v>
      </c>
      <c r="BV1667" s="2" t="s">
        <v>97</v>
      </c>
      <c r="BW1667" s="2" t="s">
        <v>819</v>
      </c>
      <c r="BX1667" s="2" t="s">
        <v>100</v>
      </c>
      <c r="BY1667" s="2" t="s">
        <v>112</v>
      </c>
      <c r="BZ1667" s="2" t="s">
        <v>100</v>
      </c>
    </row>
    <row r="1668">
      <c r="A1668" s="2" t="s">
        <v>5049</v>
      </c>
      <c r="B1668" s="2" t="s">
        <v>87</v>
      </c>
      <c r="C1668" s="2" t="s">
        <v>4613</v>
      </c>
      <c r="D1668" s="2" t="s">
        <v>3079</v>
      </c>
      <c r="E1668" s="2" t="s">
        <v>3176</v>
      </c>
      <c r="F1668" s="2" t="s">
        <v>4767</v>
      </c>
      <c r="G1668" s="2" t="s">
        <v>4768</v>
      </c>
      <c r="H1668" s="2" t="s">
        <v>4769</v>
      </c>
      <c r="I1668" s="2" t="s">
        <v>5038</v>
      </c>
      <c r="J1668" s="2" t="s">
        <v>95</v>
      </c>
      <c r="K1668" s="2" t="s">
        <v>213</v>
      </c>
      <c r="L1668" s="3">
        <v>19.76</v>
      </c>
      <c r="M1668" s="3">
        <v>20.75</v>
      </c>
      <c r="N1668" s="3">
        <v>41.49</v>
      </c>
      <c r="O1668" s="2" t="s">
        <v>97</v>
      </c>
      <c r="P1668" s="2" t="s">
        <v>1216</v>
      </c>
      <c r="Q1668" s="2" t="s">
        <v>99</v>
      </c>
      <c r="R1668" s="2" t="s">
        <v>100</v>
      </c>
      <c r="S1668" s="2" t="s">
        <v>4781</v>
      </c>
      <c r="T1668" s="2" t="s">
        <v>787</v>
      </c>
      <c r="U1668" s="2" t="s">
        <v>1508</v>
      </c>
      <c r="V1668" s="2" t="s">
        <v>645</v>
      </c>
      <c r="W1668" s="2" t="s">
        <v>976</v>
      </c>
      <c r="X1668" s="2" t="s">
        <v>105</v>
      </c>
      <c r="Y1668" s="2" t="s">
        <v>100</v>
      </c>
      <c r="Z1668" s="4"/>
      <c r="AA1668" s="4">
        <f>=ROUNDDOWN({0},0)</f>
      </c>
      <c r="AB1668" s="5"/>
      <c r="AC1668" s="2" t="s">
        <v>411</v>
      </c>
      <c r="AD1668" s="4">
        <v>172</v>
      </c>
      <c r="AE1668" s="4">
        <v>308</v>
      </c>
      <c r="AF1668" s="6">
        <v>63</v>
      </c>
      <c r="AG1668" s="6">
        <v>46</v>
      </c>
      <c r="AH1668" s="7">
        <v>0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>
        <v>0</v>
      </c>
      <c r="AP1668" s="4"/>
      <c r="AQ1668" s="8"/>
      <c r="AR1668" s="4"/>
      <c r="AS1668" s="8"/>
      <c r="AT1668" s="7"/>
      <c r="AU1668" s="7"/>
      <c r="AV1668" s="4" t="s">
        <v>100</v>
      </c>
      <c r="AW1668" s="8" t="s">
        <v>100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/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 t="s">
        <v>100</v>
      </c>
      <c r="BJ1668" s="4"/>
      <c r="BK1668" s="8"/>
      <c r="BL1668" s="2" t="s">
        <v>100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1338</v>
      </c>
      <c r="BV1668" s="2" t="s">
        <v>97</v>
      </c>
      <c r="BW1668" s="2" t="s">
        <v>100</v>
      </c>
      <c r="BX1668" s="2" t="s">
        <v>100</v>
      </c>
      <c r="BY1668" s="2" t="s">
        <v>112</v>
      </c>
      <c r="BZ1668" s="2" t="s">
        <v>100</v>
      </c>
    </row>
    <row r="1669">
      <c r="A1669" s="2" t="s">
        <v>5050</v>
      </c>
      <c r="B1669" s="2" t="s">
        <v>87</v>
      </c>
      <c r="C1669" s="2" t="s">
        <v>4613</v>
      </c>
      <c r="D1669" s="2" t="s">
        <v>3079</v>
      </c>
      <c r="E1669" s="2" t="s">
        <v>3176</v>
      </c>
      <c r="F1669" s="2" t="s">
        <v>4767</v>
      </c>
      <c r="G1669" s="2" t="s">
        <v>4768</v>
      </c>
      <c r="H1669" s="2" t="s">
        <v>4769</v>
      </c>
      <c r="I1669" s="2" t="s">
        <v>5038</v>
      </c>
      <c r="J1669" s="2" t="s">
        <v>114</v>
      </c>
      <c r="K1669" s="2" t="s">
        <v>213</v>
      </c>
      <c r="L1669" s="3">
        <v>20.23</v>
      </c>
      <c r="M1669" s="3">
        <v>21.24</v>
      </c>
      <c r="N1669" s="3">
        <v>42.49</v>
      </c>
      <c r="O1669" s="2" t="s">
        <v>97</v>
      </c>
      <c r="P1669" s="2" t="s">
        <v>341</v>
      </c>
      <c r="Q1669" s="2" t="s">
        <v>99</v>
      </c>
      <c r="R1669" s="2" t="s">
        <v>100</v>
      </c>
      <c r="S1669" s="2" t="s">
        <v>4781</v>
      </c>
      <c r="T1669" s="2" t="s">
        <v>787</v>
      </c>
      <c r="U1669" s="2" t="s">
        <v>1508</v>
      </c>
      <c r="V1669" s="2" t="s">
        <v>645</v>
      </c>
      <c r="W1669" s="2" t="s">
        <v>976</v>
      </c>
      <c r="X1669" s="2" t="s">
        <v>105</v>
      </c>
      <c r="Y1669" s="2" t="s">
        <v>2129</v>
      </c>
      <c r="Z1669" s="4">
        <v>912</v>
      </c>
      <c r="AA1669" s="4">
        <f>=ROUNDDOWN(43.4285714285714,0)</f>
      </c>
      <c r="AB1669" s="5">
        <v>21</v>
      </c>
      <c r="AC1669" s="2" t="s">
        <v>1678</v>
      </c>
      <c r="AD1669" s="4">
        <v>320</v>
      </c>
      <c r="AE1669" s="4">
        <v>320</v>
      </c>
      <c r="AF1669" s="6">
        <v>63</v>
      </c>
      <c r="AG1669" s="6">
        <v>46</v>
      </c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>
        <v>0</v>
      </c>
      <c r="AP1669" s="4"/>
      <c r="AQ1669" s="8"/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/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 t="s">
        <v>100</v>
      </c>
      <c r="BJ1669" s="4">
        <v>51</v>
      </c>
      <c r="BK1669" s="8">
        <v>1102.76</v>
      </c>
      <c r="BL1669" s="2" t="s">
        <v>4657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109</v>
      </c>
      <c r="BV1669" s="2" t="s">
        <v>97</v>
      </c>
      <c r="BW1669" s="2" t="s">
        <v>819</v>
      </c>
      <c r="BX1669" s="2" t="s">
        <v>4792</v>
      </c>
      <c r="BY1669" s="2" t="s">
        <v>112</v>
      </c>
      <c r="BZ1669" s="2" t="s">
        <v>100</v>
      </c>
    </row>
    <row r="1670">
      <c r="A1670" s="2" t="s">
        <v>5051</v>
      </c>
      <c r="B1670" s="2" t="s">
        <v>87</v>
      </c>
      <c r="C1670" s="2" t="s">
        <v>4613</v>
      </c>
      <c r="D1670" s="2" t="s">
        <v>3079</v>
      </c>
      <c r="E1670" s="2" t="s">
        <v>3176</v>
      </c>
      <c r="F1670" s="2" t="s">
        <v>4767</v>
      </c>
      <c r="G1670" s="2" t="s">
        <v>4768</v>
      </c>
      <c r="H1670" s="2" t="s">
        <v>4769</v>
      </c>
      <c r="I1670" s="2" t="s">
        <v>5038</v>
      </c>
      <c r="J1670" s="2" t="s">
        <v>120</v>
      </c>
      <c r="K1670" s="2" t="s">
        <v>213</v>
      </c>
      <c r="L1670" s="3">
        <v>22.61</v>
      </c>
      <c r="M1670" s="3">
        <v>23.74</v>
      </c>
      <c r="N1670" s="3">
        <v>47.49</v>
      </c>
      <c r="O1670" s="2" t="s">
        <v>97</v>
      </c>
      <c r="P1670" s="2" t="s">
        <v>341</v>
      </c>
      <c r="Q1670" s="2" t="s">
        <v>99</v>
      </c>
      <c r="R1670" s="2" t="s">
        <v>100</v>
      </c>
      <c r="S1670" s="2" t="s">
        <v>4781</v>
      </c>
      <c r="T1670" s="2" t="s">
        <v>787</v>
      </c>
      <c r="U1670" s="2" t="s">
        <v>1508</v>
      </c>
      <c r="V1670" s="2" t="s">
        <v>645</v>
      </c>
      <c r="W1670" s="2" t="s">
        <v>976</v>
      </c>
      <c r="X1670" s="2" t="s">
        <v>105</v>
      </c>
      <c r="Y1670" s="2" t="s">
        <v>2129</v>
      </c>
      <c r="Z1670" s="4">
        <v>396</v>
      </c>
      <c r="AA1670" s="4">
        <f>=ROUNDDOWN(24.75,0)</f>
      </c>
      <c r="AB1670" s="5">
        <v>16</v>
      </c>
      <c r="AC1670" s="2" t="s">
        <v>132</v>
      </c>
      <c r="AD1670" s="4">
        <v>100</v>
      </c>
      <c r="AE1670" s="4">
        <v>1336</v>
      </c>
      <c r="AF1670" s="6">
        <v>63</v>
      </c>
      <c r="AG1670" s="6">
        <v>46</v>
      </c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>
        <v>0</v>
      </c>
      <c r="AP1670" s="4">
        <v>1</v>
      </c>
      <c r="AQ1670" s="8">
        <v>26.65</v>
      </c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>
        <v>1</v>
      </c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 t="s">
        <v>100</v>
      </c>
      <c r="BJ1670" s="4">
        <v>40</v>
      </c>
      <c r="BK1670" s="8">
        <v>951.23</v>
      </c>
      <c r="BL1670" s="2" t="s">
        <v>5052</v>
      </c>
      <c r="BM1670" s="7">
        <v>0.025</v>
      </c>
      <c r="BN1670" s="7">
        <v>0.028</v>
      </c>
      <c r="BO1670" s="4">
        <v>1</v>
      </c>
      <c r="BP1670" s="8">
        <v>26.65</v>
      </c>
      <c r="BQ1670" s="4"/>
      <c r="BR1670" s="8"/>
      <c r="BS1670" s="7"/>
      <c r="BT1670" s="7"/>
      <c r="BU1670" s="2" t="s">
        <v>109</v>
      </c>
      <c r="BV1670" s="2" t="s">
        <v>97</v>
      </c>
      <c r="BW1670" s="2" t="s">
        <v>819</v>
      </c>
      <c r="BX1670" s="2" t="s">
        <v>2674</v>
      </c>
      <c r="BY1670" s="2" t="s">
        <v>112</v>
      </c>
      <c r="BZ1670" s="2" t="s">
        <v>100</v>
      </c>
    </row>
    <row r="1671">
      <c r="A1671" s="2" t="s">
        <v>5053</v>
      </c>
      <c r="B1671" s="2" t="s">
        <v>87</v>
      </c>
      <c r="C1671" s="2" t="s">
        <v>4613</v>
      </c>
      <c r="D1671" s="2" t="s">
        <v>3079</v>
      </c>
      <c r="E1671" s="2" t="s">
        <v>3176</v>
      </c>
      <c r="F1671" s="2" t="s">
        <v>4767</v>
      </c>
      <c r="G1671" s="2" t="s">
        <v>4768</v>
      </c>
      <c r="H1671" s="2" t="s">
        <v>4769</v>
      </c>
      <c r="I1671" s="2" t="s">
        <v>5038</v>
      </c>
      <c r="J1671" s="2" t="s">
        <v>124</v>
      </c>
      <c r="K1671" s="2" t="s">
        <v>213</v>
      </c>
      <c r="L1671" s="3">
        <v>23.57</v>
      </c>
      <c r="M1671" s="3">
        <v>24.75</v>
      </c>
      <c r="N1671" s="3">
        <v>49.49</v>
      </c>
      <c r="O1671" s="2" t="s">
        <v>97</v>
      </c>
      <c r="P1671" s="2" t="s">
        <v>1216</v>
      </c>
      <c r="Q1671" s="2" t="s">
        <v>99</v>
      </c>
      <c r="R1671" s="2" t="s">
        <v>100</v>
      </c>
      <c r="S1671" s="2" t="s">
        <v>4781</v>
      </c>
      <c r="T1671" s="2" t="s">
        <v>787</v>
      </c>
      <c r="U1671" s="2" t="s">
        <v>1508</v>
      </c>
      <c r="V1671" s="2" t="s">
        <v>645</v>
      </c>
      <c r="W1671" s="2" t="s">
        <v>976</v>
      </c>
      <c r="X1671" s="2" t="s">
        <v>105</v>
      </c>
      <c r="Y1671" s="2" t="s">
        <v>100</v>
      </c>
      <c r="Z1671" s="4"/>
      <c r="AA1671" s="4">
        <f>=ROUNDDOWN({0},0)</f>
      </c>
      <c r="AB1671" s="5"/>
      <c r="AC1671" s="2" t="s">
        <v>411</v>
      </c>
      <c r="AD1671" s="4">
        <v>208</v>
      </c>
      <c r="AE1671" s="4">
        <v>600</v>
      </c>
      <c r="AF1671" s="6">
        <v>63</v>
      </c>
      <c r="AG1671" s="6">
        <v>46</v>
      </c>
      <c r="AH1671" s="7">
        <v>0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>
        <v>0</v>
      </c>
      <c r="AP1671" s="4"/>
      <c r="AQ1671" s="8"/>
      <c r="AR1671" s="4"/>
      <c r="AS1671" s="8"/>
      <c r="AT1671" s="7"/>
      <c r="AU1671" s="7"/>
      <c r="AV1671" s="4" t="s">
        <v>100</v>
      </c>
      <c r="AW1671" s="8" t="s">
        <v>100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/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 t="s">
        <v>100</v>
      </c>
      <c r="BJ1671" s="4"/>
      <c r="BK1671" s="8"/>
      <c r="BL1671" s="2" t="s">
        <v>100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1338</v>
      </c>
      <c r="BV1671" s="2" t="s">
        <v>97</v>
      </c>
      <c r="BW1671" s="2" t="s">
        <v>100</v>
      </c>
      <c r="BX1671" s="2" t="s">
        <v>100</v>
      </c>
      <c r="BY1671" s="2" t="s">
        <v>112</v>
      </c>
      <c r="BZ1671" s="2" t="s">
        <v>100</v>
      </c>
    </row>
    <row r="1672">
      <c r="A1672" s="2" t="s">
        <v>5054</v>
      </c>
      <c r="B1672" s="2" t="s">
        <v>87</v>
      </c>
      <c r="C1672" s="2" t="s">
        <v>4613</v>
      </c>
      <c r="D1672" s="2" t="s">
        <v>3079</v>
      </c>
      <c r="E1672" s="2" t="s">
        <v>3176</v>
      </c>
      <c r="F1672" s="2" t="s">
        <v>4767</v>
      </c>
      <c r="G1672" s="2" t="s">
        <v>4768</v>
      </c>
      <c r="H1672" s="2" t="s">
        <v>4769</v>
      </c>
      <c r="I1672" s="2" t="s">
        <v>5038</v>
      </c>
      <c r="J1672" s="2" t="s">
        <v>673</v>
      </c>
      <c r="K1672" s="2" t="s">
        <v>4293</v>
      </c>
      <c r="L1672" s="3">
        <v>15.47</v>
      </c>
      <c r="M1672" s="3">
        <v>16.24</v>
      </c>
      <c r="N1672" s="3">
        <v>32.49</v>
      </c>
      <c r="O1672" s="2" t="s">
        <v>97</v>
      </c>
      <c r="P1672" s="2" t="s">
        <v>1216</v>
      </c>
      <c r="Q1672" s="2" t="s">
        <v>99</v>
      </c>
      <c r="R1672" s="2" t="s">
        <v>100</v>
      </c>
      <c r="S1672" s="2" t="s">
        <v>4856</v>
      </c>
      <c r="T1672" s="2" t="s">
        <v>787</v>
      </c>
      <c r="U1672" s="2" t="s">
        <v>2150</v>
      </c>
      <c r="V1672" s="2" t="s">
        <v>645</v>
      </c>
      <c r="W1672" s="2" t="s">
        <v>976</v>
      </c>
      <c r="X1672" s="2" t="s">
        <v>105</v>
      </c>
      <c r="Y1672" s="2" t="s">
        <v>4703</v>
      </c>
      <c r="Z1672" s="4">
        <v>131</v>
      </c>
      <c r="AA1672" s="4">
        <f>=ROUNDDOWN(26.2,0)</f>
      </c>
      <c r="AB1672" s="5">
        <v>5</v>
      </c>
      <c r="AC1672" s="2" t="s">
        <v>2404</v>
      </c>
      <c r="AD1672" s="4">
        <v>200</v>
      </c>
      <c r="AE1672" s="4">
        <v>200</v>
      </c>
      <c r="AF1672" s="6">
        <v>63</v>
      </c>
      <c r="AG1672" s="6">
        <v>46</v>
      </c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>
        <v>0</v>
      </c>
      <c r="AP1672" s="4">
        <v>1</v>
      </c>
      <c r="AQ1672" s="8">
        <v>17.06</v>
      </c>
      <c r="AR1672" s="4"/>
      <c r="AS1672" s="8"/>
      <c r="AT1672" s="7"/>
      <c r="AU1672" s="7"/>
      <c r="AV1672" s="4">
        <v>1</v>
      </c>
      <c r="AW1672" s="8">
        <v>17.06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>
        <v>1</v>
      </c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>
        <v>0.2425</v>
      </c>
      <c r="BJ1672" s="4">
        <v>3</v>
      </c>
      <c r="BK1672" s="8">
        <v>46.34</v>
      </c>
      <c r="BL1672" s="2" t="s">
        <v>5055</v>
      </c>
      <c r="BM1672" s="7">
        <v>0.3333</v>
      </c>
      <c r="BN1672" s="7">
        <v>0.3681</v>
      </c>
      <c r="BO1672" s="4">
        <v>1</v>
      </c>
      <c r="BP1672" s="8">
        <v>17.06</v>
      </c>
      <c r="BQ1672" s="4"/>
      <c r="BR1672" s="8"/>
      <c r="BS1672" s="7"/>
      <c r="BT1672" s="7"/>
      <c r="BU1672" s="2" t="s">
        <v>109</v>
      </c>
      <c r="BV1672" s="2" t="s">
        <v>97</v>
      </c>
      <c r="BW1672" s="2" t="s">
        <v>4703</v>
      </c>
      <c r="BX1672" s="2" t="s">
        <v>2009</v>
      </c>
      <c r="BY1672" s="2" t="s">
        <v>112</v>
      </c>
      <c r="BZ1672" s="2" t="s">
        <v>100</v>
      </c>
    </row>
    <row r="1673">
      <c r="A1673" s="2" t="s">
        <v>5056</v>
      </c>
      <c r="B1673" s="2" t="s">
        <v>87</v>
      </c>
      <c r="C1673" s="2" t="s">
        <v>4613</v>
      </c>
      <c r="D1673" s="2" t="s">
        <v>3079</v>
      </c>
      <c r="E1673" s="2" t="s">
        <v>3176</v>
      </c>
      <c r="F1673" s="2" t="s">
        <v>4767</v>
      </c>
      <c r="G1673" s="2" t="s">
        <v>4768</v>
      </c>
      <c r="H1673" s="2" t="s">
        <v>4769</v>
      </c>
      <c r="I1673" s="2" t="s">
        <v>5038</v>
      </c>
      <c r="J1673" s="2" t="s">
        <v>95</v>
      </c>
      <c r="K1673" s="2" t="s">
        <v>4293</v>
      </c>
      <c r="L1673" s="3">
        <v>19.76</v>
      </c>
      <c r="M1673" s="3">
        <v>20.75</v>
      </c>
      <c r="N1673" s="3">
        <v>41.49</v>
      </c>
      <c r="O1673" s="2" t="s">
        <v>97</v>
      </c>
      <c r="P1673" s="2" t="s">
        <v>1216</v>
      </c>
      <c r="Q1673" s="2" t="s">
        <v>99</v>
      </c>
      <c r="R1673" s="2" t="s">
        <v>100</v>
      </c>
      <c r="S1673" s="2" t="s">
        <v>4856</v>
      </c>
      <c r="T1673" s="2" t="s">
        <v>787</v>
      </c>
      <c r="U1673" s="2" t="s">
        <v>1508</v>
      </c>
      <c r="V1673" s="2" t="s">
        <v>645</v>
      </c>
      <c r="W1673" s="2" t="s">
        <v>976</v>
      </c>
      <c r="X1673" s="2" t="s">
        <v>105</v>
      </c>
      <c r="Y1673" s="2" t="s">
        <v>100</v>
      </c>
      <c r="Z1673" s="4"/>
      <c r="AA1673" s="4">
        <f>=ROUNDDOWN({0},0)</f>
      </c>
      <c r="AB1673" s="5"/>
      <c r="AC1673" s="2" t="s">
        <v>2598</v>
      </c>
      <c r="AD1673" s="4">
        <v>68</v>
      </c>
      <c r="AE1673" s="4">
        <v>156</v>
      </c>
      <c r="AF1673" s="6">
        <v>63</v>
      </c>
      <c r="AG1673" s="6">
        <v>46</v>
      </c>
      <c r="AH1673" s="7">
        <v>0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>
        <v>0</v>
      </c>
      <c r="AP1673" s="4"/>
      <c r="AQ1673" s="8"/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/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 t="s">
        <v>100</v>
      </c>
      <c r="BJ1673" s="4"/>
      <c r="BK1673" s="8"/>
      <c r="BL1673" s="2" t="s">
        <v>100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1338</v>
      </c>
      <c r="BV1673" s="2" t="s">
        <v>97</v>
      </c>
      <c r="BW1673" s="2" t="s">
        <v>100</v>
      </c>
      <c r="BX1673" s="2" t="s">
        <v>100</v>
      </c>
      <c r="BY1673" s="2" t="s">
        <v>112</v>
      </c>
      <c r="BZ1673" s="2" t="s">
        <v>100</v>
      </c>
    </row>
    <row r="1674">
      <c r="A1674" s="2" t="s">
        <v>5057</v>
      </c>
      <c r="B1674" s="2" t="s">
        <v>87</v>
      </c>
      <c r="C1674" s="2" t="s">
        <v>4613</v>
      </c>
      <c r="D1674" s="2" t="s">
        <v>3079</v>
      </c>
      <c r="E1674" s="2" t="s">
        <v>3176</v>
      </c>
      <c r="F1674" s="2" t="s">
        <v>4767</v>
      </c>
      <c r="G1674" s="2" t="s">
        <v>4768</v>
      </c>
      <c r="H1674" s="2" t="s">
        <v>4769</v>
      </c>
      <c r="I1674" s="2" t="s">
        <v>5038</v>
      </c>
      <c r="J1674" s="2" t="s">
        <v>114</v>
      </c>
      <c r="K1674" s="2" t="s">
        <v>4293</v>
      </c>
      <c r="L1674" s="3">
        <v>20.23</v>
      </c>
      <c r="M1674" s="3">
        <v>21.24</v>
      </c>
      <c r="N1674" s="3">
        <v>42.49</v>
      </c>
      <c r="O1674" s="2" t="s">
        <v>97</v>
      </c>
      <c r="P1674" s="2" t="s">
        <v>1216</v>
      </c>
      <c r="Q1674" s="2" t="s">
        <v>99</v>
      </c>
      <c r="R1674" s="2" t="s">
        <v>100</v>
      </c>
      <c r="S1674" s="2" t="s">
        <v>4856</v>
      </c>
      <c r="T1674" s="2" t="s">
        <v>787</v>
      </c>
      <c r="U1674" s="2" t="s">
        <v>1508</v>
      </c>
      <c r="V1674" s="2" t="s">
        <v>645</v>
      </c>
      <c r="W1674" s="2" t="s">
        <v>976</v>
      </c>
      <c r="X1674" s="2" t="s">
        <v>105</v>
      </c>
      <c r="Y1674" s="2" t="s">
        <v>4703</v>
      </c>
      <c r="Z1674" s="4">
        <v>914</v>
      </c>
      <c r="AA1674" s="4">
        <f>=ROUNDDOWN(57.125,0)</f>
      </c>
      <c r="AB1674" s="5">
        <v>16</v>
      </c>
      <c r="AC1674" s="2" t="s">
        <v>871</v>
      </c>
      <c r="AD1674" s="4">
        <v>12</v>
      </c>
      <c r="AE1674" s="4">
        <v>12</v>
      </c>
      <c r="AF1674" s="6">
        <v>63</v>
      </c>
      <c r="AG1674" s="6">
        <v>46</v>
      </c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>
        <v>0</v>
      </c>
      <c r="AP1674" s="4"/>
      <c r="AQ1674" s="8"/>
      <c r="AR1674" s="4"/>
      <c r="AS1674" s="8"/>
      <c r="AT1674" s="7"/>
      <c r="AU1674" s="7"/>
      <c r="AV1674" s="4" t="s">
        <v>100</v>
      </c>
      <c r="AW1674" s="8" t="s">
        <v>100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/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 t="s">
        <v>100</v>
      </c>
      <c r="BJ1674" s="4">
        <v>37</v>
      </c>
      <c r="BK1674" s="8">
        <v>793.55</v>
      </c>
      <c r="BL1674" s="2" t="s">
        <v>2455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109</v>
      </c>
      <c r="BV1674" s="2" t="s">
        <v>97</v>
      </c>
      <c r="BW1674" s="2" t="s">
        <v>4703</v>
      </c>
      <c r="BX1674" s="2" t="s">
        <v>1464</v>
      </c>
      <c r="BY1674" s="2" t="s">
        <v>112</v>
      </c>
      <c r="BZ1674" s="2" t="s">
        <v>100</v>
      </c>
    </row>
    <row r="1675">
      <c r="A1675" s="2" t="s">
        <v>5058</v>
      </c>
      <c r="B1675" s="2" t="s">
        <v>87</v>
      </c>
      <c r="C1675" s="2" t="s">
        <v>4613</v>
      </c>
      <c r="D1675" s="2" t="s">
        <v>3079</v>
      </c>
      <c r="E1675" s="2" t="s">
        <v>3176</v>
      </c>
      <c r="F1675" s="2" t="s">
        <v>4767</v>
      </c>
      <c r="G1675" s="2" t="s">
        <v>4768</v>
      </c>
      <c r="H1675" s="2" t="s">
        <v>4769</v>
      </c>
      <c r="I1675" s="2" t="s">
        <v>5038</v>
      </c>
      <c r="J1675" s="2" t="s">
        <v>120</v>
      </c>
      <c r="K1675" s="2" t="s">
        <v>4293</v>
      </c>
      <c r="L1675" s="3">
        <v>22.61</v>
      </c>
      <c r="M1675" s="3">
        <v>23.74</v>
      </c>
      <c r="N1675" s="3">
        <v>47.49</v>
      </c>
      <c r="O1675" s="2" t="s">
        <v>97</v>
      </c>
      <c r="P1675" s="2" t="s">
        <v>1216</v>
      </c>
      <c r="Q1675" s="2" t="s">
        <v>99</v>
      </c>
      <c r="R1675" s="2" t="s">
        <v>100</v>
      </c>
      <c r="S1675" s="2" t="s">
        <v>4856</v>
      </c>
      <c r="T1675" s="2" t="s">
        <v>787</v>
      </c>
      <c r="U1675" s="2" t="s">
        <v>1508</v>
      </c>
      <c r="V1675" s="2" t="s">
        <v>645</v>
      </c>
      <c r="W1675" s="2" t="s">
        <v>976</v>
      </c>
      <c r="X1675" s="2" t="s">
        <v>105</v>
      </c>
      <c r="Y1675" s="2" t="s">
        <v>4703</v>
      </c>
      <c r="Z1675" s="4">
        <v>901</v>
      </c>
      <c r="AA1675" s="4">
        <f>=ROUNDDOWN(69.3076923076923,0)</f>
      </c>
      <c r="AB1675" s="5">
        <v>13</v>
      </c>
      <c r="AC1675" s="2" t="s">
        <v>871</v>
      </c>
      <c r="AD1675" s="4">
        <v>24</v>
      </c>
      <c r="AE1675" s="4">
        <v>24</v>
      </c>
      <c r="AF1675" s="6">
        <v>63</v>
      </c>
      <c r="AG1675" s="6">
        <v>46</v>
      </c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 t="s">
        <v>100</v>
      </c>
      <c r="BJ1675" s="4">
        <v>14</v>
      </c>
      <c r="BK1675" s="8">
        <v>323</v>
      </c>
      <c r="BL1675" s="2" t="s">
        <v>5059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109</v>
      </c>
      <c r="BV1675" s="2" t="s">
        <v>97</v>
      </c>
      <c r="BW1675" s="2" t="s">
        <v>4703</v>
      </c>
      <c r="BX1675" s="2" t="s">
        <v>4624</v>
      </c>
      <c r="BY1675" s="2" t="s">
        <v>112</v>
      </c>
      <c r="BZ1675" s="2" t="s">
        <v>100</v>
      </c>
    </row>
    <row r="1676">
      <c r="A1676" s="2" t="s">
        <v>5060</v>
      </c>
      <c r="B1676" s="2" t="s">
        <v>87</v>
      </c>
      <c r="C1676" s="2" t="s">
        <v>4613</v>
      </c>
      <c r="D1676" s="2" t="s">
        <v>3079</v>
      </c>
      <c r="E1676" s="2" t="s">
        <v>3176</v>
      </c>
      <c r="F1676" s="2" t="s">
        <v>4767</v>
      </c>
      <c r="G1676" s="2" t="s">
        <v>4768</v>
      </c>
      <c r="H1676" s="2" t="s">
        <v>4769</v>
      </c>
      <c r="I1676" s="2" t="s">
        <v>5038</v>
      </c>
      <c r="J1676" s="2" t="s">
        <v>124</v>
      </c>
      <c r="K1676" s="2" t="s">
        <v>4293</v>
      </c>
      <c r="L1676" s="3">
        <v>23.57</v>
      </c>
      <c r="M1676" s="3">
        <v>24.75</v>
      </c>
      <c r="N1676" s="3">
        <v>49.49</v>
      </c>
      <c r="O1676" s="2" t="s">
        <v>97</v>
      </c>
      <c r="P1676" s="2" t="s">
        <v>1216</v>
      </c>
      <c r="Q1676" s="2" t="s">
        <v>99</v>
      </c>
      <c r="R1676" s="2" t="s">
        <v>100</v>
      </c>
      <c r="S1676" s="2" t="s">
        <v>4856</v>
      </c>
      <c r="T1676" s="2" t="s">
        <v>787</v>
      </c>
      <c r="U1676" s="2" t="s">
        <v>1508</v>
      </c>
      <c r="V1676" s="2" t="s">
        <v>645</v>
      </c>
      <c r="W1676" s="2" t="s">
        <v>976</v>
      </c>
      <c r="X1676" s="2" t="s">
        <v>105</v>
      </c>
      <c r="Y1676" s="2" t="s">
        <v>100</v>
      </c>
      <c r="Z1676" s="4"/>
      <c r="AA1676" s="4">
        <f>=ROUNDDOWN({0},0)</f>
      </c>
      <c r="AB1676" s="5"/>
      <c r="AC1676" s="2" t="s">
        <v>2598</v>
      </c>
      <c r="AD1676" s="4">
        <v>80</v>
      </c>
      <c r="AE1676" s="4">
        <v>600</v>
      </c>
      <c r="AF1676" s="6">
        <v>63</v>
      </c>
      <c r="AG1676" s="6">
        <v>46</v>
      </c>
      <c r="AH1676" s="7">
        <v>0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>
        <v>0</v>
      </c>
      <c r="AP1676" s="4"/>
      <c r="AQ1676" s="8"/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/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 t="s">
        <v>100</v>
      </c>
      <c r="BJ1676" s="4"/>
      <c r="BK1676" s="8"/>
      <c r="BL1676" s="2" t="s">
        <v>100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1338</v>
      </c>
      <c r="BV1676" s="2" t="s">
        <v>97</v>
      </c>
      <c r="BW1676" s="2" t="s">
        <v>100</v>
      </c>
      <c r="BX1676" s="2" t="s">
        <v>100</v>
      </c>
      <c r="BY1676" s="2" t="s">
        <v>112</v>
      </c>
      <c r="BZ1676" s="2" t="s">
        <v>100</v>
      </c>
    </row>
    <row r="1677">
      <c r="A1677" s="2" t="s">
        <v>5061</v>
      </c>
      <c r="B1677" s="2" t="s">
        <v>87</v>
      </c>
      <c r="C1677" s="2" t="s">
        <v>4613</v>
      </c>
      <c r="D1677" s="2" t="s">
        <v>3079</v>
      </c>
      <c r="E1677" s="2" t="s">
        <v>3176</v>
      </c>
      <c r="F1677" s="2" t="s">
        <v>4767</v>
      </c>
      <c r="G1677" s="2" t="s">
        <v>4768</v>
      </c>
      <c r="H1677" s="2" t="s">
        <v>4769</v>
      </c>
      <c r="I1677" s="2" t="s">
        <v>5038</v>
      </c>
      <c r="J1677" s="2" t="s">
        <v>673</v>
      </c>
      <c r="K1677" s="2" t="s">
        <v>185</v>
      </c>
      <c r="L1677" s="3">
        <v>15.47</v>
      </c>
      <c r="M1677" s="3">
        <v>16.24</v>
      </c>
      <c r="N1677" s="3">
        <v>32.49</v>
      </c>
      <c r="O1677" s="2" t="s">
        <v>97</v>
      </c>
      <c r="P1677" s="2" t="s">
        <v>1216</v>
      </c>
      <c r="Q1677" s="2" t="s">
        <v>99</v>
      </c>
      <c r="R1677" s="2" t="s">
        <v>100</v>
      </c>
      <c r="S1677" s="2" t="s">
        <v>4790</v>
      </c>
      <c r="T1677" s="2" t="s">
        <v>787</v>
      </c>
      <c r="U1677" s="2" t="s">
        <v>2150</v>
      </c>
      <c r="V1677" s="2" t="s">
        <v>645</v>
      </c>
      <c r="W1677" s="2" t="s">
        <v>976</v>
      </c>
      <c r="X1677" s="2" t="s">
        <v>105</v>
      </c>
      <c r="Y1677" s="2" t="s">
        <v>4703</v>
      </c>
      <c r="Z1677" s="4">
        <v>118</v>
      </c>
      <c r="AA1677" s="4">
        <f>=ROUNDDOWN(39.3333333333333,0)</f>
      </c>
      <c r="AB1677" s="5">
        <v>3</v>
      </c>
      <c r="AC1677" s="2" t="s">
        <v>2404</v>
      </c>
      <c r="AD1677" s="4">
        <v>100</v>
      </c>
      <c r="AE1677" s="4">
        <v>360</v>
      </c>
      <c r="AF1677" s="6">
        <v>63</v>
      </c>
      <c r="AG1677" s="6">
        <v>46</v>
      </c>
      <c r="AH1677" s="7">
        <v>1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>
        <v>0</v>
      </c>
      <c r="AP1677" s="4"/>
      <c r="AQ1677" s="8"/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/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 t="s">
        <v>100</v>
      </c>
      <c r="BJ1677" s="4">
        <v>6</v>
      </c>
      <c r="BK1677" s="8">
        <v>105.5</v>
      </c>
      <c r="BL1677" s="2" t="s">
        <v>1044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109</v>
      </c>
      <c r="BV1677" s="2" t="s">
        <v>97</v>
      </c>
      <c r="BW1677" s="2" t="s">
        <v>4703</v>
      </c>
      <c r="BX1677" s="2" t="s">
        <v>100</v>
      </c>
      <c r="BY1677" s="2" t="s">
        <v>112</v>
      </c>
      <c r="BZ1677" s="2" t="s">
        <v>100</v>
      </c>
    </row>
    <row r="1678">
      <c r="A1678" s="2" t="s">
        <v>5062</v>
      </c>
      <c r="B1678" s="2" t="s">
        <v>87</v>
      </c>
      <c r="C1678" s="2" t="s">
        <v>4613</v>
      </c>
      <c r="D1678" s="2" t="s">
        <v>3079</v>
      </c>
      <c r="E1678" s="2" t="s">
        <v>3176</v>
      </c>
      <c r="F1678" s="2" t="s">
        <v>4767</v>
      </c>
      <c r="G1678" s="2" t="s">
        <v>4768</v>
      </c>
      <c r="H1678" s="2" t="s">
        <v>4769</v>
      </c>
      <c r="I1678" s="2" t="s">
        <v>5038</v>
      </c>
      <c r="J1678" s="2" t="s">
        <v>95</v>
      </c>
      <c r="K1678" s="2" t="s">
        <v>185</v>
      </c>
      <c r="L1678" s="3">
        <v>19.76</v>
      </c>
      <c r="M1678" s="3">
        <v>20.75</v>
      </c>
      <c r="N1678" s="3">
        <v>41.49</v>
      </c>
      <c r="O1678" s="2" t="s">
        <v>97</v>
      </c>
      <c r="P1678" s="2" t="s">
        <v>1216</v>
      </c>
      <c r="Q1678" s="2" t="s">
        <v>99</v>
      </c>
      <c r="R1678" s="2" t="s">
        <v>100</v>
      </c>
      <c r="S1678" s="2" t="s">
        <v>4790</v>
      </c>
      <c r="T1678" s="2" t="s">
        <v>787</v>
      </c>
      <c r="U1678" s="2" t="s">
        <v>1508</v>
      </c>
      <c r="V1678" s="2" t="s">
        <v>645</v>
      </c>
      <c r="W1678" s="2" t="s">
        <v>976</v>
      </c>
      <c r="X1678" s="2" t="s">
        <v>105</v>
      </c>
      <c r="Y1678" s="2" t="s">
        <v>100</v>
      </c>
      <c r="Z1678" s="4"/>
      <c r="AA1678" s="4">
        <f>=ROUNDDOWN({0},0)</f>
      </c>
      <c r="AB1678" s="5"/>
      <c r="AC1678" s="2" t="s">
        <v>2598</v>
      </c>
      <c r="AD1678" s="4">
        <v>88</v>
      </c>
      <c r="AE1678" s="4">
        <v>172</v>
      </c>
      <c r="AF1678" s="6">
        <v>63</v>
      </c>
      <c r="AG1678" s="6">
        <v>46</v>
      </c>
      <c r="AH1678" s="7">
        <v>0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/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 t="s">
        <v>100</v>
      </c>
      <c r="BJ1678" s="4"/>
      <c r="BK1678" s="8"/>
      <c r="BL1678" s="2" t="s">
        <v>100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1338</v>
      </c>
      <c r="BV1678" s="2" t="s">
        <v>97</v>
      </c>
      <c r="BW1678" s="2" t="s">
        <v>100</v>
      </c>
      <c r="BX1678" s="2" t="s">
        <v>100</v>
      </c>
      <c r="BY1678" s="2" t="s">
        <v>112</v>
      </c>
      <c r="BZ1678" s="2" t="s">
        <v>100</v>
      </c>
    </row>
    <row r="1679">
      <c r="A1679" s="2" t="s">
        <v>5063</v>
      </c>
      <c r="B1679" s="2" t="s">
        <v>87</v>
      </c>
      <c r="C1679" s="2" t="s">
        <v>4613</v>
      </c>
      <c r="D1679" s="2" t="s">
        <v>3079</v>
      </c>
      <c r="E1679" s="2" t="s">
        <v>3176</v>
      </c>
      <c r="F1679" s="2" t="s">
        <v>4767</v>
      </c>
      <c r="G1679" s="2" t="s">
        <v>4768</v>
      </c>
      <c r="H1679" s="2" t="s">
        <v>4769</v>
      </c>
      <c r="I1679" s="2" t="s">
        <v>5038</v>
      </c>
      <c r="J1679" s="2" t="s">
        <v>114</v>
      </c>
      <c r="K1679" s="2" t="s">
        <v>185</v>
      </c>
      <c r="L1679" s="3">
        <v>20.23</v>
      </c>
      <c r="M1679" s="3">
        <v>21.24</v>
      </c>
      <c r="N1679" s="3">
        <v>42.49</v>
      </c>
      <c r="O1679" s="2" t="s">
        <v>97</v>
      </c>
      <c r="P1679" s="2" t="s">
        <v>1216</v>
      </c>
      <c r="Q1679" s="2" t="s">
        <v>99</v>
      </c>
      <c r="R1679" s="2" t="s">
        <v>100</v>
      </c>
      <c r="S1679" s="2" t="s">
        <v>4790</v>
      </c>
      <c r="T1679" s="2" t="s">
        <v>787</v>
      </c>
      <c r="U1679" s="2" t="s">
        <v>1508</v>
      </c>
      <c r="V1679" s="2" t="s">
        <v>645</v>
      </c>
      <c r="W1679" s="2" t="s">
        <v>976</v>
      </c>
      <c r="X1679" s="2" t="s">
        <v>105</v>
      </c>
      <c r="Y1679" s="2" t="s">
        <v>4703</v>
      </c>
      <c r="Z1679" s="4">
        <v>502</v>
      </c>
      <c r="AA1679" s="4">
        <f>=ROUNDDOWN(83.6666666666667,0)</f>
      </c>
      <c r="AB1679" s="5">
        <v>6</v>
      </c>
      <c r="AC1679" s="2" t="s">
        <v>871</v>
      </c>
      <c r="AD1679" s="4">
        <v>12</v>
      </c>
      <c r="AE1679" s="4">
        <v>812</v>
      </c>
      <c r="AF1679" s="6">
        <v>63</v>
      </c>
      <c r="AG1679" s="6">
        <v>46</v>
      </c>
      <c r="AH1679" s="7">
        <v>1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>
        <v>0</v>
      </c>
      <c r="AP1679" s="4"/>
      <c r="AQ1679" s="8"/>
      <c r="AR1679" s="4"/>
      <c r="AS1679" s="8"/>
      <c r="AT1679" s="7"/>
      <c r="AU1679" s="7"/>
      <c r="AV1679" s="4" t="s">
        <v>100</v>
      </c>
      <c r="AW1679" s="8" t="s">
        <v>100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/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 t="s">
        <v>100</v>
      </c>
      <c r="BJ1679" s="4">
        <v>38</v>
      </c>
      <c r="BK1679" s="8">
        <v>835.05</v>
      </c>
      <c r="BL1679" s="2" t="s">
        <v>4709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109</v>
      </c>
      <c r="BV1679" s="2" t="s">
        <v>97</v>
      </c>
      <c r="BW1679" s="2" t="s">
        <v>4703</v>
      </c>
      <c r="BX1679" s="2" t="s">
        <v>100</v>
      </c>
      <c r="BY1679" s="2" t="s">
        <v>112</v>
      </c>
      <c r="BZ1679" s="2" t="s">
        <v>100</v>
      </c>
    </row>
    <row r="1680">
      <c r="A1680" s="2" t="s">
        <v>5064</v>
      </c>
      <c r="B1680" s="2" t="s">
        <v>87</v>
      </c>
      <c r="C1680" s="2" t="s">
        <v>4613</v>
      </c>
      <c r="D1680" s="2" t="s">
        <v>3079</v>
      </c>
      <c r="E1680" s="2" t="s">
        <v>3176</v>
      </c>
      <c r="F1680" s="2" t="s">
        <v>4767</v>
      </c>
      <c r="G1680" s="2" t="s">
        <v>4768</v>
      </c>
      <c r="H1680" s="2" t="s">
        <v>4769</v>
      </c>
      <c r="I1680" s="2" t="s">
        <v>5038</v>
      </c>
      <c r="J1680" s="2" t="s">
        <v>120</v>
      </c>
      <c r="K1680" s="2" t="s">
        <v>185</v>
      </c>
      <c r="L1680" s="3">
        <v>22.61</v>
      </c>
      <c r="M1680" s="3">
        <v>23.74</v>
      </c>
      <c r="N1680" s="3">
        <v>47.49</v>
      </c>
      <c r="O1680" s="2" t="s">
        <v>97</v>
      </c>
      <c r="P1680" s="2" t="s">
        <v>1216</v>
      </c>
      <c r="Q1680" s="2" t="s">
        <v>99</v>
      </c>
      <c r="R1680" s="2" t="s">
        <v>100</v>
      </c>
      <c r="S1680" s="2" t="s">
        <v>4790</v>
      </c>
      <c r="T1680" s="2" t="s">
        <v>787</v>
      </c>
      <c r="U1680" s="2" t="s">
        <v>1508</v>
      </c>
      <c r="V1680" s="2" t="s">
        <v>645</v>
      </c>
      <c r="W1680" s="2" t="s">
        <v>976</v>
      </c>
      <c r="X1680" s="2" t="s">
        <v>105</v>
      </c>
      <c r="Y1680" s="2" t="s">
        <v>4703</v>
      </c>
      <c r="Z1680" s="4">
        <v>660</v>
      </c>
      <c r="AA1680" s="4">
        <f>=ROUNDDOWN(60,0)</f>
      </c>
      <c r="AB1680" s="5">
        <v>11</v>
      </c>
      <c r="AC1680" s="2" t="s">
        <v>871</v>
      </c>
      <c r="AD1680" s="4">
        <v>24</v>
      </c>
      <c r="AE1680" s="4">
        <v>1004</v>
      </c>
      <c r="AF1680" s="6">
        <v>63</v>
      </c>
      <c r="AG1680" s="6">
        <v>46</v>
      </c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>
        <v>0</v>
      </c>
      <c r="AP1680" s="4"/>
      <c r="AQ1680" s="8"/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/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 t="s">
        <v>100</v>
      </c>
      <c r="BJ1680" s="4">
        <v>52</v>
      </c>
      <c r="BK1680" s="8">
        <v>1263.97</v>
      </c>
      <c r="BL1680" s="2" t="s">
        <v>1307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109</v>
      </c>
      <c r="BV1680" s="2" t="s">
        <v>97</v>
      </c>
      <c r="BW1680" s="2" t="s">
        <v>4703</v>
      </c>
      <c r="BX1680" s="2" t="s">
        <v>4902</v>
      </c>
      <c r="BY1680" s="2" t="s">
        <v>112</v>
      </c>
      <c r="BZ1680" s="2" t="s">
        <v>100</v>
      </c>
    </row>
    <row r="1681">
      <c r="A1681" s="2" t="s">
        <v>5065</v>
      </c>
      <c r="B1681" s="2" t="s">
        <v>87</v>
      </c>
      <c r="C1681" s="2" t="s">
        <v>4613</v>
      </c>
      <c r="D1681" s="2" t="s">
        <v>3079</v>
      </c>
      <c r="E1681" s="2" t="s">
        <v>3176</v>
      </c>
      <c r="F1681" s="2" t="s">
        <v>4767</v>
      </c>
      <c r="G1681" s="2" t="s">
        <v>4768</v>
      </c>
      <c r="H1681" s="2" t="s">
        <v>4769</v>
      </c>
      <c r="I1681" s="2" t="s">
        <v>5038</v>
      </c>
      <c r="J1681" s="2" t="s">
        <v>124</v>
      </c>
      <c r="K1681" s="2" t="s">
        <v>185</v>
      </c>
      <c r="L1681" s="3">
        <v>23.57</v>
      </c>
      <c r="M1681" s="3">
        <v>24.75</v>
      </c>
      <c r="N1681" s="3">
        <v>49.49</v>
      </c>
      <c r="O1681" s="2" t="s">
        <v>97</v>
      </c>
      <c r="P1681" s="2" t="s">
        <v>1216</v>
      </c>
      <c r="Q1681" s="2" t="s">
        <v>99</v>
      </c>
      <c r="R1681" s="2" t="s">
        <v>100</v>
      </c>
      <c r="S1681" s="2" t="s">
        <v>4790</v>
      </c>
      <c r="T1681" s="2" t="s">
        <v>787</v>
      </c>
      <c r="U1681" s="2" t="s">
        <v>1508</v>
      </c>
      <c r="V1681" s="2" t="s">
        <v>645</v>
      </c>
      <c r="W1681" s="2" t="s">
        <v>976</v>
      </c>
      <c r="X1681" s="2" t="s">
        <v>105</v>
      </c>
      <c r="Y1681" s="2" t="s">
        <v>100</v>
      </c>
      <c r="Z1681" s="4"/>
      <c r="AA1681" s="4">
        <f>=ROUNDDOWN({0},0)</f>
      </c>
      <c r="AB1681" s="5"/>
      <c r="AC1681" s="2" t="s">
        <v>2598</v>
      </c>
      <c r="AD1681" s="4">
        <v>120</v>
      </c>
      <c r="AE1681" s="4">
        <v>600</v>
      </c>
      <c r="AF1681" s="6">
        <v>63</v>
      </c>
      <c r="AG1681" s="6">
        <v>46</v>
      </c>
      <c r="AH1681" s="7">
        <v>0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>
        <v>0</v>
      </c>
      <c r="AP1681" s="4"/>
      <c r="AQ1681" s="8"/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/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 t="s">
        <v>100</v>
      </c>
      <c r="BJ1681" s="4"/>
      <c r="BK1681" s="8"/>
      <c r="BL1681" s="2" t="s">
        <v>100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1338</v>
      </c>
      <c r="BV1681" s="2" t="s">
        <v>97</v>
      </c>
      <c r="BW1681" s="2" t="s">
        <v>100</v>
      </c>
      <c r="BX1681" s="2" t="s">
        <v>100</v>
      </c>
      <c r="BY1681" s="2" t="s">
        <v>112</v>
      </c>
      <c r="BZ1681" s="2" t="s">
        <v>100</v>
      </c>
    </row>
    <row r="1682">
      <c r="A1682" s="2" t="s">
        <v>5066</v>
      </c>
      <c r="B1682" s="2" t="s">
        <v>87</v>
      </c>
      <c r="C1682" s="2" t="s">
        <v>4613</v>
      </c>
      <c r="D1682" s="2" t="s">
        <v>3079</v>
      </c>
      <c r="E1682" s="2" t="s">
        <v>3176</v>
      </c>
      <c r="F1682" s="2" t="s">
        <v>4767</v>
      </c>
      <c r="G1682" s="2" t="s">
        <v>4768</v>
      </c>
      <c r="H1682" s="2" t="s">
        <v>4769</v>
      </c>
      <c r="I1682" s="2" t="s">
        <v>5038</v>
      </c>
      <c r="J1682" s="2" t="s">
        <v>673</v>
      </c>
      <c r="K1682" s="2" t="s">
        <v>3669</v>
      </c>
      <c r="L1682" s="3">
        <v>15.47</v>
      </c>
      <c r="M1682" s="3">
        <v>16.24</v>
      </c>
      <c r="N1682" s="3">
        <v>32.49</v>
      </c>
      <c r="O1682" s="2" t="s">
        <v>97</v>
      </c>
      <c r="P1682" s="2" t="s">
        <v>1216</v>
      </c>
      <c r="Q1682" s="2" t="s">
        <v>99</v>
      </c>
      <c r="R1682" s="2" t="s">
        <v>100</v>
      </c>
      <c r="S1682" s="2" t="s">
        <v>4800</v>
      </c>
      <c r="T1682" s="2" t="s">
        <v>787</v>
      </c>
      <c r="U1682" s="2" t="s">
        <v>2150</v>
      </c>
      <c r="V1682" s="2" t="s">
        <v>645</v>
      </c>
      <c r="W1682" s="2" t="s">
        <v>976</v>
      </c>
      <c r="X1682" s="2" t="s">
        <v>105</v>
      </c>
      <c r="Y1682" s="2" t="s">
        <v>4703</v>
      </c>
      <c r="Z1682" s="4">
        <v>14</v>
      </c>
      <c r="AA1682" s="4">
        <f>=ROUNDDOWN(1.75,0)</f>
      </c>
      <c r="AB1682" s="5">
        <v>8</v>
      </c>
      <c r="AC1682" s="2" t="s">
        <v>2404</v>
      </c>
      <c r="AD1682" s="4">
        <v>120</v>
      </c>
      <c r="AE1682" s="4">
        <v>220</v>
      </c>
      <c r="AF1682" s="6">
        <v>63</v>
      </c>
      <c r="AG1682" s="6">
        <v>46</v>
      </c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>
        <v>0</v>
      </c>
      <c r="AP1682" s="4"/>
      <c r="AQ1682" s="8"/>
      <c r="AR1682" s="4"/>
      <c r="AS1682" s="8"/>
      <c r="AT1682" s="7"/>
      <c r="AU1682" s="7"/>
      <c r="AV1682" s="4" t="s">
        <v>100</v>
      </c>
      <c r="AW1682" s="8" t="s">
        <v>100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/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 t="s">
        <v>100</v>
      </c>
      <c r="BJ1682" s="4">
        <v>33</v>
      </c>
      <c r="BK1682" s="8">
        <v>571.5</v>
      </c>
      <c r="BL1682" s="2" t="s">
        <v>620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109</v>
      </c>
      <c r="BV1682" s="2" t="s">
        <v>97</v>
      </c>
      <c r="BW1682" s="2" t="s">
        <v>4703</v>
      </c>
      <c r="BX1682" s="2" t="s">
        <v>4624</v>
      </c>
      <c r="BY1682" s="2" t="s">
        <v>112</v>
      </c>
      <c r="BZ1682" s="2" t="s">
        <v>100</v>
      </c>
    </row>
    <row r="1683">
      <c r="A1683" s="2" t="s">
        <v>5067</v>
      </c>
      <c r="B1683" s="2" t="s">
        <v>87</v>
      </c>
      <c r="C1683" s="2" t="s">
        <v>4613</v>
      </c>
      <c r="D1683" s="2" t="s">
        <v>3079</v>
      </c>
      <c r="E1683" s="2" t="s">
        <v>3176</v>
      </c>
      <c r="F1683" s="2" t="s">
        <v>4767</v>
      </c>
      <c r="G1683" s="2" t="s">
        <v>4768</v>
      </c>
      <c r="H1683" s="2" t="s">
        <v>4769</v>
      </c>
      <c r="I1683" s="2" t="s">
        <v>5038</v>
      </c>
      <c r="J1683" s="2" t="s">
        <v>95</v>
      </c>
      <c r="K1683" s="2" t="s">
        <v>3669</v>
      </c>
      <c r="L1683" s="3">
        <v>19.76</v>
      </c>
      <c r="M1683" s="3">
        <v>20.75</v>
      </c>
      <c r="N1683" s="3">
        <v>41.49</v>
      </c>
      <c r="O1683" s="2" t="s">
        <v>97</v>
      </c>
      <c r="P1683" s="2" t="s">
        <v>1216</v>
      </c>
      <c r="Q1683" s="2" t="s">
        <v>99</v>
      </c>
      <c r="R1683" s="2" t="s">
        <v>100</v>
      </c>
      <c r="S1683" s="2" t="s">
        <v>4800</v>
      </c>
      <c r="T1683" s="2" t="s">
        <v>787</v>
      </c>
      <c r="U1683" s="2" t="s">
        <v>1508</v>
      </c>
      <c r="V1683" s="2" t="s">
        <v>645</v>
      </c>
      <c r="W1683" s="2" t="s">
        <v>976</v>
      </c>
      <c r="X1683" s="2" t="s">
        <v>105</v>
      </c>
      <c r="Y1683" s="2" t="s">
        <v>100</v>
      </c>
      <c r="Z1683" s="4"/>
      <c r="AA1683" s="4">
        <f>=ROUNDDOWN({0},0)</f>
      </c>
      <c r="AB1683" s="5"/>
      <c r="AC1683" s="2" t="s">
        <v>2598</v>
      </c>
      <c r="AD1683" s="4">
        <v>108</v>
      </c>
      <c r="AE1683" s="4">
        <v>244</v>
      </c>
      <c r="AF1683" s="6">
        <v>63</v>
      </c>
      <c r="AG1683" s="6">
        <v>46</v>
      </c>
      <c r="AH1683" s="7">
        <v>0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/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 t="s">
        <v>100</v>
      </c>
      <c r="BJ1683" s="4"/>
      <c r="BK1683" s="8"/>
      <c r="BL1683" s="2" t="s">
        <v>100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1338</v>
      </c>
      <c r="BV1683" s="2" t="s">
        <v>97</v>
      </c>
      <c r="BW1683" s="2" t="s">
        <v>100</v>
      </c>
      <c r="BX1683" s="2" t="s">
        <v>100</v>
      </c>
      <c r="BY1683" s="2" t="s">
        <v>112</v>
      </c>
      <c r="BZ1683" s="2" t="s">
        <v>100</v>
      </c>
    </row>
    <row r="1684">
      <c r="A1684" s="2" t="s">
        <v>5068</v>
      </c>
      <c r="B1684" s="2" t="s">
        <v>87</v>
      </c>
      <c r="C1684" s="2" t="s">
        <v>4613</v>
      </c>
      <c r="D1684" s="2" t="s">
        <v>3079</v>
      </c>
      <c r="E1684" s="2" t="s">
        <v>3176</v>
      </c>
      <c r="F1684" s="2" t="s">
        <v>4767</v>
      </c>
      <c r="G1684" s="2" t="s">
        <v>4768</v>
      </c>
      <c r="H1684" s="2" t="s">
        <v>4769</v>
      </c>
      <c r="I1684" s="2" t="s">
        <v>5038</v>
      </c>
      <c r="J1684" s="2" t="s">
        <v>114</v>
      </c>
      <c r="K1684" s="2" t="s">
        <v>3669</v>
      </c>
      <c r="L1684" s="3">
        <v>20.23</v>
      </c>
      <c r="M1684" s="3">
        <v>21.24</v>
      </c>
      <c r="N1684" s="3">
        <v>42.49</v>
      </c>
      <c r="O1684" s="2" t="s">
        <v>97</v>
      </c>
      <c r="P1684" s="2" t="s">
        <v>1216</v>
      </c>
      <c r="Q1684" s="2" t="s">
        <v>99</v>
      </c>
      <c r="R1684" s="2" t="s">
        <v>100</v>
      </c>
      <c r="S1684" s="2" t="s">
        <v>4800</v>
      </c>
      <c r="T1684" s="2" t="s">
        <v>787</v>
      </c>
      <c r="U1684" s="2" t="s">
        <v>1508</v>
      </c>
      <c r="V1684" s="2" t="s">
        <v>645</v>
      </c>
      <c r="W1684" s="2" t="s">
        <v>976</v>
      </c>
      <c r="X1684" s="2" t="s">
        <v>105</v>
      </c>
      <c r="Y1684" s="2" t="s">
        <v>4703</v>
      </c>
      <c r="Z1684" s="4">
        <v>505</v>
      </c>
      <c r="AA1684" s="4">
        <f>=ROUNDDOWN(21.0416666666667,0)</f>
      </c>
      <c r="AB1684" s="5">
        <v>24</v>
      </c>
      <c r="AC1684" s="2" t="s">
        <v>871</v>
      </c>
      <c r="AD1684" s="4">
        <v>12</v>
      </c>
      <c r="AE1684" s="4">
        <v>1012</v>
      </c>
      <c r="AF1684" s="6">
        <v>63</v>
      </c>
      <c r="AG1684" s="6">
        <v>46</v>
      </c>
      <c r="AH1684" s="7">
        <v>1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>
        <v>0</v>
      </c>
      <c r="AP1684" s="4"/>
      <c r="AQ1684" s="8"/>
      <c r="AR1684" s="4"/>
      <c r="AS1684" s="8"/>
      <c r="AT1684" s="7"/>
      <c r="AU1684" s="7"/>
      <c r="AV1684" s="4" t="s">
        <v>100</v>
      </c>
      <c r="AW1684" s="8" t="s">
        <v>100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/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 t="s">
        <v>100</v>
      </c>
      <c r="BJ1684" s="4">
        <v>51</v>
      </c>
      <c r="BK1684" s="8">
        <v>1109.56</v>
      </c>
      <c r="BL1684" s="2" t="s">
        <v>5069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109</v>
      </c>
      <c r="BV1684" s="2" t="s">
        <v>97</v>
      </c>
      <c r="BW1684" s="2" t="s">
        <v>4703</v>
      </c>
      <c r="BX1684" s="2" t="s">
        <v>2171</v>
      </c>
      <c r="BY1684" s="2" t="s">
        <v>112</v>
      </c>
      <c r="BZ1684" s="2" t="s">
        <v>100</v>
      </c>
    </row>
    <row r="1685">
      <c r="A1685" s="2" t="s">
        <v>5070</v>
      </c>
      <c r="B1685" s="2" t="s">
        <v>87</v>
      </c>
      <c r="C1685" s="2" t="s">
        <v>4613</v>
      </c>
      <c r="D1685" s="2" t="s">
        <v>3079</v>
      </c>
      <c r="E1685" s="2" t="s">
        <v>3176</v>
      </c>
      <c r="F1685" s="2" t="s">
        <v>4767</v>
      </c>
      <c r="G1685" s="2" t="s">
        <v>4768</v>
      </c>
      <c r="H1685" s="2" t="s">
        <v>4769</v>
      </c>
      <c r="I1685" s="2" t="s">
        <v>5038</v>
      </c>
      <c r="J1685" s="2" t="s">
        <v>120</v>
      </c>
      <c r="K1685" s="2" t="s">
        <v>3669</v>
      </c>
      <c r="L1685" s="3">
        <v>22.61</v>
      </c>
      <c r="M1685" s="3">
        <v>23.74</v>
      </c>
      <c r="N1685" s="3">
        <v>47.49</v>
      </c>
      <c r="O1685" s="2" t="s">
        <v>97</v>
      </c>
      <c r="P1685" s="2" t="s">
        <v>1216</v>
      </c>
      <c r="Q1685" s="2" t="s">
        <v>99</v>
      </c>
      <c r="R1685" s="2" t="s">
        <v>100</v>
      </c>
      <c r="S1685" s="2" t="s">
        <v>4800</v>
      </c>
      <c r="T1685" s="2" t="s">
        <v>787</v>
      </c>
      <c r="U1685" s="2" t="s">
        <v>1508</v>
      </c>
      <c r="V1685" s="2" t="s">
        <v>645</v>
      </c>
      <c r="W1685" s="2" t="s">
        <v>976</v>
      </c>
      <c r="X1685" s="2" t="s">
        <v>105</v>
      </c>
      <c r="Y1685" s="2" t="s">
        <v>4703</v>
      </c>
      <c r="Z1685" s="4">
        <v>1</v>
      </c>
      <c r="AA1685" s="4">
        <f>=ROUNDDOWN(0.0454545454545455,0)</f>
      </c>
      <c r="AB1685" s="5">
        <v>22</v>
      </c>
      <c r="AC1685" s="2" t="s">
        <v>871</v>
      </c>
      <c r="AD1685" s="4">
        <v>24</v>
      </c>
      <c r="AE1685" s="4">
        <v>1864</v>
      </c>
      <c r="AF1685" s="6">
        <v>63</v>
      </c>
      <c r="AG1685" s="6">
        <v>46</v>
      </c>
      <c r="AH1685" s="7">
        <v>0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>
        <v>0</v>
      </c>
      <c r="AP1685" s="4"/>
      <c r="AQ1685" s="8"/>
      <c r="AR1685" s="4"/>
      <c r="AS1685" s="8"/>
      <c r="AT1685" s="7"/>
      <c r="AU1685" s="7"/>
      <c r="AV1685" s="4" t="s">
        <v>100</v>
      </c>
      <c r="AW1685" s="8" t="s">
        <v>100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/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 t="s">
        <v>100</v>
      </c>
      <c r="BJ1685" s="4">
        <v>24</v>
      </c>
      <c r="BK1685" s="8">
        <v>574.55</v>
      </c>
      <c r="BL1685" s="2" t="s">
        <v>5071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109</v>
      </c>
      <c r="BV1685" s="2" t="s">
        <v>97</v>
      </c>
      <c r="BW1685" s="2" t="s">
        <v>4703</v>
      </c>
      <c r="BX1685" s="2" t="s">
        <v>4902</v>
      </c>
      <c r="BY1685" s="2" t="s">
        <v>112</v>
      </c>
      <c r="BZ1685" s="2" t="s">
        <v>100</v>
      </c>
    </row>
    <row r="1686">
      <c r="A1686" s="2" t="s">
        <v>5072</v>
      </c>
      <c r="B1686" s="2" t="s">
        <v>87</v>
      </c>
      <c r="C1686" s="2" t="s">
        <v>4613</v>
      </c>
      <c r="D1686" s="2" t="s">
        <v>3079</v>
      </c>
      <c r="E1686" s="2" t="s">
        <v>3176</v>
      </c>
      <c r="F1686" s="2" t="s">
        <v>4767</v>
      </c>
      <c r="G1686" s="2" t="s">
        <v>4768</v>
      </c>
      <c r="H1686" s="2" t="s">
        <v>4769</v>
      </c>
      <c r="I1686" s="2" t="s">
        <v>5038</v>
      </c>
      <c r="J1686" s="2" t="s">
        <v>124</v>
      </c>
      <c r="K1686" s="2" t="s">
        <v>3669</v>
      </c>
      <c r="L1686" s="3">
        <v>23.57</v>
      </c>
      <c r="M1686" s="3">
        <v>24.75</v>
      </c>
      <c r="N1686" s="3">
        <v>49.49</v>
      </c>
      <c r="O1686" s="2" t="s">
        <v>97</v>
      </c>
      <c r="P1686" s="2" t="s">
        <v>1216</v>
      </c>
      <c r="Q1686" s="2" t="s">
        <v>99</v>
      </c>
      <c r="R1686" s="2" t="s">
        <v>100</v>
      </c>
      <c r="S1686" s="2" t="s">
        <v>4800</v>
      </c>
      <c r="T1686" s="2" t="s">
        <v>787</v>
      </c>
      <c r="U1686" s="2" t="s">
        <v>1508</v>
      </c>
      <c r="V1686" s="2" t="s">
        <v>645</v>
      </c>
      <c r="W1686" s="2" t="s">
        <v>976</v>
      </c>
      <c r="X1686" s="2" t="s">
        <v>105</v>
      </c>
      <c r="Y1686" s="2" t="s">
        <v>100</v>
      </c>
      <c r="Z1686" s="4"/>
      <c r="AA1686" s="4">
        <f>=ROUNDDOWN({0},0)</f>
      </c>
      <c r="AB1686" s="5"/>
      <c r="AC1686" s="2" t="s">
        <v>2598</v>
      </c>
      <c r="AD1686" s="4">
        <v>156</v>
      </c>
      <c r="AE1686" s="4">
        <v>600</v>
      </c>
      <c r="AF1686" s="6">
        <v>63</v>
      </c>
      <c r="AG1686" s="6">
        <v>46</v>
      </c>
      <c r="AH1686" s="7">
        <v>0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>
        <v>0</v>
      </c>
      <c r="AP1686" s="4"/>
      <c r="AQ1686" s="8"/>
      <c r="AR1686" s="4"/>
      <c r="AS1686" s="8"/>
      <c r="AT1686" s="7"/>
      <c r="AU1686" s="7"/>
      <c r="AV1686" s="4" t="s">
        <v>100</v>
      </c>
      <c r="AW1686" s="8" t="s">
        <v>100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/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 t="s">
        <v>100</v>
      </c>
      <c r="BJ1686" s="4"/>
      <c r="BK1686" s="8"/>
      <c r="BL1686" s="2" t="s">
        <v>100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1338</v>
      </c>
      <c r="BV1686" s="2" t="s">
        <v>97</v>
      </c>
      <c r="BW1686" s="2" t="s">
        <v>100</v>
      </c>
      <c r="BX1686" s="2" t="s">
        <v>100</v>
      </c>
      <c r="BY1686" s="2" t="s">
        <v>112</v>
      </c>
      <c r="BZ1686" s="2" t="s">
        <v>100</v>
      </c>
    </row>
    <row r="1687">
      <c r="A1687" s="2" t="s">
        <v>5073</v>
      </c>
      <c r="B1687" s="2" t="s">
        <v>87</v>
      </c>
      <c r="C1687" s="2" t="s">
        <v>4613</v>
      </c>
      <c r="D1687" s="2" t="s">
        <v>3079</v>
      </c>
      <c r="E1687" s="2" t="s">
        <v>3176</v>
      </c>
      <c r="F1687" s="2" t="s">
        <v>4767</v>
      </c>
      <c r="G1687" s="2" t="s">
        <v>4768</v>
      </c>
      <c r="H1687" s="2" t="s">
        <v>4769</v>
      </c>
      <c r="I1687" s="2" t="s">
        <v>5038</v>
      </c>
      <c r="J1687" s="2" t="s">
        <v>673</v>
      </c>
      <c r="K1687" s="2" t="s">
        <v>96</v>
      </c>
      <c r="L1687" s="3">
        <v>15.47</v>
      </c>
      <c r="M1687" s="3">
        <v>16.24</v>
      </c>
      <c r="N1687" s="3">
        <v>32.49</v>
      </c>
      <c r="O1687" s="2" t="s">
        <v>97</v>
      </c>
      <c r="P1687" s="2" t="s">
        <v>1216</v>
      </c>
      <c r="Q1687" s="2" t="s">
        <v>99</v>
      </c>
      <c r="R1687" s="2" t="s">
        <v>100</v>
      </c>
      <c r="S1687" s="2" t="s">
        <v>4809</v>
      </c>
      <c r="T1687" s="2" t="s">
        <v>787</v>
      </c>
      <c r="U1687" s="2" t="s">
        <v>2150</v>
      </c>
      <c r="V1687" s="2" t="s">
        <v>645</v>
      </c>
      <c r="W1687" s="2" t="s">
        <v>976</v>
      </c>
      <c r="X1687" s="2" t="s">
        <v>105</v>
      </c>
      <c r="Y1687" s="2" t="s">
        <v>4703</v>
      </c>
      <c r="Z1687" s="4">
        <v>68</v>
      </c>
      <c r="AA1687" s="4">
        <f>=ROUNDDOWN(17,0)</f>
      </c>
      <c r="AB1687" s="5">
        <v>4</v>
      </c>
      <c r="AC1687" s="2" t="s">
        <v>2404</v>
      </c>
      <c r="AD1687" s="4">
        <v>120</v>
      </c>
      <c r="AE1687" s="4">
        <v>280</v>
      </c>
      <c r="AF1687" s="6">
        <v>63</v>
      </c>
      <c r="AG1687" s="6">
        <v>46</v>
      </c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>
        <v>0</v>
      </c>
      <c r="AP1687" s="4"/>
      <c r="AQ1687" s="8"/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/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 t="s">
        <v>100</v>
      </c>
      <c r="BJ1687" s="4">
        <v>5</v>
      </c>
      <c r="BK1687" s="8">
        <v>89.13</v>
      </c>
      <c r="BL1687" s="2" t="s">
        <v>776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109</v>
      </c>
      <c r="BV1687" s="2" t="s">
        <v>97</v>
      </c>
      <c r="BW1687" s="2" t="s">
        <v>4703</v>
      </c>
      <c r="BX1687" s="2" t="s">
        <v>100</v>
      </c>
      <c r="BY1687" s="2" t="s">
        <v>112</v>
      </c>
      <c r="BZ1687" s="2" t="s">
        <v>100</v>
      </c>
    </row>
    <row r="1688">
      <c r="A1688" s="2" t="s">
        <v>5074</v>
      </c>
      <c r="B1688" s="2" t="s">
        <v>87</v>
      </c>
      <c r="C1688" s="2" t="s">
        <v>4613</v>
      </c>
      <c r="D1688" s="2" t="s">
        <v>3079</v>
      </c>
      <c r="E1688" s="2" t="s">
        <v>3176</v>
      </c>
      <c r="F1688" s="2" t="s">
        <v>4767</v>
      </c>
      <c r="G1688" s="2" t="s">
        <v>4768</v>
      </c>
      <c r="H1688" s="2" t="s">
        <v>4769</v>
      </c>
      <c r="I1688" s="2" t="s">
        <v>5038</v>
      </c>
      <c r="J1688" s="2" t="s">
        <v>95</v>
      </c>
      <c r="K1688" s="2" t="s">
        <v>96</v>
      </c>
      <c r="L1688" s="3">
        <v>19.76</v>
      </c>
      <c r="M1688" s="3">
        <v>20.75</v>
      </c>
      <c r="N1688" s="3">
        <v>41.49</v>
      </c>
      <c r="O1688" s="2" t="s">
        <v>97</v>
      </c>
      <c r="P1688" s="2" t="s">
        <v>1216</v>
      </c>
      <c r="Q1688" s="2" t="s">
        <v>99</v>
      </c>
      <c r="R1688" s="2" t="s">
        <v>100</v>
      </c>
      <c r="S1688" s="2" t="s">
        <v>4809</v>
      </c>
      <c r="T1688" s="2" t="s">
        <v>787</v>
      </c>
      <c r="U1688" s="2" t="s">
        <v>1508</v>
      </c>
      <c r="V1688" s="2" t="s">
        <v>645</v>
      </c>
      <c r="W1688" s="2" t="s">
        <v>976</v>
      </c>
      <c r="X1688" s="2" t="s">
        <v>105</v>
      </c>
      <c r="Y1688" s="2" t="s">
        <v>100</v>
      </c>
      <c r="Z1688" s="4"/>
      <c r="AA1688" s="4">
        <f>=ROUNDDOWN({0},0)</f>
      </c>
      <c r="AB1688" s="5"/>
      <c r="AC1688" s="2" t="s">
        <v>2598</v>
      </c>
      <c r="AD1688" s="4">
        <v>68</v>
      </c>
      <c r="AE1688" s="4">
        <v>160</v>
      </c>
      <c r="AF1688" s="6">
        <v>63</v>
      </c>
      <c r="AG1688" s="6">
        <v>46</v>
      </c>
      <c r="AH1688" s="7">
        <v>0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>
        <v>0</v>
      </c>
      <c r="AP1688" s="4"/>
      <c r="AQ1688" s="8"/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/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 t="s">
        <v>100</v>
      </c>
      <c r="BJ1688" s="4"/>
      <c r="BK1688" s="8"/>
      <c r="BL1688" s="2" t="s">
        <v>100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1338</v>
      </c>
      <c r="BV1688" s="2" t="s">
        <v>97</v>
      </c>
      <c r="BW1688" s="2" t="s">
        <v>100</v>
      </c>
      <c r="BX1688" s="2" t="s">
        <v>100</v>
      </c>
      <c r="BY1688" s="2" t="s">
        <v>112</v>
      </c>
      <c r="BZ1688" s="2" t="s">
        <v>100</v>
      </c>
    </row>
    <row r="1689">
      <c r="A1689" s="2" t="s">
        <v>5075</v>
      </c>
      <c r="B1689" s="2" t="s">
        <v>87</v>
      </c>
      <c r="C1689" s="2" t="s">
        <v>4613</v>
      </c>
      <c r="D1689" s="2" t="s">
        <v>3079</v>
      </c>
      <c r="E1689" s="2" t="s">
        <v>3176</v>
      </c>
      <c r="F1689" s="2" t="s">
        <v>4767</v>
      </c>
      <c r="G1689" s="2" t="s">
        <v>4768</v>
      </c>
      <c r="H1689" s="2" t="s">
        <v>4769</v>
      </c>
      <c r="I1689" s="2" t="s">
        <v>5038</v>
      </c>
      <c r="J1689" s="2" t="s">
        <v>114</v>
      </c>
      <c r="K1689" s="2" t="s">
        <v>96</v>
      </c>
      <c r="L1689" s="3">
        <v>20.23</v>
      </c>
      <c r="M1689" s="3">
        <v>21.24</v>
      </c>
      <c r="N1689" s="3">
        <v>42.49</v>
      </c>
      <c r="O1689" s="2" t="s">
        <v>97</v>
      </c>
      <c r="P1689" s="2" t="s">
        <v>1216</v>
      </c>
      <c r="Q1689" s="2" t="s">
        <v>99</v>
      </c>
      <c r="R1689" s="2" t="s">
        <v>100</v>
      </c>
      <c r="S1689" s="2" t="s">
        <v>4809</v>
      </c>
      <c r="T1689" s="2" t="s">
        <v>787</v>
      </c>
      <c r="U1689" s="2" t="s">
        <v>1508</v>
      </c>
      <c r="V1689" s="2" t="s">
        <v>645</v>
      </c>
      <c r="W1689" s="2" t="s">
        <v>976</v>
      </c>
      <c r="X1689" s="2" t="s">
        <v>105</v>
      </c>
      <c r="Y1689" s="2" t="s">
        <v>4703</v>
      </c>
      <c r="Z1689" s="4">
        <v>405</v>
      </c>
      <c r="AA1689" s="4">
        <f>=ROUNDDOWN(36.8181818181818,0)</f>
      </c>
      <c r="AB1689" s="5">
        <v>11</v>
      </c>
      <c r="AC1689" s="2" t="s">
        <v>1678</v>
      </c>
      <c r="AD1689" s="4">
        <v>60</v>
      </c>
      <c r="AE1689" s="4">
        <v>400</v>
      </c>
      <c r="AF1689" s="6">
        <v>63</v>
      </c>
      <c r="AG1689" s="6">
        <v>46</v>
      </c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/>
      <c r="AQ1689" s="8"/>
      <c r="AR1689" s="4"/>
      <c r="AS1689" s="8"/>
      <c r="AT1689" s="7"/>
      <c r="AU1689" s="7"/>
      <c r="AV1689" s="4" t="s">
        <v>100</v>
      </c>
      <c r="AW1689" s="8" t="s">
        <v>100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/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 t="s">
        <v>100</v>
      </c>
      <c r="BJ1689" s="4">
        <v>50</v>
      </c>
      <c r="BK1689" s="8">
        <v>1085.6</v>
      </c>
      <c r="BL1689" s="2" t="s">
        <v>3018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109</v>
      </c>
      <c r="BV1689" s="2" t="s">
        <v>97</v>
      </c>
      <c r="BW1689" s="2" t="s">
        <v>4703</v>
      </c>
      <c r="BX1689" s="2" t="s">
        <v>5076</v>
      </c>
      <c r="BY1689" s="2" t="s">
        <v>112</v>
      </c>
      <c r="BZ1689" s="2" t="s">
        <v>100</v>
      </c>
    </row>
    <row r="1690">
      <c r="A1690" s="2" t="s">
        <v>5077</v>
      </c>
      <c r="B1690" s="2" t="s">
        <v>87</v>
      </c>
      <c r="C1690" s="2" t="s">
        <v>4613</v>
      </c>
      <c r="D1690" s="2" t="s">
        <v>3079</v>
      </c>
      <c r="E1690" s="2" t="s">
        <v>3176</v>
      </c>
      <c r="F1690" s="2" t="s">
        <v>4767</v>
      </c>
      <c r="G1690" s="2" t="s">
        <v>4768</v>
      </c>
      <c r="H1690" s="2" t="s">
        <v>4769</v>
      </c>
      <c r="I1690" s="2" t="s">
        <v>5038</v>
      </c>
      <c r="J1690" s="2" t="s">
        <v>120</v>
      </c>
      <c r="K1690" s="2" t="s">
        <v>96</v>
      </c>
      <c r="L1690" s="3">
        <v>22.61</v>
      </c>
      <c r="M1690" s="3">
        <v>23.74</v>
      </c>
      <c r="N1690" s="3">
        <v>47.49</v>
      </c>
      <c r="O1690" s="2" t="s">
        <v>97</v>
      </c>
      <c r="P1690" s="2" t="s">
        <v>1216</v>
      </c>
      <c r="Q1690" s="2" t="s">
        <v>99</v>
      </c>
      <c r="R1690" s="2" t="s">
        <v>100</v>
      </c>
      <c r="S1690" s="2" t="s">
        <v>4809</v>
      </c>
      <c r="T1690" s="2" t="s">
        <v>787</v>
      </c>
      <c r="U1690" s="2" t="s">
        <v>1508</v>
      </c>
      <c r="V1690" s="2" t="s">
        <v>645</v>
      </c>
      <c r="W1690" s="2" t="s">
        <v>976</v>
      </c>
      <c r="X1690" s="2" t="s">
        <v>105</v>
      </c>
      <c r="Y1690" s="2" t="s">
        <v>4703</v>
      </c>
      <c r="Z1690" s="4">
        <v>499</v>
      </c>
      <c r="AA1690" s="4">
        <f>=ROUNDDOWN(62.375,0)</f>
      </c>
      <c r="AB1690" s="5">
        <v>8</v>
      </c>
      <c r="AC1690" s="2" t="s">
        <v>871</v>
      </c>
      <c r="AD1690" s="4">
        <v>24</v>
      </c>
      <c r="AE1690" s="4">
        <v>464</v>
      </c>
      <c r="AF1690" s="6">
        <v>63</v>
      </c>
      <c r="AG1690" s="6">
        <v>46</v>
      </c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>
        <v>0</v>
      </c>
      <c r="AP1690" s="4"/>
      <c r="AQ1690" s="8"/>
      <c r="AR1690" s="4"/>
      <c r="AS1690" s="8"/>
      <c r="AT1690" s="7"/>
      <c r="AU1690" s="7"/>
      <c r="AV1690" s="4" t="s">
        <v>100</v>
      </c>
      <c r="AW1690" s="8" t="s">
        <v>100</v>
      </c>
      <c r="AX1690" s="4" t="s">
        <v>100</v>
      </c>
      <c r="AY1690" s="8" t="s">
        <v>100</v>
      </c>
      <c r="AZ1690" s="7" t="s">
        <v>100</v>
      </c>
      <c r="BA1690" s="7" t="s">
        <v>100</v>
      </c>
      <c r="BB1690" s="7"/>
      <c r="BC1690" s="4" t="s">
        <v>100</v>
      </c>
      <c r="BD1690" s="8" t="s">
        <v>100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 t="s">
        <v>100</v>
      </c>
      <c r="BJ1690" s="4">
        <v>14</v>
      </c>
      <c r="BK1690" s="8">
        <v>337.09</v>
      </c>
      <c r="BL1690" s="2" t="s">
        <v>3522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109</v>
      </c>
      <c r="BV1690" s="2" t="s">
        <v>97</v>
      </c>
      <c r="BW1690" s="2" t="s">
        <v>4703</v>
      </c>
      <c r="BX1690" s="2" t="s">
        <v>100</v>
      </c>
      <c r="BY1690" s="2" t="s">
        <v>112</v>
      </c>
      <c r="BZ1690" s="2" t="s">
        <v>100</v>
      </c>
    </row>
    <row r="1691">
      <c r="A1691" s="2" t="s">
        <v>5078</v>
      </c>
      <c r="B1691" s="2" t="s">
        <v>87</v>
      </c>
      <c r="C1691" s="2" t="s">
        <v>4613</v>
      </c>
      <c r="D1691" s="2" t="s">
        <v>3079</v>
      </c>
      <c r="E1691" s="2" t="s">
        <v>3176</v>
      </c>
      <c r="F1691" s="2" t="s">
        <v>4767</v>
      </c>
      <c r="G1691" s="2" t="s">
        <v>4768</v>
      </c>
      <c r="H1691" s="2" t="s">
        <v>4769</v>
      </c>
      <c r="I1691" s="2" t="s">
        <v>5038</v>
      </c>
      <c r="J1691" s="2" t="s">
        <v>124</v>
      </c>
      <c r="K1691" s="2" t="s">
        <v>96</v>
      </c>
      <c r="L1691" s="3">
        <v>23.57</v>
      </c>
      <c r="M1691" s="3">
        <v>24.75</v>
      </c>
      <c r="N1691" s="3">
        <v>49.49</v>
      </c>
      <c r="O1691" s="2" t="s">
        <v>97</v>
      </c>
      <c r="P1691" s="2" t="s">
        <v>1216</v>
      </c>
      <c r="Q1691" s="2" t="s">
        <v>99</v>
      </c>
      <c r="R1691" s="2" t="s">
        <v>100</v>
      </c>
      <c r="S1691" s="2" t="s">
        <v>4809</v>
      </c>
      <c r="T1691" s="2" t="s">
        <v>787</v>
      </c>
      <c r="U1691" s="2" t="s">
        <v>1508</v>
      </c>
      <c r="V1691" s="2" t="s">
        <v>645</v>
      </c>
      <c r="W1691" s="2" t="s">
        <v>976</v>
      </c>
      <c r="X1691" s="2" t="s">
        <v>105</v>
      </c>
      <c r="Y1691" s="2" t="s">
        <v>100</v>
      </c>
      <c r="Z1691" s="4"/>
      <c r="AA1691" s="4">
        <f>=ROUNDDOWN({0},0)</f>
      </c>
      <c r="AB1691" s="5"/>
      <c r="AC1691" s="2" t="s">
        <v>2598</v>
      </c>
      <c r="AD1691" s="4">
        <v>72</v>
      </c>
      <c r="AE1691" s="4">
        <v>600</v>
      </c>
      <c r="AF1691" s="6">
        <v>63</v>
      </c>
      <c r="AG1691" s="6">
        <v>46</v>
      </c>
      <c r="AH1691" s="7">
        <v>0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>
        <v>0</v>
      </c>
      <c r="AP1691" s="4"/>
      <c r="AQ1691" s="8"/>
      <c r="AR1691" s="4"/>
      <c r="AS1691" s="8"/>
      <c r="AT1691" s="7"/>
      <c r="AU1691" s="7"/>
      <c r="AV1691" s="4" t="s">
        <v>100</v>
      </c>
      <c r="AW1691" s="8" t="s">
        <v>100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/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 t="s">
        <v>100</v>
      </c>
      <c r="BJ1691" s="4"/>
      <c r="BK1691" s="8"/>
      <c r="BL1691" s="2" t="s">
        <v>100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1338</v>
      </c>
      <c r="BV1691" s="2" t="s">
        <v>97</v>
      </c>
      <c r="BW1691" s="2" t="s">
        <v>100</v>
      </c>
      <c r="BX1691" s="2" t="s">
        <v>100</v>
      </c>
      <c r="BY1691" s="2" t="s">
        <v>112</v>
      </c>
      <c r="BZ1691" s="2" t="s">
        <v>100</v>
      </c>
    </row>
    <row r="1692">
      <c r="A1692" s="2" t="s">
        <v>5079</v>
      </c>
      <c r="B1692" s="2" t="s">
        <v>87</v>
      </c>
      <c r="C1692" s="2" t="s">
        <v>4613</v>
      </c>
      <c r="D1692" s="2" t="s">
        <v>3079</v>
      </c>
      <c r="E1692" s="2" t="s">
        <v>3176</v>
      </c>
      <c r="F1692" s="2" t="s">
        <v>4767</v>
      </c>
      <c r="G1692" s="2" t="s">
        <v>4768</v>
      </c>
      <c r="H1692" s="2" t="s">
        <v>4769</v>
      </c>
      <c r="I1692" s="2" t="s">
        <v>5038</v>
      </c>
      <c r="J1692" s="2" t="s">
        <v>673</v>
      </c>
      <c r="K1692" s="2" t="s">
        <v>4817</v>
      </c>
      <c r="L1692" s="3">
        <v>15.47</v>
      </c>
      <c r="M1692" s="3">
        <v>16.24</v>
      </c>
      <c r="N1692" s="3">
        <v>32.49</v>
      </c>
      <c r="O1692" s="2" t="s">
        <v>97</v>
      </c>
      <c r="P1692" s="2" t="s">
        <v>1216</v>
      </c>
      <c r="Q1692" s="2" t="s">
        <v>99</v>
      </c>
      <c r="R1692" s="2" t="s">
        <v>100</v>
      </c>
      <c r="S1692" s="2" t="s">
        <v>4818</v>
      </c>
      <c r="T1692" s="2" t="s">
        <v>787</v>
      </c>
      <c r="U1692" s="2" t="s">
        <v>2150</v>
      </c>
      <c r="V1692" s="2" t="s">
        <v>645</v>
      </c>
      <c r="W1692" s="2" t="s">
        <v>976</v>
      </c>
      <c r="X1692" s="2" t="s">
        <v>105</v>
      </c>
      <c r="Y1692" s="2" t="s">
        <v>100</v>
      </c>
      <c r="Z1692" s="4"/>
      <c r="AA1692" s="4">
        <f>=ROUNDDOWN({0},0)</f>
      </c>
      <c r="AB1692" s="5"/>
      <c r="AC1692" s="2" t="s">
        <v>648</v>
      </c>
      <c r="AD1692" s="4">
        <v>36</v>
      </c>
      <c r="AE1692" s="4">
        <v>148</v>
      </c>
      <c r="AF1692" s="6">
        <v>63</v>
      </c>
      <c r="AG1692" s="6">
        <v>46</v>
      </c>
      <c r="AH1692" s="7">
        <v>0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>
        <v>0</v>
      </c>
      <c r="AP1692" s="4"/>
      <c r="AQ1692" s="8"/>
      <c r="AR1692" s="4"/>
      <c r="AS1692" s="8"/>
      <c r="AT1692" s="7"/>
      <c r="AU1692" s="7"/>
      <c r="AV1692" s="4" t="s">
        <v>100</v>
      </c>
      <c r="AW1692" s="8" t="s">
        <v>100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/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 t="s">
        <v>100</v>
      </c>
      <c r="BJ1692" s="4"/>
      <c r="BK1692" s="8"/>
      <c r="BL1692" s="2" t="s">
        <v>100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1338</v>
      </c>
      <c r="BV1692" s="2" t="s">
        <v>97</v>
      </c>
      <c r="BW1692" s="2" t="s">
        <v>100</v>
      </c>
      <c r="BX1692" s="2" t="s">
        <v>100</v>
      </c>
      <c r="BY1692" s="2" t="s">
        <v>112</v>
      </c>
      <c r="BZ1692" s="2" t="s">
        <v>100</v>
      </c>
    </row>
    <row r="1693">
      <c r="A1693" s="2" t="s">
        <v>5080</v>
      </c>
      <c r="B1693" s="2" t="s">
        <v>87</v>
      </c>
      <c r="C1693" s="2" t="s">
        <v>4613</v>
      </c>
      <c r="D1693" s="2" t="s">
        <v>3079</v>
      </c>
      <c r="E1693" s="2" t="s">
        <v>3176</v>
      </c>
      <c r="F1693" s="2" t="s">
        <v>4767</v>
      </c>
      <c r="G1693" s="2" t="s">
        <v>4768</v>
      </c>
      <c r="H1693" s="2" t="s">
        <v>4769</v>
      </c>
      <c r="I1693" s="2" t="s">
        <v>5038</v>
      </c>
      <c r="J1693" s="2" t="s">
        <v>95</v>
      </c>
      <c r="K1693" s="2" t="s">
        <v>4817</v>
      </c>
      <c r="L1693" s="3">
        <v>19.76</v>
      </c>
      <c r="M1693" s="3">
        <v>20.75</v>
      </c>
      <c r="N1693" s="3">
        <v>41.49</v>
      </c>
      <c r="O1693" s="2" t="s">
        <v>97</v>
      </c>
      <c r="P1693" s="2" t="s">
        <v>1216</v>
      </c>
      <c r="Q1693" s="2" t="s">
        <v>99</v>
      </c>
      <c r="R1693" s="2" t="s">
        <v>100</v>
      </c>
      <c r="S1693" s="2" t="s">
        <v>4818</v>
      </c>
      <c r="T1693" s="2" t="s">
        <v>787</v>
      </c>
      <c r="U1693" s="2" t="s">
        <v>1508</v>
      </c>
      <c r="V1693" s="2" t="s">
        <v>645</v>
      </c>
      <c r="W1693" s="2" t="s">
        <v>976</v>
      </c>
      <c r="X1693" s="2" t="s">
        <v>105</v>
      </c>
      <c r="Y1693" s="2" t="s">
        <v>100</v>
      </c>
      <c r="Z1693" s="4"/>
      <c r="AA1693" s="4">
        <f>=ROUNDDOWN({0},0)</f>
      </c>
      <c r="AB1693" s="5"/>
      <c r="AC1693" s="2" t="s">
        <v>2598</v>
      </c>
      <c r="AD1693" s="4">
        <v>64</v>
      </c>
      <c r="AE1693" s="4">
        <v>160</v>
      </c>
      <c r="AF1693" s="6">
        <v>63</v>
      </c>
      <c r="AG1693" s="6">
        <v>46</v>
      </c>
      <c r="AH1693" s="7">
        <v>0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>
        <v>0</v>
      </c>
      <c r="AP1693" s="4"/>
      <c r="AQ1693" s="8"/>
      <c r="AR1693" s="4"/>
      <c r="AS1693" s="8"/>
      <c r="AT1693" s="7"/>
      <c r="AU1693" s="7"/>
      <c r="AV1693" s="4" t="s">
        <v>100</v>
      </c>
      <c r="AW1693" s="8" t="s">
        <v>100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/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 t="s">
        <v>100</v>
      </c>
      <c r="BJ1693" s="4"/>
      <c r="BK1693" s="8"/>
      <c r="BL1693" s="2" t="s">
        <v>100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1338</v>
      </c>
      <c r="BV1693" s="2" t="s">
        <v>97</v>
      </c>
      <c r="BW1693" s="2" t="s">
        <v>100</v>
      </c>
      <c r="BX1693" s="2" t="s">
        <v>100</v>
      </c>
      <c r="BY1693" s="2" t="s">
        <v>112</v>
      </c>
      <c r="BZ1693" s="2" t="s">
        <v>100</v>
      </c>
    </row>
    <row r="1694">
      <c r="A1694" s="2" t="s">
        <v>5081</v>
      </c>
      <c r="B1694" s="2" t="s">
        <v>87</v>
      </c>
      <c r="C1694" s="2" t="s">
        <v>4613</v>
      </c>
      <c r="D1694" s="2" t="s">
        <v>3079</v>
      </c>
      <c r="E1694" s="2" t="s">
        <v>3176</v>
      </c>
      <c r="F1694" s="2" t="s">
        <v>4767</v>
      </c>
      <c r="G1694" s="2" t="s">
        <v>4768</v>
      </c>
      <c r="H1694" s="2" t="s">
        <v>4769</v>
      </c>
      <c r="I1694" s="2" t="s">
        <v>5038</v>
      </c>
      <c r="J1694" s="2" t="s">
        <v>114</v>
      </c>
      <c r="K1694" s="2" t="s">
        <v>4817</v>
      </c>
      <c r="L1694" s="3">
        <v>20.23</v>
      </c>
      <c r="M1694" s="3">
        <v>21.24</v>
      </c>
      <c r="N1694" s="3">
        <v>42.49</v>
      </c>
      <c r="O1694" s="2" t="s">
        <v>97</v>
      </c>
      <c r="P1694" s="2" t="s">
        <v>1216</v>
      </c>
      <c r="Q1694" s="2" t="s">
        <v>99</v>
      </c>
      <c r="R1694" s="2" t="s">
        <v>100</v>
      </c>
      <c r="S1694" s="2" t="s">
        <v>4818</v>
      </c>
      <c r="T1694" s="2" t="s">
        <v>787</v>
      </c>
      <c r="U1694" s="2" t="s">
        <v>1508</v>
      </c>
      <c r="V1694" s="2" t="s">
        <v>645</v>
      </c>
      <c r="W1694" s="2" t="s">
        <v>976</v>
      </c>
      <c r="X1694" s="2" t="s">
        <v>105</v>
      </c>
      <c r="Y1694" s="2" t="s">
        <v>100</v>
      </c>
      <c r="Z1694" s="4"/>
      <c r="AA1694" s="4">
        <f>=ROUNDDOWN({0},0)</f>
      </c>
      <c r="AB1694" s="5"/>
      <c r="AC1694" s="2" t="s">
        <v>648</v>
      </c>
      <c r="AD1694" s="4">
        <v>104</v>
      </c>
      <c r="AE1694" s="4">
        <v>540</v>
      </c>
      <c r="AF1694" s="6">
        <v>63</v>
      </c>
      <c r="AG1694" s="6">
        <v>46</v>
      </c>
      <c r="AH1694" s="7">
        <v>0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>
        <v>0</v>
      </c>
      <c r="AP1694" s="4"/>
      <c r="AQ1694" s="8"/>
      <c r="AR1694" s="4"/>
      <c r="AS1694" s="8"/>
      <c r="AT1694" s="7"/>
      <c r="AU1694" s="7"/>
      <c r="AV1694" s="4" t="s">
        <v>100</v>
      </c>
      <c r="AW1694" s="8" t="s">
        <v>100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/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 t="s">
        <v>100</v>
      </c>
      <c r="BJ1694" s="4"/>
      <c r="BK1694" s="8"/>
      <c r="BL1694" s="2" t="s">
        <v>100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1338</v>
      </c>
      <c r="BV1694" s="2" t="s">
        <v>97</v>
      </c>
      <c r="BW1694" s="2" t="s">
        <v>100</v>
      </c>
      <c r="BX1694" s="2" t="s">
        <v>100</v>
      </c>
      <c r="BY1694" s="2" t="s">
        <v>112</v>
      </c>
      <c r="BZ1694" s="2" t="s">
        <v>100</v>
      </c>
    </row>
    <row r="1695">
      <c r="A1695" s="2" t="s">
        <v>5082</v>
      </c>
      <c r="B1695" s="2" t="s">
        <v>87</v>
      </c>
      <c r="C1695" s="2" t="s">
        <v>4613</v>
      </c>
      <c r="D1695" s="2" t="s">
        <v>3079</v>
      </c>
      <c r="E1695" s="2" t="s">
        <v>3176</v>
      </c>
      <c r="F1695" s="2" t="s">
        <v>4767</v>
      </c>
      <c r="G1695" s="2" t="s">
        <v>4768</v>
      </c>
      <c r="H1695" s="2" t="s">
        <v>4769</v>
      </c>
      <c r="I1695" s="2" t="s">
        <v>5038</v>
      </c>
      <c r="J1695" s="2" t="s">
        <v>120</v>
      </c>
      <c r="K1695" s="2" t="s">
        <v>4817</v>
      </c>
      <c r="L1695" s="3">
        <v>22.61</v>
      </c>
      <c r="M1695" s="3">
        <v>23.74</v>
      </c>
      <c r="N1695" s="3">
        <v>47.49</v>
      </c>
      <c r="O1695" s="2" t="s">
        <v>97</v>
      </c>
      <c r="P1695" s="2" t="s">
        <v>1216</v>
      </c>
      <c r="Q1695" s="2" t="s">
        <v>99</v>
      </c>
      <c r="R1695" s="2" t="s">
        <v>100</v>
      </c>
      <c r="S1695" s="2" t="s">
        <v>4818</v>
      </c>
      <c r="T1695" s="2" t="s">
        <v>787</v>
      </c>
      <c r="U1695" s="2" t="s">
        <v>1508</v>
      </c>
      <c r="V1695" s="2" t="s">
        <v>645</v>
      </c>
      <c r="W1695" s="2" t="s">
        <v>976</v>
      </c>
      <c r="X1695" s="2" t="s">
        <v>105</v>
      </c>
      <c r="Y1695" s="2" t="s">
        <v>100</v>
      </c>
      <c r="Z1695" s="4"/>
      <c r="AA1695" s="4">
        <f>=ROUNDDOWN({0},0)</f>
      </c>
      <c r="AB1695" s="5"/>
      <c r="AC1695" s="2" t="s">
        <v>648</v>
      </c>
      <c r="AD1695" s="4">
        <v>136</v>
      </c>
      <c r="AE1695" s="4">
        <v>456</v>
      </c>
      <c r="AF1695" s="6">
        <v>63</v>
      </c>
      <c r="AG1695" s="6">
        <v>46</v>
      </c>
      <c r="AH1695" s="7">
        <v>0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>
        <v>0</v>
      </c>
      <c r="AP1695" s="4"/>
      <c r="AQ1695" s="8"/>
      <c r="AR1695" s="4"/>
      <c r="AS1695" s="8"/>
      <c r="AT1695" s="7"/>
      <c r="AU1695" s="7"/>
      <c r="AV1695" s="4" t="s">
        <v>100</v>
      </c>
      <c r="AW1695" s="8" t="s">
        <v>100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/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 t="s">
        <v>100</v>
      </c>
      <c r="BJ1695" s="4"/>
      <c r="BK1695" s="8"/>
      <c r="BL1695" s="2" t="s">
        <v>100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1338</v>
      </c>
      <c r="BV1695" s="2" t="s">
        <v>97</v>
      </c>
      <c r="BW1695" s="2" t="s">
        <v>100</v>
      </c>
      <c r="BX1695" s="2" t="s">
        <v>100</v>
      </c>
      <c r="BY1695" s="2" t="s">
        <v>112</v>
      </c>
      <c r="BZ1695" s="2" t="s">
        <v>100</v>
      </c>
    </row>
    <row r="1696">
      <c r="A1696" s="2" t="s">
        <v>5083</v>
      </c>
      <c r="B1696" s="2" t="s">
        <v>87</v>
      </c>
      <c r="C1696" s="2" t="s">
        <v>4613</v>
      </c>
      <c r="D1696" s="2" t="s">
        <v>3079</v>
      </c>
      <c r="E1696" s="2" t="s">
        <v>3176</v>
      </c>
      <c r="F1696" s="2" t="s">
        <v>4767</v>
      </c>
      <c r="G1696" s="2" t="s">
        <v>4768</v>
      </c>
      <c r="H1696" s="2" t="s">
        <v>4769</v>
      </c>
      <c r="I1696" s="2" t="s">
        <v>5038</v>
      </c>
      <c r="J1696" s="2" t="s">
        <v>124</v>
      </c>
      <c r="K1696" s="2" t="s">
        <v>4817</v>
      </c>
      <c r="L1696" s="3">
        <v>23.57</v>
      </c>
      <c r="M1696" s="3">
        <v>24.75</v>
      </c>
      <c r="N1696" s="3">
        <v>49.49</v>
      </c>
      <c r="O1696" s="2" t="s">
        <v>97</v>
      </c>
      <c r="P1696" s="2" t="s">
        <v>1216</v>
      </c>
      <c r="Q1696" s="2" t="s">
        <v>99</v>
      </c>
      <c r="R1696" s="2" t="s">
        <v>100</v>
      </c>
      <c r="S1696" s="2" t="s">
        <v>4818</v>
      </c>
      <c r="T1696" s="2" t="s">
        <v>787</v>
      </c>
      <c r="U1696" s="2" t="s">
        <v>1508</v>
      </c>
      <c r="V1696" s="2" t="s">
        <v>645</v>
      </c>
      <c r="W1696" s="2" t="s">
        <v>976</v>
      </c>
      <c r="X1696" s="2" t="s">
        <v>105</v>
      </c>
      <c r="Y1696" s="2" t="s">
        <v>100</v>
      </c>
      <c r="Z1696" s="4"/>
      <c r="AA1696" s="4">
        <f>=ROUNDDOWN({0},0)</f>
      </c>
      <c r="AB1696" s="5"/>
      <c r="AC1696" s="2" t="s">
        <v>2598</v>
      </c>
      <c r="AD1696" s="4">
        <v>64</v>
      </c>
      <c r="AE1696" s="4">
        <v>600</v>
      </c>
      <c r="AF1696" s="6">
        <v>63</v>
      </c>
      <c r="AG1696" s="6">
        <v>46</v>
      </c>
      <c r="AH1696" s="7">
        <v>0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>
        <v>0</v>
      </c>
      <c r="AP1696" s="4"/>
      <c r="AQ1696" s="8"/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/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 t="s">
        <v>100</v>
      </c>
      <c r="BJ1696" s="4"/>
      <c r="BK1696" s="8"/>
      <c r="BL1696" s="2" t="s">
        <v>100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1338</v>
      </c>
      <c r="BV1696" s="2" t="s">
        <v>97</v>
      </c>
      <c r="BW1696" s="2" t="s">
        <v>100</v>
      </c>
      <c r="BX1696" s="2" t="s">
        <v>100</v>
      </c>
      <c r="BY1696" s="2" t="s">
        <v>112</v>
      </c>
      <c r="BZ1696" s="2" t="s">
        <v>100</v>
      </c>
    </row>
    <row r="1697">
      <c r="A1697" s="2" t="s">
        <v>5084</v>
      </c>
      <c r="B1697" s="2" t="s">
        <v>87</v>
      </c>
      <c r="C1697" s="2" t="s">
        <v>4613</v>
      </c>
      <c r="D1697" s="2" t="s">
        <v>3079</v>
      </c>
      <c r="E1697" s="2" t="s">
        <v>3176</v>
      </c>
      <c r="F1697" s="2" t="s">
        <v>4767</v>
      </c>
      <c r="G1697" s="2" t="s">
        <v>4768</v>
      </c>
      <c r="H1697" s="2" t="s">
        <v>4769</v>
      </c>
      <c r="I1697" s="2" t="s">
        <v>5038</v>
      </c>
      <c r="J1697" s="2" t="s">
        <v>673</v>
      </c>
      <c r="K1697" s="2" t="s">
        <v>146</v>
      </c>
      <c r="L1697" s="3">
        <v>15.47</v>
      </c>
      <c r="M1697" s="3">
        <v>16.24</v>
      </c>
      <c r="N1697" s="3">
        <v>32.49</v>
      </c>
      <c r="O1697" s="2" t="s">
        <v>97</v>
      </c>
      <c r="P1697" s="2" t="s">
        <v>341</v>
      </c>
      <c r="Q1697" s="2" t="s">
        <v>99</v>
      </c>
      <c r="R1697" s="2" t="s">
        <v>100</v>
      </c>
      <c r="S1697" s="2" t="s">
        <v>4824</v>
      </c>
      <c r="T1697" s="2" t="s">
        <v>787</v>
      </c>
      <c r="U1697" s="2" t="s">
        <v>2150</v>
      </c>
      <c r="V1697" s="2" t="s">
        <v>645</v>
      </c>
      <c r="W1697" s="2" t="s">
        <v>976</v>
      </c>
      <c r="X1697" s="2" t="s">
        <v>105</v>
      </c>
      <c r="Y1697" s="2" t="s">
        <v>4672</v>
      </c>
      <c r="Z1697" s="4">
        <v>481</v>
      </c>
      <c r="AA1697" s="4">
        <f>=ROUNDDOWN(120.25,0)</f>
      </c>
      <c r="AB1697" s="5">
        <v>4</v>
      </c>
      <c r="AC1697" s="2" t="s">
        <v>100</v>
      </c>
      <c r="AD1697" s="4"/>
      <c r="AE1697" s="4"/>
      <c r="AF1697" s="6">
        <v>63</v>
      </c>
      <c r="AG1697" s="6">
        <v>46</v>
      </c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>
        <v>0</v>
      </c>
      <c r="AP1697" s="4"/>
      <c r="AQ1697" s="8"/>
      <c r="AR1697" s="4"/>
      <c r="AS1697" s="8"/>
      <c r="AT1697" s="7"/>
      <c r="AU1697" s="7"/>
      <c r="AV1697" s="4" t="s">
        <v>100</v>
      </c>
      <c r="AW1697" s="8" t="s">
        <v>100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/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 t="s">
        <v>100</v>
      </c>
      <c r="BJ1697" s="4">
        <v>25</v>
      </c>
      <c r="BK1697" s="8">
        <v>426.73</v>
      </c>
      <c r="BL1697" s="2" t="s">
        <v>1247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109</v>
      </c>
      <c r="BV1697" s="2" t="s">
        <v>97</v>
      </c>
      <c r="BW1697" s="2" t="s">
        <v>819</v>
      </c>
      <c r="BX1697" s="2" t="s">
        <v>100</v>
      </c>
      <c r="BY1697" s="2" t="s">
        <v>112</v>
      </c>
      <c r="BZ1697" s="2" t="s">
        <v>100</v>
      </c>
    </row>
    <row r="1698">
      <c r="A1698" s="2" t="s">
        <v>5085</v>
      </c>
      <c r="B1698" s="2" t="s">
        <v>87</v>
      </c>
      <c r="C1698" s="2" t="s">
        <v>4613</v>
      </c>
      <c r="D1698" s="2" t="s">
        <v>3079</v>
      </c>
      <c r="E1698" s="2" t="s">
        <v>3176</v>
      </c>
      <c r="F1698" s="2" t="s">
        <v>4767</v>
      </c>
      <c r="G1698" s="2" t="s">
        <v>4768</v>
      </c>
      <c r="H1698" s="2" t="s">
        <v>4769</v>
      </c>
      <c r="I1698" s="2" t="s">
        <v>5038</v>
      </c>
      <c r="J1698" s="2" t="s">
        <v>95</v>
      </c>
      <c r="K1698" s="2" t="s">
        <v>146</v>
      </c>
      <c r="L1698" s="3">
        <v>19.76</v>
      </c>
      <c r="M1698" s="3">
        <v>20.75</v>
      </c>
      <c r="N1698" s="3">
        <v>41.49</v>
      </c>
      <c r="O1698" s="2" t="s">
        <v>97</v>
      </c>
      <c r="P1698" s="2" t="s">
        <v>1216</v>
      </c>
      <c r="Q1698" s="2" t="s">
        <v>99</v>
      </c>
      <c r="R1698" s="2" t="s">
        <v>100</v>
      </c>
      <c r="S1698" s="2" t="s">
        <v>4824</v>
      </c>
      <c r="T1698" s="2" t="s">
        <v>787</v>
      </c>
      <c r="U1698" s="2" t="s">
        <v>1508</v>
      </c>
      <c r="V1698" s="2" t="s">
        <v>645</v>
      </c>
      <c r="W1698" s="2" t="s">
        <v>976</v>
      </c>
      <c r="X1698" s="2" t="s">
        <v>105</v>
      </c>
      <c r="Y1698" s="2" t="s">
        <v>100</v>
      </c>
      <c r="Z1698" s="4"/>
      <c r="AA1698" s="4">
        <f>=ROUNDDOWN({0},0)</f>
      </c>
      <c r="AB1698" s="5"/>
      <c r="AC1698" s="2" t="s">
        <v>411</v>
      </c>
      <c r="AD1698" s="4">
        <v>148</v>
      </c>
      <c r="AE1698" s="4">
        <v>300</v>
      </c>
      <c r="AF1698" s="6">
        <v>63</v>
      </c>
      <c r="AG1698" s="6">
        <v>46</v>
      </c>
      <c r="AH1698" s="7">
        <v>0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>
        <v>0</v>
      </c>
      <c r="AP1698" s="4"/>
      <c r="AQ1698" s="8"/>
      <c r="AR1698" s="4"/>
      <c r="AS1698" s="8"/>
      <c r="AT1698" s="7"/>
      <c r="AU1698" s="7"/>
      <c r="AV1698" s="4" t="s">
        <v>100</v>
      </c>
      <c r="AW1698" s="8" t="s">
        <v>100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/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 t="s">
        <v>100</v>
      </c>
      <c r="BJ1698" s="4"/>
      <c r="BK1698" s="8"/>
      <c r="BL1698" s="2" t="s">
        <v>100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1338</v>
      </c>
      <c r="BV1698" s="2" t="s">
        <v>97</v>
      </c>
      <c r="BW1698" s="2" t="s">
        <v>100</v>
      </c>
      <c r="BX1698" s="2" t="s">
        <v>100</v>
      </c>
      <c r="BY1698" s="2" t="s">
        <v>112</v>
      </c>
      <c r="BZ1698" s="2" t="s">
        <v>100</v>
      </c>
    </row>
    <row r="1699">
      <c r="A1699" s="2" t="s">
        <v>5086</v>
      </c>
      <c r="B1699" s="2" t="s">
        <v>87</v>
      </c>
      <c r="C1699" s="2" t="s">
        <v>4613</v>
      </c>
      <c r="D1699" s="2" t="s">
        <v>3079</v>
      </c>
      <c r="E1699" s="2" t="s">
        <v>3176</v>
      </c>
      <c r="F1699" s="2" t="s">
        <v>4767</v>
      </c>
      <c r="G1699" s="2" t="s">
        <v>4768</v>
      </c>
      <c r="H1699" s="2" t="s">
        <v>4769</v>
      </c>
      <c r="I1699" s="2" t="s">
        <v>5038</v>
      </c>
      <c r="J1699" s="2" t="s">
        <v>114</v>
      </c>
      <c r="K1699" s="2" t="s">
        <v>146</v>
      </c>
      <c r="L1699" s="3">
        <v>20.23</v>
      </c>
      <c r="M1699" s="3">
        <v>21.24</v>
      </c>
      <c r="N1699" s="3">
        <v>42.49</v>
      </c>
      <c r="O1699" s="2" t="s">
        <v>97</v>
      </c>
      <c r="P1699" s="2" t="s">
        <v>341</v>
      </c>
      <c r="Q1699" s="2" t="s">
        <v>99</v>
      </c>
      <c r="R1699" s="2" t="s">
        <v>100</v>
      </c>
      <c r="S1699" s="2" t="s">
        <v>4824</v>
      </c>
      <c r="T1699" s="2" t="s">
        <v>787</v>
      </c>
      <c r="U1699" s="2" t="s">
        <v>1508</v>
      </c>
      <c r="V1699" s="2" t="s">
        <v>645</v>
      </c>
      <c r="W1699" s="2" t="s">
        <v>976</v>
      </c>
      <c r="X1699" s="2" t="s">
        <v>105</v>
      </c>
      <c r="Y1699" s="2" t="s">
        <v>4672</v>
      </c>
      <c r="Z1699" s="4">
        <v>1997</v>
      </c>
      <c r="AA1699" s="4">
        <f>=ROUNDDOWN(166.416666666667,0)</f>
      </c>
      <c r="AB1699" s="5">
        <v>12</v>
      </c>
      <c r="AC1699" s="2" t="s">
        <v>100</v>
      </c>
      <c r="AD1699" s="4"/>
      <c r="AE1699" s="4"/>
      <c r="AF1699" s="6">
        <v>63</v>
      </c>
      <c r="AG1699" s="6">
        <v>46</v>
      </c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>
        <v>0</v>
      </c>
      <c r="AP1699" s="4"/>
      <c r="AQ1699" s="8"/>
      <c r="AR1699" s="4"/>
      <c r="AS1699" s="8"/>
      <c r="AT1699" s="7"/>
      <c r="AU1699" s="7"/>
      <c r="AV1699" s="4" t="s">
        <v>100</v>
      </c>
      <c r="AW1699" s="8" t="s">
        <v>100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/>
      <c r="BC1699" s="4" t="s">
        <v>100</v>
      </c>
      <c r="BD1699" s="8" t="s">
        <v>100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 t="s">
        <v>100</v>
      </c>
      <c r="BJ1699" s="4">
        <v>18</v>
      </c>
      <c r="BK1699" s="8">
        <v>386.38</v>
      </c>
      <c r="BL1699" s="2" t="s">
        <v>1268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109</v>
      </c>
      <c r="BV1699" s="2" t="s">
        <v>97</v>
      </c>
      <c r="BW1699" s="2" t="s">
        <v>819</v>
      </c>
      <c r="BX1699" s="2" t="s">
        <v>5087</v>
      </c>
      <c r="BY1699" s="2" t="s">
        <v>112</v>
      </c>
      <c r="BZ1699" s="2" t="s">
        <v>100</v>
      </c>
    </row>
    <row r="1700">
      <c r="A1700" s="2" t="s">
        <v>5088</v>
      </c>
      <c r="B1700" s="2" t="s">
        <v>87</v>
      </c>
      <c r="C1700" s="2" t="s">
        <v>4613</v>
      </c>
      <c r="D1700" s="2" t="s">
        <v>3079</v>
      </c>
      <c r="E1700" s="2" t="s">
        <v>3176</v>
      </c>
      <c r="F1700" s="2" t="s">
        <v>4767</v>
      </c>
      <c r="G1700" s="2" t="s">
        <v>4768</v>
      </c>
      <c r="H1700" s="2" t="s">
        <v>4769</v>
      </c>
      <c r="I1700" s="2" t="s">
        <v>5038</v>
      </c>
      <c r="J1700" s="2" t="s">
        <v>120</v>
      </c>
      <c r="K1700" s="2" t="s">
        <v>146</v>
      </c>
      <c r="L1700" s="3">
        <v>22.61</v>
      </c>
      <c r="M1700" s="3">
        <v>23.74</v>
      </c>
      <c r="N1700" s="3">
        <v>47.49</v>
      </c>
      <c r="O1700" s="2" t="s">
        <v>97</v>
      </c>
      <c r="P1700" s="2" t="s">
        <v>341</v>
      </c>
      <c r="Q1700" s="2" t="s">
        <v>99</v>
      </c>
      <c r="R1700" s="2" t="s">
        <v>100</v>
      </c>
      <c r="S1700" s="2" t="s">
        <v>4824</v>
      </c>
      <c r="T1700" s="2" t="s">
        <v>787</v>
      </c>
      <c r="U1700" s="2" t="s">
        <v>1508</v>
      </c>
      <c r="V1700" s="2" t="s">
        <v>645</v>
      </c>
      <c r="W1700" s="2" t="s">
        <v>976</v>
      </c>
      <c r="X1700" s="2" t="s">
        <v>105</v>
      </c>
      <c r="Y1700" s="2" t="s">
        <v>2129</v>
      </c>
      <c r="Z1700" s="4">
        <v>2378</v>
      </c>
      <c r="AA1700" s="4">
        <f>=ROUNDDOWN(198.166666666667,0)</f>
      </c>
      <c r="AB1700" s="5">
        <v>12</v>
      </c>
      <c r="AC1700" s="2" t="s">
        <v>100</v>
      </c>
      <c r="AD1700" s="4"/>
      <c r="AE1700" s="4"/>
      <c r="AF1700" s="6">
        <v>63</v>
      </c>
      <c r="AG1700" s="6">
        <v>46</v>
      </c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>
        <v>0</v>
      </c>
      <c r="AP1700" s="4"/>
      <c r="AQ1700" s="8"/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/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 t="s">
        <v>100</v>
      </c>
      <c r="BJ1700" s="4">
        <v>28</v>
      </c>
      <c r="BK1700" s="8">
        <v>688.52</v>
      </c>
      <c r="BL1700" s="2" t="s">
        <v>5089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109</v>
      </c>
      <c r="BV1700" s="2" t="s">
        <v>97</v>
      </c>
      <c r="BW1700" s="2" t="s">
        <v>819</v>
      </c>
      <c r="BX1700" s="2" t="s">
        <v>2674</v>
      </c>
      <c r="BY1700" s="2" t="s">
        <v>112</v>
      </c>
      <c r="BZ1700" s="2" t="s">
        <v>100</v>
      </c>
    </row>
    <row r="1701">
      <c r="A1701" s="2" t="s">
        <v>5090</v>
      </c>
      <c r="B1701" s="2" t="s">
        <v>87</v>
      </c>
      <c r="C1701" s="2" t="s">
        <v>4613</v>
      </c>
      <c r="D1701" s="2" t="s">
        <v>3079</v>
      </c>
      <c r="E1701" s="2" t="s">
        <v>3176</v>
      </c>
      <c r="F1701" s="2" t="s">
        <v>4767</v>
      </c>
      <c r="G1701" s="2" t="s">
        <v>4768</v>
      </c>
      <c r="H1701" s="2" t="s">
        <v>4769</v>
      </c>
      <c r="I1701" s="2" t="s">
        <v>5038</v>
      </c>
      <c r="J1701" s="2" t="s">
        <v>124</v>
      </c>
      <c r="K1701" s="2" t="s">
        <v>146</v>
      </c>
      <c r="L1701" s="3">
        <v>23.57</v>
      </c>
      <c r="M1701" s="3">
        <v>24.75</v>
      </c>
      <c r="N1701" s="3">
        <v>49.49</v>
      </c>
      <c r="O1701" s="2" t="s">
        <v>97</v>
      </c>
      <c r="P1701" s="2" t="s">
        <v>1216</v>
      </c>
      <c r="Q1701" s="2" t="s">
        <v>99</v>
      </c>
      <c r="R1701" s="2" t="s">
        <v>100</v>
      </c>
      <c r="S1701" s="2" t="s">
        <v>4824</v>
      </c>
      <c r="T1701" s="2" t="s">
        <v>787</v>
      </c>
      <c r="U1701" s="2" t="s">
        <v>1508</v>
      </c>
      <c r="V1701" s="2" t="s">
        <v>645</v>
      </c>
      <c r="W1701" s="2" t="s">
        <v>976</v>
      </c>
      <c r="X1701" s="2" t="s">
        <v>105</v>
      </c>
      <c r="Y1701" s="2" t="s">
        <v>100</v>
      </c>
      <c r="Z1701" s="4"/>
      <c r="AA1701" s="4">
        <f>=ROUNDDOWN({0},0)</f>
      </c>
      <c r="AB1701" s="5"/>
      <c r="AC1701" s="2" t="s">
        <v>411</v>
      </c>
      <c r="AD1701" s="4">
        <v>300</v>
      </c>
      <c r="AE1701" s="4">
        <v>600</v>
      </c>
      <c r="AF1701" s="6">
        <v>63</v>
      </c>
      <c r="AG1701" s="6">
        <v>46</v>
      </c>
      <c r="AH1701" s="7">
        <v>0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>
        <v>0</v>
      </c>
      <c r="AP1701" s="4"/>
      <c r="AQ1701" s="8"/>
      <c r="AR1701" s="4"/>
      <c r="AS1701" s="8"/>
      <c r="AT1701" s="7"/>
      <c r="AU1701" s="7"/>
      <c r="AV1701" s="4" t="s">
        <v>100</v>
      </c>
      <c r="AW1701" s="8" t="s">
        <v>100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/>
      <c r="BC1701" s="4" t="s">
        <v>100</v>
      </c>
      <c r="BD1701" s="8" t="s">
        <v>100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 t="s">
        <v>100</v>
      </c>
      <c r="BJ1701" s="4"/>
      <c r="BK1701" s="8"/>
      <c r="BL1701" s="2" t="s">
        <v>100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1338</v>
      </c>
      <c r="BV1701" s="2" t="s">
        <v>97</v>
      </c>
      <c r="BW1701" s="2" t="s">
        <v>100</v>
      </c>
      <c r="BX1701" s="2" t="s">
        <v>100</v>
      </c>
      <c r="BY1701" s="2" t="s">
        <v>112</v>
      </c>
      <c r="BZ1701" s="2" t="s">
        <v>100</v>
      </c>
    </row>
    <row r="1702">
      <c r="A1702" s="2" t="s">
        <v>5091</v>
      </c>
      <c r="B1702" s="2" t="s">
        <v>87</v>
      </c>
      <c r="C1702" s="2" t="s">
        <v>4613</v>
      </c>
      <c r="D1702" s="2" t="s">
        <v>3079</v>
      </c>
      <c r="E1702" s="2" t="s">
        <v>3176</v>
      </c>
      <c r="F1702" s="2" t="s">
        <v>4767</v>
      </c>
      <c r="G1702" s="2" t="s">
        <v>4768</v>
      </c>
      <c r="H1702" s="2" t="s">
        <v>4769</v>
      </c>
      <c r="I1702" s="2" t="s">
        <v>5038</v>
      </c>
      <c r="J1702" s="2" t="s">
        <v>673</v>
      </c>
      <c r="K1702" s="2" t="s">
        <v>1746</v>
      </c>
      <c r="L1702" s="3">
        <v>15.47</v>
      </c>
      <c r="M1702" s="3">
        <v>16.24</v>
      </c>
      <c r="N1702" s="3">
        <v>32.49</v>
      </c>
      <c r="O1702" s="2" t="s">
        <v>97</v>
      </c>
      <c r="P1702" s="2" t="s">
        <v>1216</v>
      </c>
      <c r="Q1702" s="2" t="s">
        <v>99</v>
      </c>
      <c r="R1702" s="2" t="s">
        <v>100</v>
      </c>
      <c r="S1702" s="2" t="s">
        <v>4832</v>
      </c>
      <c r="T1702" s="2" t="s">
        <v>787</v>
      </c>
      <c r="U1702" s="2" t="s">
        <v>2150</v>
      </c>
      <c r="V1702" s="2" t="s">
        <v>645</v>
      </c>
      <c r="W1702" s="2" t="s">
        <v>976</v>
      </c>
      <c r="X1702" s="2" t="s">
        <v>105</v>
      </c>
      <c r="Y1702" s="2" t="s">
        <v>100</v>
      </c>
      <c r="Z1702" s="4"/>
      <c r="AA1702" s="4">
        <f>=ROUNDDOWN({0},0)</f>
      </c>
      <c r="AB1702" s="5"/>
      <c r="AC1702" s="2" t="s">
        <v>648</v>
      </c>
      <c r="AD1702" s="4">
        <v>36</v>
      </c>
      <c r="AE1702" s="4">
        <v>156</v>
      </c>
      <c r="AF1702" s="6">
        <v>63</v>
      </c>
      <c r="AG1702" s="6">
        <v>46</v>
      </c>
      <c r="AH1702" s="7">
        <v>0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>
        <v>0</v>
      </c>
      <c r="AP1702" s="4"/>
      <c r="AQ1702" s="8"/>
      <c r="AR1702" s="4"/>
      <c r="AS1702" s="8"/>
      <c r="AT1702" s="7"/>
      <c r="AU1702" s="7"/>
      <c r="AV1702" s="4" t="s">
        <v>100</v>
      </c>
      <c r="AW1702" s="8" t="s">
        <v>100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/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 t="s">
        <v>100</v>
      </c>
      <c r="BJ1702" s="4"/>
      <c r="BK1702" s="8"/>
      <c r="BL1702" s="2" t="s">
        <v>100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1338</v>
      </c>
      <c r="BV1702" s="2" t="s">
        <v>97</v>
      </c>
      <c r="BW1702" s="2" t="s">
        <v>100</v>
      </c>
      <c r="BX1702" s="2" t="s">
        <v>100</v>
      </c>
      <c r="BY1702" s="2" t="s">
        <v>112</v>
      </c>
      <c r="BZ1702" s="2" t="s">
        <v>100</v>
      </c>
    </row>
    <row r="1703">
      <c r="A1703" s="2" t="s">
        <v>5092</v>
      </c>
      <c r="B1703" s="2" t="s">
        <v>87</v>
      </c>
      <c r="C1703" s="2" t="s">
        <v>4613</v>
      </c>
      <c r="D1703" s="2" t="s">
        <v>3079</v>
      </c>
      <c r="E1703" s="2" t="s">
        <v>3176</v>
      </c>
      <c r="F1703" s="2" t="s">
        <v>4767</v>
      </c>
      <c r="G1703" s="2" t="s">
        <v>4768</v>
      </c>
      <c r="H1703" s="2" t="s">
        <v>4769</v>
      </c>
      <c r="I1703" s="2" t="s">
        <v>5038</v>
      </c>
      <c r="J1703" s="2" t="s">
        <v>95</v>
      </c>
      <c r="K1703" s="2" t="s">
        <v>1746</v>
      </c>
      <c r="L1703" s="3">
        <v>19.76</v>
      </c>
      <c r="M1703" s="3">
        <v>20.75</v>
      </c>
      <c r="N1703" s="3">
        <v>41.49</v>
      </c>
      <c r="O1703" s="2" t="s">
        <v>97</v>
      </c>
      <c r="P1703" s="2" t="s">
        <v>1216</v>
      </c>
      <c r="Q1703" s="2" t="s">
        <v>99</v>
      </c>
      <c r="R1703" s="2" t="s">
        <v>100</v>
      </c>
      <c r="S1703" s="2" t="s">
        <v>4832</v>
      </c>
      <c r="T1703" s="2" t="s">
        <v>787</v>
      </c>
      <c r="U1703" s="2" t="s">
        <v>1508</v>
      </c>
      <c r="V1703" s="2" t="s">
        <v>645</v>
      </c>
      <c r="W1703" s="2" t="s">
        <v>976</v>
      </c>
      <c r="X1703" s="2" t="s">
        <v>105</v>
      </c>
      <c r="Y1703" s="2" t="s">
        <v>100</v>
      </c>
      <c r="Z1703" s="4"/>
      <c r="AA1703" s="4">
        <f>=ROUNDDOWN({0},0)</f>
      </c>
      <c r="AB1703" s="5"/>
      <c r="AC1703" s="2" t="s">
        <v>2598</v>
      </c>
      <c r="AD1703" s="4">
        <v>100</v>
      </c>
      <c r="AE1703" s="4">
        <v>284</v>
      </c>
      <c r="AF1703" s="6">
        <v>63</v>
      </c>
      <c r="AG1703" s="6">
        <v>46</v>
      </c>
      <c r="AH1703" s="7">
        <v>0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>
        <v>0</v>
      </c>
      <c r="AP1703" s="4"/>
      <c r="AQ1703" s="8"/>
      <c r="AR1703" s="4"/>
      <c r="AS1703" s="8"/>
      <c r="AT1703" s="7"/>
      <c r="AU1703" s="7"/>
      <c r="AV1703" s="4" t="s">
        <v>100</v>
      </c>
      <c r="AW1703" s="8" t="s">
        <v>100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/>
      <c r="BC1703" s="4" t="s">
        <v>100</v>
      </c>
      <c r="BD1703" s="8" t="s">
        <v>100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 t="s">
        <v>100</v>
      </c>
      <c r="BJ1703" s="4"/>
      <c r="BK1703" s="8"/>
      <c r="BL1703" s="2" t="s">
        <v>100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1338</v>
      </c>
      <c r="BV1703" s="2" t="s">
        <v>97</v>
      </c>
      <c r="BW1703" s="2" t="s">
        <v>100</v>
      </c>
      <c r="BX1703" s="2" t="s">
        <v>100</v>
      </c>
      <c r="BY1703" s="2" t="s">
        <v>112</v>
      </c>
      <c r="BZ1703" s="2" t="s">
        <v>100</v>
      </c>
    </row>
    <row r="1704">
      <c r="A1704" s="2" t="s">
        <v>5093</v>
      </c>
      <c r="B1704" s="2" t="s">
        <v>87</v>
      </c>
      <c r="C1704" s="2" t="s">
        <v>4613</v>
      </c>
      <c r="D1704" s="2" t="s">
        <v>3079</v>
      </c>
      <c r="E1704" s="2" t="s">
        <v>3176</v>
      </c>
      <c r="F1704" s="2" t="s">
        <v>4767</v>
      </c>
      <c r="G1704" s="2" t="s">
        <v>4768</v>
      </c>
      <c r="H1704" s="2" t="s">
        <v>4769</v>
      </c>
      <c r="I1704" s="2" t="s">
        <v>5038</v>
      </c>
      <c r="J1704" s="2" t="s">
        <v>114</v>
      </c>
      <c r="K1704" s="2" t="s">
        <v>1746</v>
      </c>
      <c r="L1704" s="3">
        <v>20.23</v>
      </c>
      <c r="M1704" s="3">
        <v>21.24</v>
      </c>
      <c r="N1704" s="3">
        <v>42.49</v>
      </c>
      <c r="O1704" s="2" t="s">
        <v>97</v>
      </c>
      <c r="P1704" s="2" t="s">
        <v>1216</v>
      </c>
      <c r="Q1704" s="2" t="s">
        <v>99</v>
      </c>
      <c r="R1704" s="2" t="s">
        <v>100</v>
      </c>
      <c r="S1704" s="2" t="s">
        <v>4832</v>
      </c>
      <c r="T1704" s="2" t="s">
        <v>787</v>
      </c>
      <c r="U1704" s="2" t="s">
        <v>1508</v>
      </c>
      <c r="V1704" s="2" t="s">
        <v>645</v>
      </c>
      <c r="W1704" s="2" t="s">
        <v>976</v>
      </c>
      <c r="X1704" s="2" t="s">
        <v>105</v>
      </c>
      <c r="Y1704" s="2" t="s">
        <v>100</v>
      </c>
      <c r="Z1704" s="4"/>
      <c r="AA1704" s="4">
        <f>=ROUNDDOWN({0},0)</f>
      </c>
      <c r="AB1704" s="5"/>
      <c r="AC1704" s="2" t="s">
        <v>648</v>
      </c>
      <c r="AD1704" s="4">
        <v>92</v>
      </c>
      <c r="AE1704" s="4">
        <v>516</v>
      </c>
      <c r="AF1704" s="6">
        <v>63</v>
      </c>
      <c r="AG1704" s="6">
        <v>46</v>
      </c>
      <c r="AH1704" s="7">
        <v>0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>
        <v>0</v>
      </c>
      <c r="AP1704" s="4"/>
      <c r="AQ1704" s="8"/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/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 t="s">
        <v>100</v>
      </c>
      <c r="BJ1704" s="4"/>
      <c r="BK1704" s="8"/>
      <c r="BL1704" s="2" t="s">
        <v>100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1338</v>
      </c>
      <c r="BV1704" s="2" t="s">
        <v>97</v>
      </c>
      <c r="BW1704" s="2" t="s">
        <v>100</v>
      </c>
      <c r="BX1704" s="2" t="s">
        <v>100</v>
      </c>
      <c r="BY1704" s="2" t="s">
        <v>112</v>
      </c>
      <c r="BZ1704" s="2" t="s">
        <v>100</v>
      </c>
    </row>
    <row r="1705">
      <c r="A1705" s="2" t="s">
        <v>5094</v>
      </c>
      <c r="B1705" s="2" t="s">
        <v>87</v>
      </c>
      <c r="C1705" s="2" t="s">
        <v>4613</v>
      </c>
      <c r="D1705" s="2" t="s">
        <v>3079</v>
      </c>
      <c r="E1705" s="2" t="s">
        <v>3176</v>
      </c>
      <c r="F1705" s="2" t="s">
        <v>4767</v>
      </c>
      <c r="G1705" s="2" t="s">
        <v>4768</v>
      </c>
      <c r="H1705" s="2" t="s">
        <v>4769</v>
      </c>
      <c r="I1705" s="2" t="s">
        <v>5038</v>
      </c>
      <c r="J1705" s="2" t="s">
        <v>120</v>
      </c>
      <c r="K1705" s="2" t="s">
        <v>1746</v>
      </c>
      <c r="L1705" s="3">
        <v>22.61</v>
      </c>
      <c r="M1705" s="3">
        <v>23.74</v>
      </c>
      <c r="N1705" s="3">
        <v>47.49</v>
      </c>
      <c r="O1705" s="2" t="s">
        <v>97</v>
      </c>
      <c r="P1705" s="2" t="s">
        <v>1216</v>
      </c>
      <c r="Q1705" s="2" t="s">
        <v>99</v>
      </c>
      <c r="R1705" s="2" t="s">
        <v>100</v>
      </c>
      <c r="S1705" s="2" t="s">
        <v>4832</v>
      </c>
      <c r="T1705" s="2" t="s">
        <v>787</v>
      </c>
      <c r="U1705" s="2" t="s">
        <v>1508</v>
      </c>
      <c r="V1705" s="2" t="s">
        <v>645</v>
      </c>
      <c r="W1705" s="2" t="s">
        <v>976</v>
      </c>
      <c r="X1705" s="2" t="s">
        <v>105</v>
      </c>
      <c r="Y1705" s="2" t="s">
        <v>100</v>
      </c>
      <c r="Z1705" s="4"/>
      <c r="AA1705" s="4">
        <f>=ROUNDDOWN({0},0)</f>
      </c>
      <c r="AB1705" s="5"/>
      <c r="AC1705" s="2" t="s">
        <v>648</v>
      </c>
      <c r="AD1705" s="4">
        <v>116</v>
      </c>
      <c r="AE1705" s="4">
        <v>436</v>
      </c>
      <c r="AF1705" s="6">
        <v>63</v>
      </c>
      <c r="AG1705" s="6">
        <v>46</v>
      </c>
      <c r="AH1705" s="7">
        <v>0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>
        <v>0</v>
      </c>
      <c r="AP1705" s="4"/>
      <c r="AQ1705" s="8"/>
      <c r="AR1705" s="4"/>
      <c r="AS1705" s="8"/>
      <c r="AT1705" s="7"/>
      <c r="AU1705" s="7"/>
      <c r="AV1705" s="4" t="s">
        <v>100</v>
      </c>
      <c r="AW1705" s="8" t="s">
        <v>100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/>
      <c r="BC1705" s="4" t="s">
        <v>100</v>
      </c>
      <c r="BD1705" s="8" t="s">
        <v>100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 t="s">
        <v>100</v>
      </c>
      <c r="BJ1705" s="4"/>
      <c r="BK1705" s="8"/>
      <c r="BL1705" s="2" t="s">
        <v>100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1338</v>
      </c>
      <c r="BV1705" s="2" t="s">
        <v>97</v>
      </c>
      <c r="BW1705" s="2" t="s">
        <v>100</v>
      </c>
      <c r="BX1705" s="2" t="s">
        <v>100</v>
      </c>
      <c r="BY1705" s="2" t="s">
        <v>112</v>
      </c>
      <c r="BZ1705" s="2" t="s">
        <v>100</v>
      </c>
    </row>
    <row r="1706">
      <c r="A1706" s="2" t="s">
        <v>5095</v>
      </c>
      <c r="B1706" s="2" t="s">
        <v>87</v>
      </c>
      <c r="C1706" s="2" t="s">
        <v>4613</v>
      </c>
      <c r="D1706" s="2" t="s">
        <v>3079</v>
      </c>
      <c r="E1706" s="2" t="s">
        <v>3176</v>
      </c>
      <c r="F1706" s="2" t="s">
        <v>4767</v>
      </c>
      <c r="G1706" s="2" t="s">
        <v>4768</v>
      </c>
      <c r="H1706" s="2" t="s">
        <v>4769</v>
      </c>
      <c r="I1706" s="2" t="s">
        <v>5038</v>
      </c>
      <c r="J1706" s="2" t="s">
        <v>124</v>
      </c>
      <c r="K1706" s="2" t="s">
        <v>1746</v>
      </c>
      <c r="L1706" s="3">
        <v>23.57</v>
      </c>
      <c r="M1706" s="3">
        <v>24.75</v>
      </c>
      <c r="N1706" s="3">
        <v>49.49</v>
      </c>
      <c r="O1706" s="2" t="s">
        <v>97</v>
      </c>
      <c r="P1706" s="2" t="s">
        <v>1216</v>
      </c>
      <c r="Q1706" s="2" t="s">
        <v>99</v>
      </c>
      <c r="R1706" s="2" t="s">
        <v>100</v>
      </c>
      <c r="S1706" s="2" t="s">
        <v>4832</v>
      </c>
      <c r="T1706" s="2" t="s">
        <v>787</v>
      </c>
      <c r="U1706" s="2" t="s">
        <v>1508</v>
      </c>
      <c r="V1706" s="2" t="s">
        <v>645</v>
      </c>
      <c r="W1706" s="2" t="s">
        <v>976</v>
      </c>
      <c r="X1706" s="2" t="s">
        <v>105</v>
      </c>
      <c r="Y1706" s="2" t="s">
        <v>100</v>
      </c>
      <c r="Z1706" s="4"/>
      <c r="AA1706" s="4">
        <f>=ROUNDDOWN({0},0)</f>
      </c>
      <c r="AB1706" s="5"/>
      <c r="AC1706" s="2" t="s">
        <v>2598</v>
      </c>
      <c r="AD1706" s="4">
        <v>96</v>
      </c>
      <c r="AE1706" s="4">
        <v>600</v>
      </c>
      <c r="AF1706" s="6">
        <v>63</v>
      </c>
      <c r="AG1706" s="6">
        <v>46</v>
      </c>
      <c r="AH1706" s="7">
        <v>0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>
        <v>0</v>
      </c>
      <c r="AP1706" s="4"/>
      <c r="AQ1706" s="8"/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/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 t="s">
        <v>100</v>
      </c>
      <c r="BJ1706" s="4"/>
      <c r="BK1706" s="8"/>
      <c r="BL1706" s="2" t="s">
        <v>100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1338</v>
      </c>
      <c r="BV1706" s="2" t="s">
        <v>97</v>
      </c>
      <c r="BW1706" s="2" t="s">
        <v>100</v>
      </c>
      <c r="BX1706" s="2" t="s">
        <v>100</v>
      </c>
      <c r="BY1706" s="2" t="s">
        <v>112</v>
      </c>
      <c r="BZ1706" s="2" t="s">
        <v>100</v>
      </c>
    </row>
    <row r="1707">
      <c r="A1707" s="2" t="s">
        <v>5096</v>
      </c>
      <c r="B1707" s="2" t="s">
        <v>87</v>
      </c>
      <c r="C1707" s="2" t="s">
        <v>4613</v>
      </c>
      <c r="D1707" s="2" t="s">
        <v>3079</v>
      </c>
      <c r="E1707" s="2" t="s">
        <v>3176</v>
      </c>
      <c r="F1707" s="2" t="s">
        <v>4767</v>
      </c>
      <c r="G1707" s="2" t="s">
        <v>4768</v>
      </c>
      <c r="H1707" s="2" t="s">
        <v>4769</v>
      </c>
      <c r="I1707" s="2" t="s">
        <v>5038</v>
      </c>
      <c r="J1707" s="2" t="s">
        <v>673</v>
      </c>
      <c r="K1707" s="2" t="s">
        <v>163</v>
      </c>
      <c r="L1707" s="3">
        <v>15.47</v>
      </c>
      <c r="M1707" s="3">
        <v>16.24</v>
      </c>
      <c r="N1707" s="3">
        <v>32.49</v>
      </c>
      <c r="O1707" s="2" t="s">
        <v>97</v>
      </c>
      <c r="P1707" s="2" t="s">
        <v>1216</v>
      </c>
      <c r="Q1707" s="2" t="s">
        <v>99</v>
      </c>
      <c r="R1707" s="2" t="s">
        <v>100</v>
      </c>
      <c r="S1707" s="2" t="s">
        <v>4838</v>
      </c>
      <c r="T1707" s="2" t="s">
        <v>787</v>
      </c>
      <c r="U1707" s="2" t="s">
        <v>2150</v>
      </c>
      <c r="V1707" s="2" t="s">
        <v>645</v>
      </c>
      <c r="W1707" s="2" t="s">
        <v>976</v>
      </c>
      <c r="X1707" s="2" t="s">
        <v>105</v>
      </c>
      <c r="Y1707" s="2" t="s">
        <v>100</v>
      </c>
      <c r="Z1707" s="4"/>
      <c r="AA1707" s="4">
        <f>=ROUNDDOWN({0},0)</f>
      </c>
      <c r="AB1707" s="5"/>
      <c r="AC1707" s="2" t="s">
        <v>648</v>
      </c>
      <c r="AD1707" s="4">
        <v>92</v>
      </c>
      <c r="AE1707" s="4">
        <v>284</v>
      </c>
      <c r="AF1707" s="6">
        <v>63</v>
      </c>
      <c r="AG1707" s="6">
        <v>46</v>
      </c>
      <c r="AH1707" s="7">
        <v>0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>
        <v>0</v>
      </c>
      <c r="AP1707" s="4"/>
      <c r="AQ1707" s="8"/>
      <c r="AR1707" s="4"/>
      <c r="AS1707" s="8"/>
      <c r="AT1707" s="7"/>
      <c r="AU1707" s="7"/>
      <c r="AV1707" s="4" t="s">
        <v>100</v>
      </c>
      <c r="AW1707" s="8" t="s">
        <v>100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/>
      <c r="BC1707" s="4" t="s">
        <v>100</v>
      </c>
      <c r="BD1707" s="8" t="s">
        <v>100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 t="s">
        <v>100</v>
      </c>
      <c r="BJ1707" s="4"/>
      <c r="BK1707" s="8"/>
      <c r="BL1707" s="2" t="s">
        <v>100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1338</v>
      </c>
      <c r="BV1707" s="2" t="s">
        <v>97</v>
      </c>
      <c r="BW1707" s="2" t="s">
        <v>100</v>
      </c>
      <c r="BX1707" s="2" t="s">
        <v>100</v>
      </c>
      <c r="BY1707" s="2" t="s">
        <v>112</v>
      </c>
      <c r="BZ1707" s="2" t="s">
        <v>100</v>
      </c>
    </row>
    <row r="1708">
      <c r="A1708" s="2" t="s">
        <v>5097</v>
      </c>
      <c r="B1708" s="2" t="s">
        <v>87</v>
      </c>
      <c r="C1708" s="2" t="s">
        <v>4613</v>
      </c>
      <c r="D1708" s="2" t="s">
        <v>3079</v>
      </c>
      <c r="E1708" s="2" t="s">
        <v>3176</v>
      </c>
      <c r="F1708" s="2" t="s">
        <v>4767</v>
      </c>
      <c r="G1708" s="2" t="s">
        <v>4768</v>
      </c>
      <c r="H1708" s="2" t="s">
        <v>4769</v>
      </c>
      <c r="I1708" s="2" t="s">
        <v>5038</v>
      </c>
      <c r="J1708" s="2" t="s">
        <v>95</v>
      </c>
      <c r="K1708" s="2" t="s">
        <v>163</v>
      </c>
      <c r="L1708" s="3">
        <v>19.76</v>
      </c>
      <c r="M1708" s="3">
        <v>20.75</v>
      </c>
      <c r="N1708" s="3">
        <v>41.49</v>
      </c>
      <c r="O1708" s="2" t="s">
        <v>97</v>
      </c>
      <c r="P1708" s="2" t="s">
        <v>1216</v>
      </c>
      <c r="Q1708" s="2" t="s">
        <v>99</v>
      </c>
      <c r="R1708" s="2" t="s">
        <v>100</v>
      </c>
      <c r="S1708" s="2" t="s">
        <v>4838</v>
      </c>
      <c r="T1708" s="2" t="s">
        <v>787</v>
      </c>
      <c r="U1708" s="2" t="s">
        <v>1508</v>
      </c>
      <c r="V1708" s="2" t="s">
        <v>645</v>
      </c>
      <c r="W1708" s="2" t="s">
        <v>976</v>
      </c>
      <c r="X1708" s="2" t="s">
        <v>105</v>
      </c>
      <c r="Y1708" s="2" t="s">
        <v>100</v>
      </c>
      <c r="Z1708" s="4"/>
      <c r="AA1708" s="4">
        <f>=ROUNDDOWN({0},0)</f>
      </c>
      <c r="AB1708" s="5"/>
      <c r="AC1708" s="2" t="s">
        <v>2598</v>
      </c>
      <c r="AD1708" s="4">
        <v>132</v>
      </c>
      <c r="AE1708" s="4">
        <v>344</v>
      </c>
      <c r="AF1708" s="6">
        <v>63</v>
      </c>
      <c r="AG1708" s="6">
        <v>46</v>
      </c>
      <c r="AH1708" s="7">
        <v>0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>
        <v>0</v>
      </c>
      <c r="AP1708" s="4"/>
      <c r="AQ1708" s="8"/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/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 t="s">
        <v>100</v>
      </c>
      <c r="BJ1708" s="4"/>
      <c r="BK1708" s="8"/>
      <c r="BL1708" s="2" t="s">
        <v>100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1338</v>
      </c>
      <c r="BV1708" s="2" t="s">
        <v>97</v>
      </c>
      <c r="BW1708" s="2" t="s">
        <v>100</v>
      </c>
      <c r="BX1708" s="2" t="s">
        <v>100</v>
      </c>
      <c r="BY1708" s="2" t="s">
        <v>112</v>
      </c>
      <c r="BZ1708" s="2" t="s">
        <v>100</v>
      </c>
    </row>
    <row r="1709">
      <c r="A1709" s="2" t="s">
        <v>5098</v>
      </c>
      <c r="B1709" s="2" t="s">
        <v>87</v>
      </c>
      <c r="C1709" s="2" t="s">
        <v>4613</v>
      </c>
      <c r="D1709" s="2" t="s">
        <v>3079</v>
      </c>
      <c r="E1709" s="2" t="s">
        <v>3176</v>
      </c>
      <c r="F1709" s="2" t="s">
        <v>4767</v>
      </c>
      <c r="G1709" s="2" t="s">
        <v>4768</v>
      </c>
      <c r="H1709" s="2" t="s">
        <v>4769</v>
      </c>
      <c r="I1709" s="2" t="s">
        <v>5038</v>
      </c>
      <c r="J1709" s="2" t="s">
        <v>114</v>
      </c>
      <c r="K1709" s="2" t="s">
        <v>163</v>
      </c>
      <c r="L1709" s="3">
        <v>20.23</v>
      </c>
      <c r="M1709" s="3">
        <v>21.24</v>
      </c>
      <c r="N1709" s="3">
        <v>42.49</v>
      </c>
      <c r="O1709" s="2" t="s">
        <v>97</v>
      </c>
      <c r="P1709" s="2" t="s">
        <v>1216</v>
      </c>
      <c r="Q1709" s="2" t="s">
        <v>99</v>
      </c>
      <c r="R1709" s="2" t="s">
        <v>100</v>
      </c>
      <c r="S1709" s="2" t="s">
        <v>4838</v>
      </c>
      <c r="T1709" s="2" t="s">
        <v>787</v>
      </c>
      <c r="U1709" s="2" t="s">
        <v>1508</v>
      </c>
      <c r="V1709" s="2" t="s">
        <v>645</v>
      </c>
      <c r="W1709" s="2" t="s">
        <v>976</v>
      </c>
      <c r="X1709" s="2" t="s">
        <v>105</v>
      </c>
      <c r="Y1709" s="2" t="s">
        <v>100</v>
      </c>
      <c r="Z1709" s="4"/>
      <c r="AA1709" s="4">
        <f>=ROUNDDOWN({0},0)</f>
      </c>
      <c r="AB1709" s="5"/>
      <c r="AC1709" s="2" t="s">
        <v>648</v>
      </c>
      <c r="AD1709" s="4">
        <v>276</v>
      </c>
      <c r="AE1709" s="4">
        <v>832</v>
      </c>
      <c r="AF1709" s="6">
        <v>63</v>
      </c>
      <c r="AG1709" s="6">
        <v>46</v>
      </c>
      <c r="AH1709" s="7">
        <v>0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>
        <v>0</v>
      </c>
      <c r="AP1709" s="4"/>
      <c r="AQ1709" s="8"/>
      <c r="AR1709" s="4"/>
      <c r="AS1709" s="8"/>
      <c r="AT1709" s="7"/>
      <c r="AU1709" s="7"/>
      <c r="AV1709" s="4" t="s">
        <v>100</v>
      </c>
      <c r="AW1709" s="8" t="s">
        <v>100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/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 t="s">
        <v>100</v>
      </c>
      <c r="BJ1709" s="4"/>
      <c r="BK1709" s="8"/>
      <c r="BL1709" s="2" t="s">
        <v>100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1338</v>
      </c>
      <c r="BV1709" s="2" t="s">
        <v>97</v>
      </c>
      <c r="BW1709" s="2" t="s">
        <v>100</v>
      </c>
      <c r="BX1709" s="2" t="s">
        <v>100</v>
      </c>
      <c r="BY1709" s="2" t="s">
        <v>112</v>
      </c>
      <c r="BZ1709" s="2" t="s">
        <v>100</v>
      </c>
    </row>
    <row r="1710">
      <c r="A1710" s="2" t="s">
        <v>5099</v>
      </c>
      <c r="B1710" s="2" t="s">
        <v>87</v>
      </c>
      <c r="C1710" s="2" t="s">
        <v>4613</v>
      </c>
      <c r="D1710" s="2" t="s">
        <v>3079</v>
      </c>
      <c r="E1710" s="2" t="s">
        <v>3176</v>
      </c>
      <c r="F1710" s="2" t="s">
        <v>4767</v>
      </c>
      <c r="G1710" s="2" t="s">
        <v>4768</v>
      </c>
      <c r="H1710" s="2" t="s">
        <v>4769</v>
      </c>
      <c r="I1710" s="2" t="s">
        <v>5038</v>
      </c>
      <c r="J1710" s="2" t="s">
        <v>120</v>
      </c>
      <c r="K1710" s="2" t="s">
        <v>163</v>
      </c>
      <c r="L1710" s="3">
        <v>22.61</v>
      </c>
      <c r="M1710" s="3">
        <v>23.74</v>
      </c>
      <c r="N1710" s="3">
        <v>47.49</v>
      </c>
      <c r="O1710" s="2" t="s">
        <v>97</v>
      </c>
      <c r="P1710" s="2" t="s">
        <v>1216</v>
      </c>
      <c r="Q1710" s="2" t="s">
        <v>99</v>
      </c>
      <c r="R1710" s="2" t="s">
        <v>100</v>
      </c>
      <c r="S1710" s="2" t="s">
        <v>4838</v>
      </c>
      <c r="T1710" s="2" t="s">
        <v>787</v>
      </c>
      <c r="U1710" s="2" t="s">
        <v>1508</v>
      </c>
      <c r="V1710" s="2" t="s">
        <v>645</v>
      </c>
      <c r="W1710" s="2" t="s">
        <v>976</v>
      </c>
      <c r="X1710" s="2" t="s">
        <v>105</v>
      </c>
      <c r="Y1710" s="2" t="s">
        <v>100</v>
      </c>
      <c r="Z1710" s="4"/>
      <c r="AA1710" s="4">
        <f>=ROUNDDOWN({0},0)</f>
      </c>
      <c r="AB1710" s="5"/>
      <c r="AC1710" s="2" t="s">
        <v>648</v>
      </c>
      <c r="AD1710" s="4">
        <v>348</v>
      </c>
      <c r="AE1710" s="4">
        <v>820</v>
      </c>
      <c r="AF1710" s="6">
        <v>63</v>
      </c>
      <c r="AG1710" s="6">
        <v>46</v>
      </c>
      <c r="AH1710" s="7">
        <v>0</v>
      </c>
      <c r="AI1710" s="4"/>
      <c r="AJ1710" s="4">
        <f>=ROUNDDOWN({0},0)</f>
      </c>
      <c r="AK1710" s="5"/>
      <c r="AL1710" s="2" t="s">
        <v>100</v>
      </c>
      <c r="AM1710" s="4"/>
      <c r="AN1710" s="4"/>
      <c r="AO1710" s="7">
        <v>0</v>
      </c>
      <c r="AP1710" s="4"/>
      <c r="AQ1710" s="8"/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/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 t="s">
        <v>100</v>
      </c>
      <c r="BJ1710" s="4"/>
      <c r="BK1710" s="8"/>
      <c r="BL1710" s="2" t="s">
        <v>100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1338</v>
      </c>
      <c r="BV1710" s="2" t="s">
        <v>97</v>
      </c>
      <c r="BW1710" s="2" t="s">
        <v>100</v>
      </c>
      <c r="BX1710" s="2" t="s">
        <v>100</v>
      </c>
      <c r="BY1710" s="2" t="s">
        <v>112</v>
      </c>
      <c r="BZ1710" s="2" t="s">
        <v>100</v>
      </c>
    </row>
    <row r="1711">
      <c r="A1711" s="2" t="s">
        <v>5100</v>
      </c>
      <c r="B1711" s="2" t="s">
        <v>87</v>
      </c>
      <c r="C1711" s="2" t="s">
        <v>4613</v>
      </c>
      <c r="D1711" s="2" t="s">
        <v>3079</v>
      </c>
      <c r="E1711" s="2" t="s">
        <v>3176</v>
      </c>
      <c r="F1711" s="2" t="s">
        <v>4767</v>
      </c>
      <c r="G1711" s="2" t="s">
        <v>4768</v>
      </c>
      <c r="H1711" s="2" t="s">
        <v>4769</v>
      </c>
      <c r="I1711" s="2" t="s">
        <v>5038</v>
      </c>
      <c r="J1711" s="2" t="s">
        <v>124</v>
      </c>
      <c r="K1711" s="2" t="s">
        <v>163</v>
      </c>
      <c r="L1711" s="3">
        <v>23.57</v>
      </c>
      <c r="M1711" s="3">
        <v>24.75</v>
      </c>
      <c r="N1711" s="3">
        <v>49.49</v>
      </c>
      <c r="O1711" s="2" t="s">
        <v>97</v>
      </c>
      <c r="P1711" s="2" t="s">
        <v>1216</v>
      </c>
      <c r="Q1711" s="2" t="s">
        <v>99</v>
      </c>
      <c r="R1711" s="2" t="s">
        <v>100</v>
      </c>
      <c r="S1711" s="2" t="s">
        <v>4838</v>
      </c>
      <c r="T1711" s="2" t="s">
        <v>787</v>
      </c>
      <c r="U1711" s="2" t="s">
        <v>1508</v>
      </c>
      <c r="V1711" s="2" t="s">
        <v>645</v>
      </c>
      <c r="W1711" s="2" t="s">
        <v>976</v>
      </c>
      <c r="X1711" s="2" t="s">
        <v>105</v>
      </c>
      <c r="Y1711" s="2" t="s">
        <v>100</v>
      </c>
      <c r="Z1711" s="4"/>
      <c r="AA1711" s="4">
        <f>=ROUNDDOWN({0},0)</f>
      </c>
      <c r="AB1711" s="5"/>
      <c r="AC1711" s="2" t="s">
        <v>2598</v>
      </c>
      <c r="AD1711" s="4">
        <v>192</v>
      </c>
      <c r="AE1711" s="4">
        <v>600</v>
      </c>
      <c r="AF1711" s="6">
        <v>63</v>
      </c>
      <c r="AG1711" s="6">
        <v>46</v>
      </c>
      <c r="AH1711" s="7">
        <v>0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>
        <v>0</v>
      </c>
      <c r="AP1711" s="4"/>
      <c r="AQ1711" s="8"/>
      <c r="AR1711" s="4"/>
      <c r="AS1711" s="8"/>
      <c r="AT1711" s="7"/>
      <c r="AU1711" s="7"/>
      <c r="AV1711" s="4" t="s">
        <v>100</v>
      </c>
      <c r="AW1711" s="8" t="s">
        <v>100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/>
      <c r="BC1711" s="4" t="s">
        <v>100</v>
      </c>
      <c r="BD1711" s="8" t="s">
        <v>100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 t="s">
        <v>100</v>
      </c>
      <c r="BJ1711" s="4"/>
      <c r="BK1711" s="8"/>
      <c r="BL1711" s="2" t="s">
        <v>100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1338</v>
      </c>
      <c r="BV1711" s="2" t="s">
        <v>97</v>
      </c>
      <c r="BW1711" s="2" t="s">
        <v>100</v>
      </c>
      <c r="BX1711" s="2" t="s">
        <v>100</v>
      </c>
      <c r="BY1711" s="2" t="s">
        <v>112</v>
      </c>
      <c r="BZ1711" s="2" t="s">
        <v>100</v>
      </c>
    </row>
    <row r="1712">
      <c r="A1712" s="2" t="s">
        <v>5101</v>
      </c>
      <c r="B1712" s="2" t="s">
        <v>87</v>
      </c>
      <c r="C1712" s="2" t="s">
        <v>4613</v>
      </c>
      <c r="D1712" s="2" t="s">
        <v>3079</v>
      </c>
      <c r="E1712" s="2" t="s">
        <v>3176</v>
      </c>
      <c r="F1712" s="2" t="s">
        <v>4767</v>
      </c>
      <c r="G1712" s="2" t="s">
        <v>4768</v>
      </c>
      <c r="H1712" s="2" t="s">
        <v>4769</v>
      </c>
      <c r="I1712" s="2" t="s">
        <v>5038</v>
      </c>
      <c r="J1712" s="2" t="s">
        <v>673</v>
      </c>
      <c r="K1712" s="2" t="s">
        <v>661</v>
      </c>
      <c r="L1712" s="3">
        <v>15.47</v>
      </c>
      <c r="M1712" s="3">
        <v>16.24</v>
      </c>
      <c r="N1712" s="3">
        <v>32.49</v>
      </c>
      <c r="O1712" s="2" t="s">
        <v>97</v>
      </c>
      <c r="P1712" s="2" t="s">
        <v>1216</v>
      </c>
      <c r="Q1712" s="2" t="s">
        <v>99</v>
      </c>
      <c r="R1712" s="2" t="s">
        <v>100</v>
      </c>
      <c r="S1712" s="2" t="s">
        <v>4844</v>
      </c>
      <c r="T1712" s="2" t="s">
        <v>787</v>
      </c>
      <c r="U1712" s="2" t="s">
        <v>2150</v>
      </c>
      <c r="V1712" s="2" t="s">
        <v>645</v>
      </c>
      <c r="W1712" s="2" t="s">
        <v>976</v>
      </c>
      <c r="X1712" s="2" t="s">
        <v>105</v>
      </c>
      <c r="Y1712" s="2" t="s">
        <v>100</v>
      </c>
      <c r="Z1712" s="4"/>
      <c r="AA1712" s="4">
        <f>=ROUNDDOWN({0},0)</f>
      </c>
      <c r="AB1712" s="5"/>
      <c r="AC1712" s="2" t="s">
        <v>648</v>
      </c>
      <c r="AD1712" s="4">
        <v>68</v>
      </c>
      <c r="AE1712" s="4">
        <v>160</v>
      </c>
      <c r="AF1712" s="6">
        <v>63</v>
      </c>
      <c r="AG1712" s="6">
        <v>46</v>
      </c>
      <c r="AH1712" s="7">
        <v>0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>
        <v>0</v>
      </c>
      <c r="AP1712" s="4"/>
      <c r="AQ1712" s="8"/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/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 t="s">
        <v>100</v>
      </c>
      <c r="BJ1712" s="4"/>
      <c r="BK1712" s="8"/>
      <c r="BL1712" s="2" t="s">
        <v>100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1338</v>
      </c>
      <c r="BV1712" s="2" t="s">
        <v>97</v>
      </c>
      <c r="BW1712" s="2" t="s">
        <v>100</v>
      </c>
      <c r="BX1712" s="2" t="s">
        <v>100</v>
      </c>
      <c r="BY1712" s="2" t="s">
        <v>112</v>
      </c>
      <c r="BZ1712" s="2" t="s">
        <v>100</v>
      </c>
    </row>
    <row r="1713">
      <c r="A1713" s="2" t="s">
        <v>5102</v>
      </c>
      <c r="B1713" s="2" t="s">
        <v>87</v>
      </c>
      <c r="C1713" s="2" t="s">
        <v>4613</v>
      </c>
      <c r="D1713" s="2" t="s">
        <v>3079</v>
      </c>
      <c r="E1713" s="2" t="s">
        <v>3176</v>
      </c>
      <c r="F1713" s="2" t="s">
        <v>4767</v>
      </c>
      <c r="G1713" s="2" t="s">
        <v>4768</v>
      </c>
      <c r="H1713" s="2" t="s">
        <v>4769</v>
      </c>
      <c r="I1713" s="2" t="s">
        <v>5038</v>
      </c>
      <c r="J1713" s="2" t="s">
        <v>95</v>
      </c>
      <c r="K1713" s="2" t="s">
        <v>661</v>
      </c>
      <c r="L1713" s="3">
        <v>19.76</v>
      </c>
      <c r="M1713" s="3">
        <v>20.75</v>
      </c>
      <c r="N1713" s="3">
        <v>41.49</v>
      </c>
      <c r="O1713" s="2" t="s">
        <v>97</v>
      </c>
      <c r="P1713" s="2" t="s">
        <v>1216</v>
      </c>
      <c r="Q1713" s="2" t="s">
        <v>99</v>
      </c>
      <c r="R1713" s="2" t="s">
        <v>100</v>
      </c>
      <c r="S1713" s="2" t="s">
        <v>4844</v>
      </c>
      <c r="T1713" s="2" t="s">
        <v>787</v>
      </c>
      <c r="U1713" s="2" t="s">
        <v>1508</v>
      </c>
      <c r="V1713" s="2" t="s">
        <v>645</v>
      </c>
      <c r="W1713" s="2" t="s">
        <v>976</v>
      </c>
      <c r="X1713" s="2" t="s">
        <v>105</v>
      </c>
      <c r="Y1713" s="2" t="s">
        <v>100</v>
      </c>
      <c r="Z1713" s="4"/>
      <c r="AA1713" s="4">
        <f>=ROUNDDOWN({0},0)</f>
      </c>
      <c r="AB1713" s="5"/>
      <c r="AC1713" s="2" t="s">
        <v>2598</v>
      </c>
      <c r="AD1713" s="4">
        <v>64</v>
      </c>
      <c r="AE1713" s="4">
        <v>160</v>
      </c>
      <c r="AF1713" s="6">
        <v>63</v>
      </c>
      <c r="AG1713" s="6">
        <v>46</v>
      </c>
      <c r="AH1713" s="7">
        <v>0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>
        <v>0</v>
      </c>
      <c r="AP1713" s="4"/>
      <c r="AQ1713" s="8"/>
      <c r="AR1713" s="4"/>
      <c r="AS1713" s="8"/>
      <c r="AT1713" s="7"/>
      <c r="AU1713" s="7"/>
      <c r="AV1713" s="4" t="s">
        <v>100</v>
      </c>
      <c r="AW1713" s="8" t="s">
        <v>100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/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 t="s">
        <v>100</v>
      </c>
      <c r="BJ1713" s="4"/>
      <c r="BK1713" s="8"/>
      <c r="BL1713" s="2" t="s">
        <v>100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1338</v>
      </c>
      <c r="BV1713" s="2" t="s">
        <v>97</v>
      </c>
      <c r="BW1713" s="2" t="s">
        <v>100</v>
      </c>
      <c r="BX1713" s="2" t="s">
        <v>100</v>
      </c>
      <c r="BY1713" s="2" t="s">
        <v>112</v>
      </c>
      <c r="BZ1713" s="2" t="s">
        <v>100</v>
      </c>
    </row>
    <row r="1714">
      <c r="A1714" s="2" t="s">
        <v>5103</v>
      </c>
      <c r="B1714" s="2" t="s">
        <v>87</v>
      </c>
      <c r="C1714" s="2" t="s">
        <v>4613</v>
      </c>
      <c r="D1714" s="2" t="s">
        <v>3079</v>
      </c>
      <c r="E1714" s="2" t="s">
        <v>3176</v>
      </c>
      <c r="F1714" s="2" t="s">
        <v>4767</v>
      </c>
      <c r="G1714" s="2" t="s">
        <v>4768</v>
      </c>
      <c r="H1714" s="2" t="s">
        <v>4769</v>
      </c>
      <c r="I1714" s="2" t="s">
        <v>5038</v>
      </c>
      <c r="J1714" s="2" t="s">
        <v>114</v>
      </c>
      <c r="K1714" s="2" t="s">
        <v>661</v>
      </c>
      <c r="L1714" s="3">
        <v>20.23</v>
      </c>
      <c r="M1714" s="3">
        <v>21.24</v>
      </c>
      <c r="N1714" s="3">
        <v>42.49</v>
      </c>
      <c r="O1714" s="2" t="s">
        <v>97</v>
      </c>
      <c r="P1714" s="2" t="s">
        <v>1216</v>
      </c>
      <c r="Q1714" s="2" t="s">
        <v>99</v>
      </c>
      <c r="R1714" s="2" t="s">
        <v>100</v>
      </c>
      <c r="S1714" s="2" t="s">
        <v>4844</v>
      </c>
      <c r="T1714" s="2" t="s">
        <v>787</v>
      </c>
      <c r="U1714" s="2" t="s">
        <v>1508</v>
      </c>
      <c r="V1714" s="2" t="s">
        <v>645</v>
      </c>
      <c r="W1714" s="2" t="s">
        <v>976</v>
      </c>
      <c r="X1714" s="2" t="s">
        <v>105</v>
      </c>
      <c r="Y1714" s="2" t="s">
        <v>100</v>
      </c>
      <c r="Z1714" s="4"/>
      <c r="AA1714" s="4">
        <f>=ROUNDDOWN({0},0)</f>
      </c>
      <c r="AB1714" s="5"/>
      <c r="AC1714" s="2" t="s">
        <v>648</v>
      </c>
      <c r="AD1714" s="4">
        <v>200</v>
      </c>
      <c r="AE1714" s="4">
        <v>528</v>
      </c>
      <c r="AF1714" s="6">
        <v>63</v>
      </c>
      <c r="AG1714" s="6">
        <v>46</v>
      </c>
      <c r="AH1714" s="7">
        <v>0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>
        <v>0</v>
      </c>
      <c r="AP1714" s="4"/>
      <c r="AQ1714" s="8"/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/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 t="s">
        <v>100</v>
      </c>
      <c r="BJ1714" s="4"/>
      <c r="BK1714" s="8"/>
      <c r="BL1714" s="2" t="s">
        <v>100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1338</v>
      </c>
      <c r="BV1714" s="2" t="s">
        <v>97</v>
      </c>
      <c r="BW1714" s="2" t="s">
        <v>100</v>
      </c>
      <c r="BX1714" s="2" t="s">
        <v>100</v>
      </c>
      <c r="BY1714" s="2" t="s">
        <v>112</v>
      </c>
      <c r="BZ1714" s="2" t="s">
        <v>100</v>
      </c>
    </row>
    <row r="1715">
      <c r="A1715" s="2" t="s">
        <v>5104</v>
      </c>
      <c r="B1715" s="2" t="s">
        <v>87</v>
      </c>
      <c r="C1715" s="2" t="s">
        <v>4613</v>
      </c>
      <c r="D1715" s="2" t="s">
        <v>3079</v>
      </c>
      <c r="E1715" s="2" t="s">
        <v>3176</v>
      </c>
      <c r="F1715" s="2" t="s">
        <v>4767</v>
      </c>
      <c r="G1715" s="2" t="s">
        <v>4768</v>
      </c>
      <c r="H1715" s="2" t="s">
        <v>4769</v>
      </c>
      <c r="I1715" s="2" t="s">
        <v>5038</v>
      </c>
      <c r="J1715" s="2" t="s">
        <v>120</v>
      </c>
      <c r="K1715" s="2" t="s">
        <v>661</v>
      </c>
      <c r="L1715" s="3">
        <v>22.61</v>
      </c>
      <c r="M1715" s="3">
        <v>23.74</v>
      </c>
      <c r="N1715" s="3">
        <v>47.49</v>
      </c>
      <c r="O1715" s="2" t="s">
        <v>97</v>
      </c>
      <c r="P1715" s="2" t="s">
        <v>1216</v>
      </c>
      <c r="Q1715" s="2" t="s">
        <v>99</v>
      </c>
      <c r="R1715" s="2" t="s">
        <v>100</v>
      </c>
      <c r="S1715" s="2" t="s">
        <v>4844</v>
      </c>
      <c r="T1715" s="2" t="s">
        <v>787</v>
      </c>
      <c r="U1715" s="2" t="s">
        <v>1508</v>
      </c>
      <c r="V1715" s="2" t="s">
        <v>645</v>
      </c>
      <c r="W1715" s="2" t="s">
        <v>976</v>
      </c>
      <c r="X1715" s="2" t="s">
        <v>105</v>
      </c>
      <c r="Y1715" s="2" t="s">
        <v>100</v>
      </c>
      <c r="Z1715" s="4"/>
      <c r="AA1715" s="4">
        <f>=ROUNDDOWN({0},0)</f>
      </c>
      <c r="AB1715" s="5"/>
      <c r="AC1715" s="2" t="s">
        <v>648</v>
      </c>
      <c r="AD1715" s="4">
        <v>164</v>
      </c>
      <c r="AE1715" s="4">
        <v>376</v>
      </c>
      <c r="AF1715" s="6">
        <v>63</v>
      </c>
      <c r="AG1715" s="6">
        <v>46</v>
      </c>
      <c r="AH1715" s="7">
        <v>0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>
        <v>0</v>
      </c>
      <c r="AP1715" s="4"/>
      <c r="AQ1715" s="8"/>
      <c r="AR1715" s="4"/>
      <c r="AS1715" s="8"/>
      <c r="AT1715" s="7"/>
      <c r="AU1715" s="7"/>
      <c r="AV1715" s="4" t="s">
        <v>100</v>
      </c>
      <c r="AW1715" s="8" t="s">
        <v>100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/>
      <c r="BC1715" s="4" t="s">
        <v>100</v>
      </c>
      <c r="BD1715" s="8" t="s">
        <v>100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 t="s">
        <v>100</v>
      </c>
      <c r="BJ1715" s="4"/>
      <c r="BK1715" s="8"/>
      <c r="BL1715" s="2" t="s">
        <v>100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1338</v>
      </c>
      <c r="BV1715" s="2" t="s">
        <v>97</v>
      </c>
      <c r="BW1715" s="2" t="s">
        <v>100</v>
      </c>
      <c r="BX1715" s="2" t="s">
        <v>100</v>
      </c>
      <c r="BY1715" s="2" t="s">
        <v>112</v>
      </c>
      <c r="BZ1715" s="2" t="s">
        <v>100</v>
      </c>
    </row>
    <row r="1716">
      <c r="A1716" s="2" t="s">
        <v>5105</v>
      </c>
      <c r="B1716" s="2" t="s">
        <v>87</v>
      </c>
      <c r="C1716" s="2" t="s">
        <v>4613</v>
      </c>
      <c r="D1716" s="2" t="s">
        <v>3079</v>
      </c>
      <c r="E1716" s="2" t="s">
        <v>3176</v>
      </c>
      <c r="F1716" s="2" t="s">
        <v>4767</v>
      </c>
      <c r="G1716" s="2" t="s">
        <v>4768</v>
      </c>
      <c r="H1716" s="2" t="s">
        <v>4769</v>
      </c>
      <c r="I1716" s="2" t="s">
        <v>5038</v>
      </c>
      <c r="J1716" s="2" t="s">
        <v>124</v>
      </c>
      <c r="K1716" s="2" t="s">
        <v>661</v>
      </c>
      <c r="L1716" s="3">
        <v>23.57</v>
      </c>
      <c r="M1716" s="3">
        <v>24.75</v>
      </c>
      <c r="N1716" s="3">
        <v>49.49</v>
      </c>
      <c r="O1716" s="2" t="s">
        <v>97</v>
      </c>
      <c r="P1716" s="2" t="s">
        <v>1216</v>
      </c>
      <c r="Q1716" s="2" t="s">
        <v>99</v>
      </c>
      <c r="R1716" s="2" t="s">
        <v>100</v>
      </c>
      <c r="S1716" s="2" t="s">
        <v>4844</v>
      </c>
      <c r="T1716" s="2" t="s">
        <v>787</v>
      </c>
      <c r="U1716" s="2" t="s">
        <v>1508</v>
      </c>
      <c r="V1716" s="2" t="s">
        <v>645</v>
      </c>
      <c r="W1716" s="2" t="s">
        <v>976</v>
      </c>
      <c r="X1716" s="2" t="s">
        <v>105</v>
      </c>
      <c r="Y1716" s="2" t="s">
        <v>100</v>
      </c>
      <c r="Z1716" s="4"/>
      <c r="AA1716" s="4">
        <f>=ROUNDDOWN({0},0)</f>
      </c>
      <c r="AB1716" s="5"/>
      <c r="AC1716" s="2" t="s">
        <v>2598</v>
      </c>
      <c r="AD1716" s="4">
        <v>60</v>
      </c>
      <c r="AE1716" s="4">
        <v>600</v>
      </c>
      <c r="AF1716" s="6">
        <v>63</v>
      </c>
      <c r="AG1716" s="6">
        <v>46</v>
      </c>
      <c r="AH1716" s="7">
        <v>0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>
        <v>0</v>
      </c>
      <c r="AP1716" s="4"/>
      <c r="AQ1716" s="8"/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/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 t="s">
        <v>100</v>
      </c>
      <c r="BJ1716" s="4"/>
      <c r="BK1716" s="8"/>
      <c r="BL1716" s="2" t="s">
        <v>100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1338</v>
      </c>
      <c r="BV1716" s="2" t="s">
        <v>97</v>
      </c>
      <c r="BW1716" s="2" t="s">
        <v>100</v>
      </c>
      <c r="BX1716" s="2" t="s">
        <v>100</v>
      </c>
      <c r="BY1716" s="2" t="s">
        <v>112</v>
      </c>
      <c r="BZ1716" s="2" t="s">
        <v>100</v>
      </c>
    </row>
    <row r="1717">
      <c r="A1717" s="2" t="s">
        <v>5106</v>
      </c>
      <c r="B1717" s="2" t="s">
        <v>87</v>
      </c>
      <c r="C1717" s="2" t="s">
        <v>4613</v>
      </c>
      <c r="D1717" s="2" t="s">
        <v>3079</v>
      </c>
      <c r="E1717" s="2" t="s">
        <v>3176</v>
      </c>
      <c r="F1717" s="2" t="s">
        <v>4767</v>
      </c>
      <c r="G1717" s="2" t="s">
        <v>4768</v>
      </c>
      <c r="H1717" s="2" t="s">
        <v>4769</v>
      </c>
      <c r="I1717" s="2" t="s">
        <v>5038</v>
      </c>
      <c r="J1717" s="2" t="s">
        <v>673</v>
      </c>
      <c r="K1717" s="2" t="s">
        <v>416</v>
      </c>
      <c r="L1717" s="3">
        <v>15.47</v>
      </c>
      <c r="M1717" s="3">
        <v>16.24</v>
      </c>
      <c r="N1717" s="3">
        <v>32.49</v>
      </c>
      <c r="O1717" s="2" t="s">
        <v>97</v>
      </c>
      <c r="P1717" s="2" t="s">
        <v>1216</v>
      </c>
      <c r="Q1717" s="2" t="s">
        <v>99</v>
      </c>
      <c r="R1717" s="2" t="s">
        <v>100</v>
      </c>
      <c r="S1717" s="2" t="s">
        <v>4850</v>
      </c>
      <c r="T1717" s="2" t="s">
        <v>787</v>
      </c>
      <c r="U1717" s="2" t="s">
        <v>2150</v>
      </c>
      <c r="V1717" s="2" t="s">
        <v>645</v>
      </c>
      <c r="W1717" s="2" t="s">
        <v>976</v>
      </c>
      <c r="X1717" s="2" t="s">
        <v>105</v>
      </c>
      <c r="Y1717" s="2" t="s">
        <v>100</v>
      </c>
      <c r="Z1717" s="4"/>
      <c r="AA1717" s="4">
        <f>=ROUNDDOWN({0},0)</f>
      </c>
      <c r="AB1717" s="5"/>
      <c r="AC1717" s="2" t="s">
        <v>648</v>
      </c>
      <c r="AD1717" s="4">
        <v>36</v>
      </c>
      <c r="AE1717" s="4">
        <v>152</v>
      </c>
      <c r="AF1717" s="6">
        <v>63</v>
      </c>
      <c r="AG1717" s="6">
        <v>46</v>
      </c>
      <c r="AH1717" s="7">
        <v>0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>
        <v>0</v>
      </c>
      <c r="AP1717" s="4"/>
      <c r="AQ1717" s="8"/>
      <c r="AR1717" s="4"/>
      <c r="AS1717" s="8"/>
      <c r="AT1717" s="7"/>
      <c r="AU1717" s="7"/>
      <c r="AV1717" s="4" t="s">
        <v>100</v>
      </c>
      <c r="AW1717" s="8" t="s">
        <v>100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/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 t="s">
        <v>100</v>
      </c>
      <c r="BJ1717" s="4"/>
      <c r="BK1717" s="8"/>
      <c r="BL1717" s="2" t="s">
        <v>100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1338</v>
      </c>
      <c r="BV1717" s="2" t="s">
        <v>97</v>
      </c>
      <c r="BW1717" s="2" t="s">
        <v>100</v>
      </c>
      <c r="BX1717" s="2" t="s">
        <v>100</v>
      </c>
      <c r="BY1717" s="2" t="s">
        <v>112</v>
      </c>
      <c r="BZ1717" s="2" t="s">
        <v>100</v>
      </c>
    </row>
    <row r="1718">
      <c r="A1718" s="2" t="s">
        <v>5107</v>
      </c>
      <c r="B1718" s="2" t="s">
        <v>87</v>
      </c>
      <c r="C1718" s="2" t="s">
        <v>4613</v>
      </c>
      <c r="D1718" s="2" t="s">
        <v>3079</v>
      </c>
      <c r="E1718" s="2" t="s">
        <v>3176</v>
      </c>
      <c r="F1718" s="2" t="s">
        <v>4767</v>
      </c>
      <c r="G1718" s="2" t="s">
        <v>4768</v>
      </c>
      <c r="H1718" s="2" t="s">
        <v>4769</v>
      </c>
      <c r="I1718" s="2" t="s">
        <v>5038</v>
      </c>
      <c r="J1718" s="2" t="s">
        <v>95</v>
      </c>
      <c r="K1718" s="2" t="s">
        <v>416</v>
      </c>
      <c r="L1718" s="3">
        <v>19.76</v>
      </c>
      <c r="M1718" s="3">
        <v>20.75</v>
      </c>
      <c r="N1718" s="3">
        <v>41.49</v>
      </c>
      <c r="O1718" s="2" t="s">
        <v>97</v>
      </c>
      <c r="P1718" s="2" t="s">
        <v>1216</v>
      </c>
      <c r="Q1718" s="2" t="s">
        <v>99</v>
      </c>
      <c r="R1718" s="2" t="s">
        <v>100</v>
      </c>
      <c r="S1718" s="2" t="s">
        <v>4850</v>
      </c>
      <c r="T1718" s="2" t="s">
        <v>787</v>
      </c>
      <c r="U1718" s="2" t="s">
        <v>1508</v>
      </c>
      <c r="V1718" s="2" t="s">
        <v>645</v>
      </c>
      <c r="W1718" s="2" t="s">
        <v>976</v>
      </c>
      <c r="X1718" s="2" t="s">
        <v>105</v>
      </c>
      <c r="Y1718" s="2" t="s">
        <v>100</v>
      </c>
      <c r="Z1718" s="4"/>
      <c r="AA1718" s="4">
        <f>=ROUNDDOWN({0},0)</f>
      </c>
      <c r="AB1718" s="5"/>
      <c r="AC1718" s="2" t="s">
        <v>2598</v>
      </c>
      <c r="AD1718" s="4">
        <v>64</v>
      </c>
      <c r="AE1718" s="4">
        <v>160</v>
      </c>
      <c r="AF1718" s="6">
        <v>63</v>
      </c>
      <c r="AG1718" s="6">
        <v>46</v>
      </c>
      <c r="AH1718" s="7">
        <v>0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>
        <v>0</v>
      </c>
      <c r="AP1718" s="4"/>
      <c r="AQ1718" s="8"/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/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 t="s">
        <v>100</v>
      </c>
      <c r="BJ1718" s="4"/>
      <c r="BK1718" s="8"/>
      <c r="BL1718" s="2" t="s">
        <v>100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1338</v>
      </c>
      <c r="BV1718" s="2" t="s">
        <v>97</v>
      </c>
      <c r="BW1718" s="2" t="s">
        <v>100</v>
      </c>
      <c r="BX1718" s="2" t="s">
        <v>100</v>
      </c>
      <c r="BY1718" s="2" t="s">
        <v>112</v>
      </c>
      <c r="BZ1718" s="2" t="s">
        <v>100</v>
      </c>
    </row>
    <row r="1719">
      <c r="A1719" s="2" t="s">
        <v>5108</v>
      </c>
      <c r="B1719" s="2" t="s">
        <v>87</v>
      </c>
      <c r="C1719" s="2" t="s">
        <v>4613</v>
      </c>
      <c r="D1719" s="2" t="s">
        <v>3079</v>
      </c>
      <c r="E1719" s="2" t="s">
        <v>3176</v>
      </c>
      <c r="F1719" s="2" t="s">
        <v>4767</v>
      </c>
      <c r="G1719" s="2" t="s">
        <v>4768</v>
      </c>
      <c r="H1719" s="2" t="s">
        <v>4769</v>
      </c>
      <c r="I1719" s="2" t="s">
        <v>5038</v>
      </c>
      <c r="J1719" s="2" t="s">
        <v>114</v>
      </c>
      <c r="K1719" s="2" t="s">
        <v>416</v>
      </c>
      <c r="L1719" s="3">
        <v>20.23</v>
      </c>
      <c r="M1719" s="3">
        <v>21.24</v>
      </c>
      <c r="N1719" s="3">
        <v>42.49</v>
      </c>
      <c r="O1719" s="2" t="s">
        <v>97</v>
      </c>
      <c r="P1719" s="2" t="s">
        <v>1216</v>
      </c>
      <c r="Q1719" s="2" t="s">
        <v>99</v>
      </c>
      <c r="R1719" s="2" t="s">
        <v>100</v>
      </c>
      <c r="S1719" s="2" t="s">
        <v>4850</v>
      </c>
      <c r="T1719" s="2" t="s">
        <v>787</v>
      </c>
      <c r="U1719" s="2" t="s">
        <v>1508</v>
      </c>
      <c r="V1719" s="2" t="s">
        <v>645</v>
      </c>
      <c r="W1719" s="2" t="s">
        <v>976</v>
      </c>
      <c r="X1719" s="2" t="s">
        <v>105</v>
      </c>
      <c r="Y1719" s="2" t="s">
        <v>100</v>
      </c>
      <c r="Z1719" s="4"/>
      <c r="AA1719" s="4">
        <f>=ROUNDDOWN({0},0)</f>
      </c>
      <c r="AB1719" s="5"/>
      <c r="AC1719" s="2" t="s">
        <v>648</v>
      </c>
      <c r="AD1719" s="4">
        <v>92</v>
      </c>
      <c r="AE1719" s="4">
        <v>508</v>
      </c>
      <c r="AF1719" s="6">
        <v>63</v>
      </c>
      <c r="AG1719" s="6">
        <v>46</v>
      </c>
      <c r="AH1719" s="7">
        <v>0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>
        <v>0</v>
      </c>
      <c r="AP1719" s="4"/>
      <c r="AQ1719" s="8"/>
      <c r="AR1719" s="4"/>
      <c r="AS1719" s="8"/>
      <c r="AT1719" s="7"/>
      <c r="AU1719" s="7"/>
      <c r="AV1719" s="4" t="s">
        <v>100</v>
      </c>
      <c r="AW1719" s="8" t="s">
        <v>100</v>
      </c>
      <c r="AX1719" s="4" t="s">
        <v>100</v>
      </c>
      <c r="AY1719" s="8" t="s">
        <v>100</v>
      </c>
      <c r="AZ1719" s="7" t="s">
        <v>100</v>
      </c>
      <c r="BA1719" s="7" t="s">
        <v>100</v>
      </c>
      <c r="BB1719" s="7"/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 t="s">
        <v>100</v>
      </c>
      <c r="BJ1719" s="4"/>
      <c r="BK1719" s="8"/>
      <c r="BL1719" s="2" t="s">
        <v>100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1338</v>
      </c>
      <c r="BV1719" s="2" t="s">
        <v>97</v>
      </c>
      <c r="BW1719" s="2" t="s">
        <v>100</v>
      </c>
      <c r="BX1719" s="2" t="s">
        <v>100</v>
      </c>
      <c r="BY1719" s="2" t="s">
        <v>112</v>
      </c>
      <c r="BZ1719" s="2" t="s">
        <v>100</v>
      </c>
    </row>
    <row r="1720">
      <c r="A1720" s="2" t="s">
        <v>5109</v>
      </c>
      <c r="B1720" s="2" t="s">
        <v>87</v>
      </c>
      <c r="C1720" s="2" t="s">
        <v>4613</v>
      </c>
      <c r="D1720" s="2" t="s">
        <v>3079</v>
      </c>
      <c r="E1720" s="2" t="s">
        <v>3176</v>
      </c>
      <c r="F1720" s="2" t="s">
        <v>4767</v>
      </c>
      <c r="G1720" s="2" t="s">
        <v>4768</v>
      </c>
      <c r="H1720" s="2" t="s">
        <v>4769</v>
      </c>
      <c r="I1720" s="2" t="s">
        <v>5038</v>
      </c>
      <c r="J1720" s="2" t="s">
        <v>120</v>
      </c>
      <c r="K1720" s="2" t="s">
        <v>416</v>
      </c>
      <c r="L1720" s="3">
        <v>22.61</v>
      </c>
      <c r="M1720" s="3">
        <v>23.74</v>
      </c>
      <c r="N1720" s="3">
        <v>47.49</v>
      </c>
      <c r="O1720" s="2" t="s">
        <v>97</v>
      </c>
      <c r="P1720" s="2" t="s">
        <v>1216</v>
      </c>
      <c r="Q1720" s="2" t="s">
        <v>99</v>
      </c>
      <c r="R1720" s="2" t="s">
        <v>100</v>
      </c>
      <c r="S1720" s="2" t="s">
        <v>4850</v>
      </c>
      <c r="T1720" s="2" t="s">
        <v>787</v>
      </c>
      <c r="U1720" s="2" t="s">
        <v>1508</v>
      </c>
      <c r="V1720" s="2" t="s">
        <v>645</v>
      </c>
      <c r="W1720" s="2" t="s">
        <v>976</v>
      </c>
      <c r="X1720" s="2" t="s">
        <v>105</v>
      </c>
      <c r="Y1720" s="2" t="s">
        <v>100</v>
      </c>
      <c r="Z1720" s="4"/>
      <c r="AA1720" s="4">
        <f>=ROUNDDOWN({0},0)</f>
      </c>
      <c r="AB1720" s="5"/>
      <c r="AC1720" s="2" t="s">
        <v>648</v>
      </c>
      <c r="AD1720" s="4">
        <v>116</v>
      </c>
      <c r="AE1720" s="4">
        <v>420</v>
      </c>
      <c r="AF1720" s="6">
        <v>63</v>
      </c>
      <c r="AG1720" s="6">
        <v>46</v>
      </c>
      <c r="AH1720" s="7">
        <v>0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>
        <v>0</v>
      </c>
      <c r="AP1720" s="4"/>
      <c r="AQ1720" s="8"/>
      <c r="AR1720" s="4"/>
      <c r="AS1720" s="8"/>
      <c r="AT1720" s="7"/>
      <c r="AU1720" s="7"/>
      <c r="AV1720" s="4" t="s">
        <v>100</v>
      </c>
      <c r="AW1720" s="8" t="s">
        <v>100</v>
      </c>
      <c r="AX1720" s="4" t="s">
        <v>100</v>
      </c>
      <c r="AY1720" s="8" t="s">
        <v>100</v>
      </c>
      <c r="AZ1720" s="7" t="s">
        <v>100</v>
      </c>
      <c r="BA1720" s="7" t="s">
        <v>100</v>
      </c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 t="s">
        <v>100</v>
      </c>
      <c r="BJ1720" s="4"/>
      <c r="BK1720" s="8"/>
      <c r="BL1720" s="2" t="s">
        <v>100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1338</v>
      </c>
      <c r="BV1720" s="2" t="s">
        <v>97</v>
      </c>
      <c r="BW1720" s="2" t="s">
        <v>100</v>
      </c>
      <c r="BX1720" s="2" t="s">
        <v>100</v>
      </c>
      <c r="BY1720" s="2" t="s">
        <v>112</v>
      </c>
      <c r="BZ1720" s="2" t="s">
        <v>100</v>
      </c>
    </row>
    <row r="1721">
      <c r="A1721" s="2" t="s">
        <v>5110</v>
      </c>
      <c r="B1721" s="2" t="s">
        <v>87</v>
      </c>
      <c r="C1721" s="2" t="s">
        <v>4613</v>
      </c>
      <c r="D1721" s="2" t="s">
        <v>3079</v>
      </c>
      <c r="E1721" s="2" t="s">
        <v>3176</v>
      </c>
      <c r="F1721" s="2" t="s">
        <v>4767</v>
      </c>
      <c r="G1721" s="2" t="s">
        <v>4768</v>
      </c>
      <c r="H1721" s="2" t="s">
        <v>4769</v>
      </c>
      <c r="I1721" s="2" t="s">
        <v>5038</v>
      </c>
      <c r="J1721" s="2" t="s">
        <v>124</v>
      </c>
      <c r="K1721" s="2" t="s">
        <v>416</v>
      </c>
      <c r="L1721" s="3">
        <v>23.57</v>
      </c>
      <c r="M1721" s="3">
        <v>24.75</v>
      </c>
      <c r="N1721" s="3">
        <v>49.49</v>
      </c>
      <c r="O1721" s="2" t="s">
        <v>97</v>
      </c>
      <c r="P1721" s="2" t="s">
        <v>1216</v>
      </c>
      <c r="Q1721" s="2" t="s">
        <v>99</v>
      </c>
      <c r="R1721" s="2" t="s">
        <v>100</v>
      </c>
      <c r="S1721" s="2" t="s">
        <v>4850</v>
      </c>
      <c r="T1721" s="2" t="s">
        <v>787</v>
      </c>
      <c r="U1721" s="2" t="s">
        <v>1508</v>
      </c>
      <c r="V1721" s="2" t="s">
        <v>645</v>
      </c>
      <c r="W1721" s="2" t="s">
        <v>976</v>
      </c>
      <c r="X1721" s="2" t="s">
        <v>105</v>
      </c>
      <c r="Y1721" s="2" t="s">
        <v>100</v>
      </c>
      <c r="Z1721" s="4"/>
      <c r="AA1721" s="4">
        <f>=ROUNDDOWN({0},0)</f>
      </c>
      <c r="AB1721" s="5"/>
      <c r="AC1721" s="2" t="s">
        <v>2598</v>
      </c>
      <c r="AD1721" s="4">
        <v>60</v>
      </c>
      <c r="AE1721" s="4">
        <v>600</v>
      </c>
      <c r="AF1721" s="6">
        <v>63</v>
      </c>
      <c r="AG1721" s="6">
        <v>46</v>
      </c>
      <c r="AH1721" s="7">
        <v>0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>
        <v>0</v>
      </c>
      <c r="AP1721" s="4"/>
      <c r="AQ1721" s="8"/>
      <c r="AR1721" s="4"/>
      <c r="AS1721" s="8"/>
      <c r="AT1721" s="7"/>
      <c r="AU1721" s="7"/>
      <c r="AV1721" s="4" t="s">
        <v>100</v>
      </c>
      <c r="AW1721" s="8" t="s">
        <v>100</v>
      </c>
      <c r="AX1721" s="4" t="s">
        <v>100</v>
      </c>
      <c r="AY1721" s="8" t="s">
        <v>100</v>
      </c>
      <c r="AZ1721" s="7" t="s">
        <v>100</v>
      </c>
      <c r="BA1721" s="7" t="s">
        <v>100</v>
      </c>
      <c r="BB1721" s="7"/>
      <c r="BC1721" s="4" t="s">
        <v>100</v>
      </c>
      <c r="BD1721" s="8" t="s">
        <v>100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 t="s">
        <v>100</v>
      </c>
      <c r="BJ1721" s="4"/>
      <c r="BK1721" s="8"/>
      <c r="BL1721" s="2" t="s">
        <v>100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1338</v>
      </c>
      <c r="BV1721" s="2" t="s">
        <v>97</v>
      </c>
      <c r="BW1721" s="2" t="s">
        <v>100</v>
      </c>
      <c r="BX1721" s="2" t="s">
        <v>100</v>
      </c>
      <c r="BY1721" s="2" t="s">
        <v>112</v>
      </c>
      <c r="BZ1721" s="2" t="s">
        <v>100</v>
      </c>
    </row>
    <row r="1722">
      <c r="A1722" s="2" t="s">
        <v>5111</v>
      </c>
      <c r="B1722" s="2" t="s">
        <v>87</v>
      </c>
      <c r="C1722" s="2" t="s">
        <v>4613</v>
      </c>
      <c r="D1722" s="2" t="s">
        <v>3079</v>
      </c>
      <c r="E1722" s="2" t="s">
        <v>3176</v>
      </c>
      <c r="F1722" s="2" t="s">
        <v>4767</v>
      </c>
      <c r="G1722" s="2" t="s">
        <v>4768</v>
      </c>
      <c r="H1722" s="2" t="s">
        <v>4769</v>
      </c>
      <c r="I1722" s="2" t="s">
        <v>5038</v>
      </c>
      <c r="J1722" s="2" t="s">
        <v>673</v>
      </c>
      <c r="K1722" s="2" t="s">
        <v>1572</v>
      </c>
      <c r="L1722" s="3">
        <v>15.47</v>
      </c>
      <c r="M1722" s="3">
        <v>16.24</v>
      </c>
      <c r="N1722" s="3">
        <v>32.49</v>
      </c>
      <c r="O1722" s="2" t="s">
        <v>97</v>
      </c>
      <c r="P1722" s="2" t="s">
        <v>1216</v>
      </c>
      <c r="Q1722" s="2" t="s">
        <v>99</v>
      </c>
      <c r="R1722" s="2" t="s">
        <v>100</v>
      </c>
      <c r="S1722" s="2" t="s">
        <v>4866</v>
      </c>
      <c r="T1722" s="2" t="s">
        <v>787</v>
      </c>
      <c r="U1722" s="2" t="s">
        <v>2150</v>
      </c>
      <c r="V1722" s="2" t="s">
        <v>645</v>
      </c>
      <c r="W1722" s="2" t="s">
        <v>976</v>
      </c>
      <c r="X1722" s="2" t="s">
        <v>105</v>
      </c>
      <c r="Y1722" s="2" t="s">
        <v>100</v>
      </c>
      <c r="Z1722" s="4"/>
      <c r="AA1722" s="4">
        <f>=ROUNDDOWN({0},0)</f>
      </c>
      <c r="AB1722" s="5"/>
      <c r="AC1722" s="2" t="s">
        <v>648</v>
      </c>
      <c r="AD1722" s="4">
        <v>36</v>
      </c>
      <c r="AE1722" s="4">
        <v>184</v>
      </c>
      <c r="AF1722" s="6">
        <v>63</v>
      </c>
      <c r="AG1722" s="6">
        <v>46</v>
      </c>
      <c r="AH1722" s="7">
        <v>0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>
        <v>0</v>
      </c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 t="s">
        <v>100</v>
      </c>
      <c r="BJ1722" s="4"/>
      <c r="BK1722" s="8"/>
      <c r="BL1722" s="2" t="s">
        <v>100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1338</v>
      </c>
      <c r="BV1722" s="2" t="s">
        <v>97</v>
      </c>
      <c r="BW1722" s="2" t="s">
        <v>100</v>
      </c>
      <c r="BX1722" s="2" t="s">
        <v>100</v>
      </c>
      <c r="BY1722" s="2" t="s">
        <v>112</v>
      </c>
      <c r="BZ1722" s="2" t="s">
        <v>100</v>
      </c>
    </row>
    <row r="1723">
      <c r="A1723" s="2" t="s">
        <v>5112</v>
      </c>
      <c r="B1723" s="2" t="s">
        <v>87</v>
      </c>
      <c r="C1723" s="2" t="s">
        <v>4613</v>
      </c>
      <c r="D1723" s="2" t="s">
        <v>3079</v>
      </c>
      <c r="E1723" s="2" t="s">
        <v>3176</v>
      </c>
      <c r="F1723" s="2" t="s">
        <v>4767</v>
      </c>
      <c r="G1723" s="2" t="s">
        <v>4768</v>
      </c>
      <c r="H1723" s="2" t="s">
        <v>4769</v>
      </c>
      <c r="I1723" s="2" t="s">
        <v>5038</v>
      </c>
      <c r="J1723" s="2" t="s">
        <v>95</v>
      </c>
      <c r="K1723" s="2" t="s">
        <v>1572</v>
      </c>
      <c r="L1723" s="3">
        <v>19.76</v>
      </c>
      <c r="M1723" s="3">
        <v>20.75</v>
      </c>
      <c r="N1723" s="3">
        <v>41.49</v>
      </c>
      <c r="O1723" s="2" t="s">
        <v>97</v>
      </c>
      <c r="P1723" s="2" t="s">
        <v>1216</v>
      </c>
      <c r="Q1723" s="2" t="s">
        <v>99</v>
      </c>
      <c r="R1723" s="2" t="s">
        <v>100</v>
      </c>
      <c r="S1723" s="2" t="s">
        <v>4866</v>
      </c>
      <c r="T1723" s="2" t="s">
        <v>787</v>
      </c>
      <c r="U1723" s="2" t="s">
        <v>1508</v>
      </c>
      <c r="V1723" s="2" t="s">
        <v>645</v>
      </c>
      <c r="W1723" s="2" t="s">
        <v>976</v>
      </c>
      <c r="X1723" s="2" t="s">
        <v>105</v>
      </c>
      <c r="Y1723" s="2" t="s">
        <v>100</v>
      </c>
      <c r="Z1723" s="4"/>
      <c r="AA1723" s="4">
        <f>=ROUNDDOWN({0},0)</f>
      </c>
      <c r="AB1723" s="5"/>
      <c r="AC1723" s="2" t="s">
        <v>2598</v>
      </c>
      <c r="AD1723" s="4">
        <v>76</v>
      </c>
      <c r="AE1723" s="4">
        <v>200</v>
      </c>
      <c r="AF1723" s="6">
        <v>63</v>
      </c>
      <c r="AG1723" s="6">
        <v>46</v>
      </c>
      <c r="AH1723" s="7">
        <v>0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>
        <v>0</v>
      </c>
      <c r="AP1723" s="4"/>
      <c r="AQ1723" s="8"/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 t="s">
        <v>100</v>
      </c>
      <c r="BJ1723" s="4"/>
      <c r="BK1723" s="8"/>
      <c r="BL1723" s="2" t="s">
        <v>100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1338</v>
      </c>
      <c r="BV1723" s="2" t="s">
        <v>97</v>
      </c>
      <c r="BW1723" s="2" t="s">
        <v>100</v>
      </c>
      <c r="BX1723" s="2" t="s">
        <v>100</v>
      </c>
      <c r="BY1723" s="2" t="s">
        <v>112</v>
      </c>
      <c r="BZ1723" s="2" t="s">
        <v>100</v>
      </c>
    </row>
    <row r="1724">
      <c r="A1724" s="2" t="s">
        <v>5113</v>
      </c>
      <c r="B1724" s="2" t="s">
        <v>87</v>
      </c>
      <c r="C1724" s="2" t="s">
        <v>4613</v>
      </c>
      <c r="D1724" s="2" t="s">
        <v>3079</v>
      </c>
      <c r="E1724" s="2" t="s">
        <v>3176</v>
      </c>
      <c r="F1724" s="2" t="s">
        <v>4767</v>
      </c>
      <c r="G1724" s="2" t="s">
        <v>4768</v>
      </c>
      <c r="H1724" s="2" t="s">
        <v>4769</v>
      </c>
      <c r="I1724" s="2" t="s">
        <v>5038</v>
      </c>
      <c r="J1724" s="2" t="s">
        <v>114</v>
      </c>
      <c r="K1724" s="2" t="s">
        <v>1572</v>
      </c>
      <c r="L1724" s="3">
        <v>20.23</v>
      </c>
      <c r="M1724" s="3">
        <v>21.24</v>
      </c>
      <c r="N1724" s="3">
        <v>42.49</v>
      </c>
      <c r="O1724" s="2" t="s">
        <v>97</v>
      </c>
      <c r="P1724" s="2" t="s">
        <v>1216</v>
      </c>
      <c r="Q1724" s="2" t="s">
        <v>99</v>
      </c>
      <c r="R1724" s="2" t="s">
        <v>100</v>
      </c>
      <c r="S1724" s="2" t="s">
        <v>4866</v>
      </c>
      <c r="T1724" s="2" t="s">
        <v>787</v>
      </c>
      <c r="U1724" s="2" t="s">
        <v>1508</v>
      </c>
      <c r="V1724" s="2" t="s">
        <v>645</v>
      </c>
      <c r="W1724" s="2" t="s">
        <v>976</v>
      </c>
      <c r="X1724" s="2" t="s">
        <v>105</v>
      </c>
      <c r="Y1724" s="2" t="s">
        <v>100</v>
      </c>
      <c r="Z1724" s="4"/>
      <c r="AA1724" s="4">
        <f>=ROUNDDOWN({0},0)</f>
      </c>
      <c r="AB1724" s="5"/>
      <c r="AC1724" s="2" t="s">
        <v>648</v>
      </c>
      <c r="AD1724" s="4">
        <v>92</v>
      </c>
      <c r="AE1724" s="4">
        <v>580</v>
      </c>
      <c r="AF1724" s="6">
        <v>63</v>
      </c>
      <c r="AG1724" s="6">
        <v>46</v>
      </c>
      <c r="AH1724" s="7">
        <v>0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>
        <v>0</v>
      </c>
      <c r="AP1724" s="4"/>
      <c r="AQ1724" s="8"/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 t="s">
        <v>100</v>
      </c>
      <c r="BJ1724" s="4"/>
      <c r="BK1724" s="8"/>
      <c r="BL1724" s="2" t="s">
        <v>100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1338</v>
      </c>
      <c r="BV1724" s="2" t="s">
        <v>97</v>
      </c>
      <c r="BW1724" s="2" t="s">
        <v>100</v>
      </c>
      <c r="BX1724" s="2" t="s">
        <v>100</v>
      </c>
      <c r="BY1724" s="2" t="s">
        <v>112</v>
      </c>
      <c r="BZ1724" s="2" t="s">
        <v>100</v>
      </c>
    </row>
    <row r="1725">
      <c r="A1725" s="2" t="s">
        <v>5114</v>
      </c>
      <c r="B1725" s="2" t="s">
        <v>87</v>
      </c>
      <c r="C1725" s="2" t="s">
        <v>4613</v>
      </c>
      <c r="D1725" s="2" t="s">
        <v>3079</v>
      </c>
      <c r="E1725" s="2" t="s">
        <v>3176</v>
      </c>
      <c r="F1725" s="2" t="s">
        <v>4767</v>
      </c>
      <c r="G1725" s="2" t="s">
        <v>4768</v>
      </c>
      <c r="H1725" s="2" t="s">
        <v>4769</v>
      </c>
      <c r="I1725" s="2" t="s">
        <v>5038</v>
      </c>
      <c r="J1725" s="2" t="s">
        <v>120</v>
      </c>
      <c r="K1725" s="2" t="s">
        <v>1572</v>
      </c>
      <c r="L1725" s="3">
        <v>22.61</v>
      </c>
      <c r="M1725" s="3">
        <v>23.74</v>
      </c>
      <c r="N1725" s="3">
        <v>47.49</v>
      </c>
      <c r="O1725" s="2" t="s">
        <v>97</v>
      </c>
      <c r="P1725" s="2" t="s">
        <v>1216</v>
      </c>
      <c r="Q1725" s="2" t="s">
        <v>99</v>
      </c>
      <c r="R1725" s="2" t="s">
        <v>100</v>
      </c>
      <c r="S1725" s="2" t="s">
        <v>4866</v>
      </c>
      <c r="T1725" s="2" t="s">
        <v>787</v>
      </c>
      <c r="U1725" s="2" t="s">
        <v>1508</v>
      </c>
      <c r="V1725" s="2" t="s">
        <v>645</v>
      </c>
      <c r="W1725" s="2" t="s">
        <v>976</v>
      </c>
      <c r="X1725" s="2" t="s">
        <v>105</v>
      </c>
      <c r="Y1725" s="2" t="s">
        <v>100</v>
      </c>
      <c r="Z1725" s="4"/>
      <c r="AA1725" s="4">
        <f>=ROUNDDOWN({0},0)</f>
      </c>
      <c r="AB1725" s="5"/>
      <c r="AC1725" s="2" t="s">
        <v>648</v>
      </c>
      <c r="AD1725" s="4">
        <v>116</v>
      </c>
      <c r="AE1725" s="4">
        <v>520</v>
      </c>
      <c r="AF1725" s="6">
        <v>63</v>
      </c>
      <c r="AG1725" s="6">
        <v>46</v>
      </c>
      <c r="AH1725" s="7">
        <v>0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>
        <v>0</v>
      </c>
      <c r="AP1725" s="4"/>
      <c r="AQ1725" s="8"/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/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 t="s">
        <v>100</v>
      </c>
      <c r="BJ1725" s="4"/>
      <c r="BK1725" s="8"/>
      <c r="BL1725" s="2" t="s">
        <v>100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1338</v>
      </c>
      <c r="BV1725" s="2" t="s">
        <v>97</v>
      </c>
      <c r="BW1725" s="2" t="s">
        <v>100</v>
      </c>
      <c r="BX1725" s="2" t="s">
        <v>100</v>
      </c>
      <c r="BY1725" s="2" t="s">
        <v>112</v>
      </c>
      <c r="BZ1725" s="2" t="s">
        <v>100</v>
      </c>
    </row>
    <row r="1726">
      <c r="A1726" s="2" t="s">
        <v>5115</v>
      </c>
      <c r="B1726" s="2" t="s">
        <v>87</v>
      </c>
      <c r="C1726" s="2" t="s">
        <v>4613</v>
      </c>
      <c r="D1726" s="2" t="s">
        <v>3079</v>
      </c>
      <c r="E1726" s="2" t="s">
        <v>3176</v>
      </c>
      <c r="F1726" s="2" t="s">
        <v>4767</v>
      </c>
      <c r="G1726" s="2" t="s">
        <v>4768</v>
      </c>
      <c r="H1726" s="2" t="s">
        <v>4769</v>
      </c>
      <c r="I1726" s="2" t="s">
        <v>5038</v>
      </c>
      <c r="J1726" s="2" t="s">
        <v>124</v>
      </c>
      <c r="K1726" s="2" t="s">
        <v>1572</v>
      </c>
      <c r="L1726" s="3">
        <v>23.57</v>
      </c>
      <c r="M1726" s="3">
        <v>24.75</v>
      </c>
      <c r="N1726" s="3">
        <v>49.49</v>
      </c>
      <c r="O1726" s="2" t="s">
        <v>97</v>
      </c>
      <c r="P1726" s="2" t="s">
        <v>1216</v>
      </c>
      <c r="Q1726" s="2" t="s">
        <v>99</v>
      </c>
      <c r="R1726" s="2" t="s">
        <v>100</v>
      </c>
      <c r="S1726" s="2" t="s">
        <v>4866</v>
      </c>
      <c r="T1726" s="2" t="s">
        <v>787</v>
      </c>
      <c r="U1726" s="2" t="s">
        <v>1508</v>
      </c>
      <c r="V1726" s="2" t="s">
        <v>645</v>
      </c>
      <c r="W1726" s="2" t="s">
        <v>976</v>
      </c>
      <c r="X1726" s="2" t="s">
        <v>105</v>
      </c>
      <c r="Y1726" s="2" t="s">
        <v>100</v>
      </c>
      <c r="Z1726" s="4"/>
      <c r="AA1726" s="4">
        <f>=ROUNDDOWN({0},0)</f>
      </c>
      <c r="AB1726" s="5"/>
      <c r="AC1726" s="2" t="s">
        <v>2598</v>
      </c>
      <c r="AD1726" s="4">
        <v>88</v>
      </c>
      <c r="AE1726" s="4">
        <v>600</v>
      </c>
      <c r="AF1726" s="6">
        <v>63</v>
      </c>
      <c r="AG1726" s="6">
        <v>46</v>
      </c>
      <c r="AH1726" s="7">
        <v>0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>
        <v>0</v>
      </c>
      <c r="AP1726" s="4"/>
      <c r="AQ1726" s="8"/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/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 t="s">
        <v>100</v>
      </c>
      <c r="BJ1726" s="4"/>
      <c r="BK1726" s="8"/>
      <c r="BL1726" s="2" t="s">
        <v>100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1338</v>
      </c>
      <c r="BV1726" s="2" t="s">
        <v>97</v>
      </c>
      <c r="BW1726" s="2" t="s">
        <v>100</v>
      </c>
      <c r="BX1726" s="2" t="s">
        <v>100</v>
      </c>
      <c r="BY1726" s="2" t="s">
        <v>112</v>
      </c>
      <c r="BZ1726" s="2" t="s">
        <v>100</v>
      </c>
    </row>
    <row r="1727">
      <c r="A1727" s="2" t="s">
        <v>5116</v>
      </c>
      <c r="B1727" s="2" t="s">
        <v>87</v>
      </c>
      <c r="C1727" s="2" t="s">
        <v>4613</v>
      </c>
      <c r="D1727" s="2" t="s">
        <v>3079</v>
      </c>
      <c r="E1727" s="2" t="s">
        <v>3176</v>
      </c>
      <c r="F1727" s="2" t="s">
        <v>4906</v>
      </c>
      <c r="G1727" s="2" t="s">
        <v>4907</v>
      </c>
      <c r="H1727" s="2" t="s">
        <v>4908</v>
      </c>
      <c r="I1727" s="2" t="s">
        <v>5117</v>
      </c>
      <c r="J1727" s="2" t="s">
        <v>673</v>
      </c>
      <c r="K1727" s="2" t="s">
        <v>146</v>
      </c>
      <c r="L1727" s="3">
        <v>17.85</v>
      </c>
      <c r="M1727" s="3">
        <v>18.74</v>
      </c>
      <c r="N1727" s="3">
        <v>37.49</v>
      </c>
      <c r="O1727" s="2" t="s">
        <v>473</v>
      </c>
      <c r="P1727" s="2" t="s">
        <v>1216</v>
      </c>
      <c r="Q1727" s="2" t="s">
        <v>99</v>
      </c>
      <c r="R1727" s="2" t="s">
        <v>100</v>
      </c>
      <c r="S1727" s="2" t="s">
        <v>4910</v>
      </c>
      <c r="T1727" s="2" t="s">
        <v>1218</v>
      </c>
      <c r="U1727" s="2" t="s">
        <v>2150</v>
      </c>
      <c r="V1727" s="2" t="s">
        <v>645</v>
      </c>
      <c r="W1727" s="2" t="s">
        <v>976</v>
      </c>
      <c r="X1727" s="2" t="s">
        <v>1240</v>
      </c>
      <c r="Y1727" s="2" t="s">
        <v>100</v>
      </c>
      <c r="Z1727" s="4"/>
      <c r="AA1727" s="4">
        <f>=ROUNDDOWN({0},0)</f>
      </c>
      <c r="AB1727" s="5"/>
      <c r="AC1727" s="2" t="s">
        <v>100</v>
      </c>
      <c r="AD1727" s="4"/>
      <c r="AE1727" s="4"/>
      <c r="AF1727" s="6">
        <v>63</v>
      </c>
      <c r="AG1727" s="6">
        <v>46</v>
      </c>
      <c r="AH1727" s="7">
        <v>0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>
        <v>0</v>
      </c>
      <c r="AP1727" s="4"/>
      <c r="AQ1727" s="8"/>
      <c r="AR1727" s="4"/>
      <c r="AS1727" s="8"/>
      <c r="AT1727" s="7"/>
      <c r="AU1727" s="7"/>
      <c r="AV1727" s="4" t="s">
        <v>100</v>
      </c>
      <c r="AW1727" s="8" t="s">
        <v>100</v>
      </c>
      <c r="AX1727" s="4" t="s">
        <v>100</v>
      </c>
      <c r="AY1727" s="8" t="s">
        <v>100</v>
      </c>
      <c r="AZ1727" s="7" t="s">
        <v>100</v>
      </c>
      <c r="BA1727" s="7" t="s">
        <v>100</v>
      </c>
      <c r="BB1727" s="7"/>
      <c r="BC1727" s="4" t="s">
        <v>100</v>
      </c>
      <c r="BD1727" s="8" t="s">
        <v>100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/>
      <c r="BJ1727" s="4"/>
      <c r="BK1727" s="8"/>
      <c r="BL1727" s="2" t="s">
        <v>100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1338</v>
      </c>
      <c r="BV1727" s="2" t="s">
        <v>97</v>
      </c>
      <c r="BW1727" s="2" t="s">
        <v>100</v>
      </c>
      <c r="BX1727" s="2" t="s">
        <v>100</v>
      </c>
      <c r="BY1727" s="2" t="s">
        <v>112</v>
      </c>
      <c r="BZ1727" s="2" t="s">
        <v>100</v>
      </c>
    </row>
    <row r="1728">
      <c r="A1728" s="2" t="s">
        <v>5118</v>
      </c>
      <c r="B1728" s="2" t="s">
        <v>87</v>
      </c>
      <c r="C1728" s="2" t="s">
        <v>4613</v>
      </c>
      <c r="D1728" s="2" t="s">
        <v>3079</v>
      </c>
      <c r="E1728" s="2" t="s">
        <v>3176</v>
      </c>
      <c r="F1728" s="2" t="s">
        <v>4906</v>
      </c>
      <c r="G1728" s="2" t="s">
        <v>4907</v>
      </c>
      <c r="H1728" s="2" t="s">
        <v>4908</v>
      </c>
      <c r="I1728" s="2" t="s">
        <v>5117</v>
      </c>
      <c r="J1728" s="2" t="s">
        <v>785</v>
      </c>
      <c r="K1728" s="2" t="s">
        <v>146</v>
      </c>
      <c r="L1728" s="3">
        <v>22.61</v>
      </c>
      <c r="M1728" s="3">
        <v>23.74</v>
      </c>
      <c r="N1728" s="3">
        <v>47.49</v>
      </c>
      <c r="O1728" s="2" t="s">
        <v>473</v>
      </c>
      <c r="P1728" s="2" t="s">
        <v>1216</v>
      </c>
      <c r="Q1728" s="2" t="s">
        <v>99</v>
      </c>
      <c r="R1728" s="2" t="s">
        <v>100</v>
      </c>
      <c r="S1728" s="2" t="s">
        <v>4910</v>
      </c>
      <c r="T1728" s="2" t="s">
        <v>1218</v>
      </c>
      <c r="U1728" s="2" t="s">
        <v>1508</v>
      </c>
      <c r="V1728" s="2" t="s">
        <v>645</v>
      </c>
      <c r="W1728" s="2" t="s">
        <v>976</v>
      </c>
      <c r="X1728" s="2" t="s">
        <v>1240</v>
      </c>
      <c r="Y1728" s="2" t="s">
        <v>100</v>
      </c>
      <c r="Z1728" s="4"/>
      <c r="AA1728" s="4">
        <f>=ROUNDDOWN({0},0)</f>
      </c>
      <c r="AB1728" s="5"/>
      <c r="AC1728" s="2" t="s">
        <v>100</v>
      </c>
      <c r="AD1728" s="4"/>
      <c r="AE1728" s="4"/>
      <c r="AF1728" s="6">
        <v>63</v>
      </c>
      <c r="AG1728" s="6">
        <v>46</v>
      </c>
      <c r="AH1728" s="7">
        <v>0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>
        <v>0</v>
      </c>
      <c r="AP1728" s="4"/>
      <c r="AQ1728" s="8"/>
      <c r="AR1728" s="4"/>
      <c r="AS1728" s="8"/>
      <c r="AT1728" s="7"/>
      <c r="AU1728" s="7"/>
      <c r="AV1728" s="4" t="s">
        <v>100</v>
      </c>
      <c r="AW1728" s="8" t="s">
        <v>100</v>
      </c>
      <c r="AX1728" s="4" t="s">
        <v>100</v>
      </c>
      <c r="AY1728" s="8" t="s">
        <v>100</v>
      </c>
      <c r="AZ1728" s="7" t="s">
        <v>100</v>
      </c>
      <c r="BA1728" s="7" t="s">
        <v>100</v>
      </c>
      <c r="BB1728" s="7"/>
      <c r="BC1728" s="4" t="s">
        <v>100</v>
      </c>
      <c r="BD1728" s="8" t="s">
        <v>100</v>
      </c>
      <c r="BE1728" s="4" t="s">
        <v>100</v>
      </c>
      <c r="BF1728" s="8" t="s">
        <v>100</v>
      </c>
      <c r="BG1728" s="7" t="s">
        <v>100</v>
      </c>
      <c r="BH1728" s="7" t="s">
        <v>100</v>
      </c>
      <c r="BI1728" s="7"/>
      <c r="BJ1728" s="4"/>
      <c r="BK1728" s="8"/>
      <c r="BL1728" s="2" t="s">
        <v>100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1338</v>
      </c>
      <c r="BV1728" s="2" t="s">
        <v>97</v>
      </c>
      <c r="BW1728" s="2" t="s">
        <v>100</v>
      </c>
      <c r="BX1728" s="2" t="s">
        <v>100</v>
      </c>
      <c r="BY1728" s="2" t="s">
        <v>112</v>
      </c>
      <c r="BZ1728" s="2" t="s">
        <v>100</v>
      </c>
    </row>
    <row r="1729">
      <c r="A1729" s="2" t="s">
        <v>5119</v>
      </c>
      <c r="B1729" s="2" t="s">
        <v>87</v>
      </c>
      <c r="C1729" s="2" t="s">
        <v>4613</v>
      </c>
      <c r="D1729" s="2" t="s">
        <v>3079</v>
      </c>
      <c r="E1729" s="2" t="s">
        <v>3176</v>
      </c>
      <c r="F1729" s="2" t="s">
        <v>4906</v>
      </c>
      <c r="G1729" s="2" t="s">
        <v>4907</v>
      </c>
      <c r="H1729" s="2" t="s">
        <v>4908</v>
      </c>
      <c r="I1729" s="2" t="s">
        <v>5117</v>
      </c>
      <c r="J1729" s="2" t="s">
        <v>795</v>
      </c>
      <c r="K1729" s="2" t="s">
        <v>146</v>
      </c>
      <c r="L1729" s="3">
        <v>27.38</v>
      </c>
      <c r="M1729" s="3">
        <v>28.75</v>
      </c>
      <c r="N1729" s="3">
        <v>57.49</v>
      </c>
      <c r="O1729" s="2" t="s">
        <v>473</v>
      </c>
      <c r="P1729" s="2" t="s">
        <v>1216</v>
      </c>
      <c r="Q1729" s="2" t="s">
        <v>99</v>
      </c>
      <c r="R1729" s="2" t="s">
        <v>100</v>
      </c>
      <c r="S1729" s="2" t="s">
        <v>4910</v>
      </c>
      <c r="T1729" s="2" t="s">
        <v>1218</v>
      </c>
      <c r="U1729" s="2" t="s">
        <v>1508</v>
      </c>
      <c r="V1729" s="2" t="s">
        <v>645</v>
      </c>
      <c r="W1729" s="2" t="s">
        <v>976</v>
      </c>
      <c r="X1729" s="2" t="s">
        <v>1240</v>
      </c>
      <c r="Y1729" s="2" t="s">
        <v>100</v>
      </c>
      <c r="Z1729" s="4"/>
      <c r="AA1729" s="4">
        <f>=ROUNDDOWN({0},0)</f>
      </c>
      <c r="AB1729" s="5"/>
      <c r="AC1729" s="2" t="s">
        <v>100</v>
      </c>
      <c r="AD1729" s="4"/>
      <c r="AE1729" s="4"/>
      <c r="AF1729" s="6">
        <v>63</v>
      </c>
      <c r="AG1729" s="6">
        <v>46</v>
      </c>
      <c r="AH1729" s="7">
        <v>0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>
        <v>0</v>
      </c>
      <c r="AP1729" s="4"/>
      <c r="AQ1729" s="8"/>
      <c r="AR1729" s="4"/>
      <c r="AS1729" s="8"/>
      <c r="AT1729" s="7"/>
      <c r="AU1729" s="7"/>
      <c r="AV1729" s="4" t="s">
        <v>100</v>
      </c>
      <c r="AW1729" s="8" t="s">
        <v>100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/>
      <c r="BC1729" s="4" t="s">
        <v>100</v>
      </c>
      <c r="BD1729" s="8" t="s">
        <v>100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/>
      <c r="BJ1729" s="4"/>
      <c r="BK1729" s="8"/>
      <c r="BL1729" s="2" t="s">
        <v>100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1338</v>
      </c>
      <c r="BV1729" s="2" t="s">
        <v>97</v>
      </c>
      <c r="BW1729" s="2" t="s">
        <v>100</v>
      </c>
      <c r="BX1729" s="2" t="s">
        <v>100</v>
      </c>
      <c r="BY1729" s="2" t="s">
        <v>112</v>
      </c>
      <c r="BZ1729" s="2" t="s">
        <v>100</v>
      </c>
    </row>
    <row r="1730">
      <c r="A1730" s="2" t="s">
        <v>5120</v>
      </c>
      <c r="B1730" s="2" t="s">
        <v>87</v>
      </c>
      <c r="C1730" s="2" t="s">
        <v>4613</v>
      </c>
      <c r="D1730" s="2" t="s">
        <v>3079</v>
      </c>
      <c r="E1730" s="2" t="s">
        <v>3176</v>
      </c>
      <c r="F1730" s="2" t="s">
        <v>4906</v>
      </c>
      <c r="G1730" s="2" t="s">
        <v>4907</v>
      </c>
      <c r="H1730" s="2" t="s">
        <v>4908</v>
      </c>
      <c r="I1730" s="2" t="s">
        <v>5117</v>
      </c>
      <c r="J1730" s="2" t="s">
        <v>673</v>
      </c>
      <c r="K1730" s="2" t="s">
        <v>4293</v>
      </c>
      <c r="L1730" s="3">
        <v>17.85</v>
      </c>
      <c r="M1730" s="3">
        <v>18.74</v>
      </c>
      <c r="N1730" s="3">
        <v>37.49</v>
      </c>
      <c r="O1730" s="2" t="s">
        <v>473</v>
      </c>
      <c r="P1730" s="2" t="s">
        <v>1216</v>
      </c>
      <c r="Q1730" s="2" t="s">
        <v>99</v>
      </c>
      <c r="R1730" s="2" t="s">
        <v>100</v>
      </c>
      <c r="S1730" s="2" t="s">
        <v>4914</v>
      </c>
      <c r="T1730" s="2" t="s">
        <v>1218</v>
      </c>
      <c r="U1730" s="2" t="s">
        <v>2150</v>
      </c>
      <c r="V1730" s="2" t="s">
        <v>645</v>
      </c>
      <c r="W1730" s="2" t="s">
        <v>976</v>
      </c>
      <c r="X1730" s="2" t="s">
        <v>1240</v>
      </c>
      <c r="Y1730" s="2" t="s">
        <v>100</v>
      </c>
      <c r="Z1730" s="4"/>
      <c r="AA1730" s="4">
        <f>=ROUNDDOWN({0},0)</f>
      </c>
      <c r="AB1730" s="5"/>
      <c r="AC1730" s="2" t="s">
        <v>100</v>
      </c>
      <c r="AD1730" s="4"/>
      <c r="AE1730" s="4"/>
      <c r="AF1730" s="6">
        <v>63</v>
      </c>
      <c r="AG1730" s="6">
        <v>46</v>
      </c>
      <c r="AH1730" s="7">
        <v>0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>
        <v>0</v>
      </c>
      <c r="AP1730" s="4"/>
      <c r="AQ1730" s="8"/>
      <c r="AR1730" s="4"/>
      <c r="AS1730" s="8"/>
      <c r="AT1730" s="7"/>
      <c r="AU1730" s="7"/>
      <c r="AV1730" s="4" t="s">
        <v>100</v>
      </c>
      <c r="AW1730" s="8" t="s">
        <v>100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/>
      <c r="BC1730" s="4" t="s">
        <v>100</v>
      </c>
      <c r="BD1730" s="8" t="s">
        <v>100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/>
      <c r="BJ1730" s="4"/>
      <c r="BK1730" s="8"/>
      <c r="BL1730" s="2" t="s">
        <v>100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1338</v>
      </c>
      <c r="BV1730" s="2" t="s">
        <v>97</v>
      </c>
      <c r="BW1730" s="2" t="s">
        <v>100</v>
      </c>
      <c r="BX1730" s="2" t="s">
        <v>100</v>
      </c>
      <c r="BY1730" s="2" t="s">
        <v>112</v>
      </c>
      <c r="BZ1730" s="2" t="s">
        <v>100</v>
      </c>
    </row>
    <row r="1731">
      <c r="A1731" s="2" t="s">
        <v>5121</v>
      </c>
      <c r="B1731" s="2" t="s">
        <v>87</v>
      </c>
      <c r="C1731" s="2" t="s">
        <v>4613</v>
      </c>
      <c r="D1731" s="2" t="s">
        <v>3079</v>
      </c>
      <c r="E1731" s="2" t="s">
        <v>3176</v>
      </c>
      <c r="F1731" s="2" t="s">
        <v>4906</v>
      </c>
      <c r="G1731" s="2" t="s">
        <v>4907</v>
      </c>
      <c r="H1731" s="2" t="s">
        <v>4908</v>
      </c>
      <c r="I1731" s="2" t="s">
        <v>5117</v>
      </c>
      <c r="J1731" s="2" t="s">
        <v>785</v>
      </c>
      <c r="K1731" s="2" t="s">
        <v>4293</v>
      </c>
      <c r="L1731" s="3">
        <v>22.61</v>
      </c>
      <c r="M1731" s="3">
        <v>23.74</v>
      </c>
      <c r="N1731" s="3">
        <v>47.49</v>
      </c>
      <c r="O1731" s="2" t="s">
        <v>473</v>
      </c>
      <c r="P1731" s="2" t="s">
        <v>1216</v>
      </c>
      <c r="Q1731" s="2" t="s">
        <v>99</v>
      </c>
      <c r="R1731" s="2" t="s">
        <v>100</v>
      </c>
      <c r="S1731" s="2" t="s">
        <v>4914</v>
      </c>
      <c r="T1731" s="2" t="s">
        <v>1218</v>
      </c>
      <c r="U1731" s="2" t="s">
        <v>1508</v>
      </c>
      <c r="V1731" s="2" t="s">
        <v>645</v>
      </c>
      <c r="W1731" s="2" t="s">
        <v>976</v>
      </c>
      <c r="X1731" s="2" t="s">
        <v>1240</v>
      </c>
      <c r="Y1731" s="2" t="s">
        <v>100</v>
      </c>
      <c r="Z1731" s="4"/>
      <c r="AA1731" s="4">
        <f>=ROUNDDOWN({0},0)</f>
      </c>
      <c r="AB1731" s="5"/>
      <c r="AC1731" s="2" t="s">
        <v>100</v>
      </c>
      <c r="AD1731" s="4"/>
      <c r="AE1731" s="4"/>
      <c r="AF1731" s="6">
        <v>63</v>
      </c>
      <c r="AG1731" s="6">
        <v>46</v>
      </c>
      <c r="AH1731" s="7">
        <v>0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>
        <v>0</v>
      </c>
      <c r="AP1731" s="4"/>
      <c r="AQ1731" s="8"/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/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/>
      <c r="BJ1731" s="4"/>
      <c r="BK1731" s="8"/>
      <c r="BL1731" s="2" t="s">
        <v>100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1338</v>
      </c>
      <c r="BV1731" s="2" t="s">
        <v>97</v>
      </c>
      <c r="BW1731" s="2" t="s">
        <v>100</v>
      </c>
      <c r="BX1731" s="2" t="s">
        <v>100</v>
      </c>
      <c r="BY1731" s="2" t="s">
        <v>112</v>
      </c>
      <c r="BZ1731" s="2" t="s">
        <v>100</v>
      </c>
    </row>
    <row r="1732">
      <c r="A1732" s="2" t="s">
        <v>5122</v>
      </c>
      <c r="B1732" s="2" t="s">
        <v>87</v>
      </c>
      <c r="C1732" s="2" t="s">
        <v>4613</v>
      </c>
      <c r="D1732" s="2" t="s">
        <v>3079</v>
      </c>
      <c r="E1732" s="2" t="s">
        <v>3176</v>
      </c>
      <c r="F1732" s="2" t="s">
        <v>4906</v>
      </c>
      <c r="G1732" s="2" t="s">
        <v>4907</v>
      </c>
      <c r="H1732" s="2" t="s">
        <v>4908</v>
      </c>
      <c r="I1732" s="2" t="s">
        <v>5117</v>
      </c>
      <c r="J1732" s="2" t="s">
        <v>795</v>
      </c>
      <c r="K1732" s="2" t="s">
        <v>4293</v>
      </c>
      <c r="L1732" s="3">
        <v>27.38</v>
      </c>
      <c r="M1732" s="3">
        <v>28.75</v>
      </c>
      <c r="N1732" s="3">
        <v>57.49</v>
      </c>
      <c r="O1732" s="2" t="s">
        <v>473</v>
      </c>
      <c r="P1732" s="2" t="s">
        <v>1216</v>
      </c>
      <c r="Q1732" s="2" t="s">
        <v>99</v>
      </c>
      <c r="R1732" s="2" t="s">
        <v>100</v>
      </c>
      <c r="S1732" s="2" t="s">
        <v>4914</v>
      </c>
      <c r="T1732" s="2" t="s">
        <v>1218</v>
      </c>
      <c r="U1732" s="2" t="s">
        <v>1508</v>
      </c>
      <c r="V1732" s="2" t="s">
        <v>645</v>
      </c>
      <c r="W1732" s="2" t="s">
        <v>976</v>
      </c>
      <c r="X1732" s="2" t="s">
        <v>1240</v>
      </c>
      <c r="Y1732" s="2" t="s">
        <v>100</v>
      </c>
      <c r="Z1732" s="4"/>
      <c r="AA1732" s="4">
        <f>=ROUNDDOWN({0},0)</f>
      </c>
      <c r="AB1732" s="5"/>
      <c r="AC1732" s="2" t="s">
        <v>100</v>
      </c>
      <c r="AD1732" s="4"/>
      <c r="AE1732" s="4"/>
      <c r="AF1732" s="6">
        <v>63</v>
      </c>
      <c r="AG1732" s="6">
        <v>46</v>
      </c>
      <c r="AH1732" s="7">
        <v>0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>
        <v>0</v>
      </c>
      <c r="AP1732" s="4"/>
      <c r="AQ1732" s="8"/>
      <c r="AR1732" s="4"/>
      <c r="AS1732" s="8"/>
      <c r="AT1732" s="7"/>
      <c r="AU1732" s="7"/>
      <c r="AV1732" s="4" t="s">
        <v>100</v>
      </c>
      <c r="AW1732" s="8" t="s">
        <v>100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/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/>
      <c r="BJ1732" s="4"/>
      <c r="BK1732" s="8"/>
      <c r="BL1732" s="2" t="s">
        <v>100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1338</v>
      </c>
      <c r="BV1732" s="2" t="s">
        <v>97</v>
      </c>
      <c r="BW1732" s="2" t="s">
        <v>100</v>
      </c>
      <c r="BX1732" s="2" t="s">
        <v>100</v>
      </c>
      <c r="BY1732" s="2" t="s">
        <v>112</v>
      </c>
      <c r="BZ1732" s="2" t="s">
        <v>100</v>
      </c>
    </row>
    <row r="1733">
      <c r="A1733" s="2" t="s">
        <v>5123</v>
      </c>
      <c r="B1733" s="2" t="s">
        <v>87</v>
      </c>
      <c r="C1733" s="2" t="s">
        <v>4613</v>
      </c>
      <c r="D1733" s="2" t="s">
        <v>3079</v>
      </c>
      <c r="E1733" s="2" t="s">
        <v>3176</v>
      </c>
      <c r="F1733" s="2" t="s">
        <v>4906</v>
      </c>
      <c r="G1733" s="2" t="s">
        <v>4907</v>
      </c>
      <c r="H1733" s="2" t="s">
        <v>4908</v>
      </c>
      <c r="I1733" s="2" t="s">
        <v>5117</v>
      </c>
      <c r="J1733" s="2" t="s">
        <v>673</v>
      </c>
      <c r="K1733" s="2" t="s">
        <v>213</v>
      </c>
      <c r="L1733" s="3">
        <v>17.85</v>
      </c>
      <c r="M1733" s="3">
        <v>18.74</v>
      </c>
      <c r="N1733" s="3">
        <v>37.49</v>
      </c>
      <c r="O1733" s="2" t="s">
        <v>473</v>
      </c>
      <c r="P1733" s="2" t="s">
        <v>1216</v>
      </c>
      <c r="Q1733" s="2" t="s">
        <v>99</v>
      </c>
      <c r="R1733" s="2" t="s">
        <v>100</v>
      </c>
      <c r="S1733" s="2" t="s">
        <v>4918</v>
      </c>
      <c r="T1733" s="2" t="s">
        <v>1218</v>
      </c>
      <c r="U1733" s="2" t="s">
        <v>2150</v>
      </c>
      <c r="V1733" s="2" t="s">
        <v>645</v>
      </c>
      <c r="W1733" s="2" t="s">
        <v>976</v>
      </c>
      <c r="X1733" s="2" t="s">
        <v>1240</v>
      </c>
      <c r="Y1733" s="2" t="s">
        <v>100</v>
      </c>
      <c r="Z1733" s="4"/>
      <c r="AA1733" s="4">
        <f>=ROUNDDOWN({0},0)</f>
      </c>
      <c r="AB1733" s="5"/>
      <c r="AC1733" s="2" t="s">
        <v>100</v>
      </c>
      <c r="AD1733" s="4"/>
      <c r="AE1733" s="4"/>
      <c r="AF1733" s="6">
        <v>63</v>
      </c>
      <c r="AG1733" s="6">
        <v>46</v>
      </c>
      <c r="AH1733" s="7">
        <v>0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>
        <v>0</v>
      </c>
      <c r="AP1733" s="4"/>
      <c r="AQ1733" s="8"/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/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/>
      <c r="BJ1733" s="4"/>
      <c r="BK1733" s="8"/>
      <c r="BL1733" s="2" t="s">
        <v>100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1338</v>
      </c>
      <c r="BV1733" s="2" t="s">
        <v>97</v>
      </c>
      <c r="BW1733" s="2" t="s">
        <v>100</v>
      </c>
      <c r="BX1733" s="2" t="s">
        <v>100</v>
      </c>
      <c r="BY1733" s="2" t="s">
        <v>112</v>
      </c>
      <c r="BZ1733" s="2" t="s">
        <v>100</v>
      </c>
    </row>
    <row r="1734">
      <c r="A1734" s="2" t="s">
        <v>5124</v>
      </c>
      <c r="B1734" s="2" t="s">
        <v>87</v>
      </c>
      <c r="C1734" s="2" t="s">
        <v>4613</v>
      </c>
      <c r="D1734" s="2" t="s">
        <v>3079</v>
      </c>
      <c r="E1734" s="2" t="s">
        <v>3176</v>
      </c>
      <c r="F1734" s="2" t="s">
        <v>4906</v>
      </c>
      <c r="G1734" s="2" t="s">
        <v>4907</v>
      </c>
      <c r="H1734" s="2" t="s">
        <v>4908</v>
      </c>
      <c r="I1734" s="2" t="s">
        <v>5117</v>
      </c>
      <c r="J1734" s="2" t="s">
        <v>785</v>
      </c>
      <c r="K1734" s="2" t="s">
        <v>213</v>
      </c>
      <c r="L1734" s="3">
        <v>22.61</v>
      </c>
      <c r="M1734" s="3">
        <v>23.74</v>
      </c>
      <c r="N1734" s="3">
        <v>47.49</v>
      </c>
      <c r="O1734" s="2" t="s">
        <v>473</v>
      </c>
      <c r="P1734" s="2" t="s">
        <v>1216</v>
      </c>
      <c r="Q1734" s="2" t="s">
        <v>99</v>
      </c>
      <c r="R1734" s="2" t="s">
        <v>100</v>
      </c>
      <c r="S1734" s="2" t="s">
        <v>4918</v>
      </c>
      <c r="T1734" s="2" t="s">
        <v>1218</v>
      </c>
      <c r="U1734" s="2" t="s">
        <v>1508</v>
      </c>
      <c r="V1734" s="2" t="s">
        <v>645</v>
      </c>
      <c r="W1734" s="2" t="s">
        <v>976</v>
      </c>
      <c r="X1734" s="2" t="s">
        <v>1240</v>
      </c>
      <c r="Y1734" s="2" t="s">
        <v>100</v>
      </c>
      <c r="Z1734" s="4"/>
      <c r="AA1734" s="4">
        <f>=ROUNDDOWN({0},0)</f>
      </c>
      <c r="AB1734" s="5"/>
      <c r="AC1734" s="2" t="s">
        <v>100</v>
      </c>
      <c r="AD1734" s="4"/>
      <c r="AE1734" s="4"/>
      <c r="AF1734" s="6">
        <v>63</v>
      </c>
      <c r="AG1734" s="6">
        <v>46</v>
      </c>
      <c r="AH1734" s="7">
        <v>0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>
        <v>0</v>
      </c>
      <c r="AP1734" s="4"/>
      <c r="AQ1734" s="8"/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/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/>
      <c r="BJ1734" s="4"/>
      <c r="BK1734" s="8"/>
      <c r="BL1734" s="2" t="s">
        <v>100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1338</v>
      </c>
      <c r="BV1734" s="2" t="s">
        <v>97</v>
      </c>
      <c r="BW1734" s="2" t="s">
        <v>100</v>
      </c>
      <c r="BX1734" s="2" t="s">
        <v>100</v>
      </c>
      <c r="BY1734" s="2" t="s">
        <v>112</v>
      </c>
      <c r="BZ1734" s="2" t="s">
        <v>100</v>
      </c>
    </row>
    <row r="1735">
      <c r="A1735" s="2" t="s">
        <v>5125</v>
      </c>
      <c r="B1735" s="2" t="s">
        <v>87</v>
      </c>
      <c r="C1735" s="2" t="s">
        <v>4613</v>
      </c>
      <c r="D1735" s="2" t="s">
        <v>3079</v>
      </c>
      <c r="E1735" s="2" t="s">
        <v>3176</v>
      </c>
      <c r="F1735" s="2" t="s">
        <v>4906</v>
      </c>
      <c r="G1735" s="2" t="s">
        <v>4907</v>
      </c>
      <c r="H1735" s="2" t="s">
        <v>4908</v>
      </c>
      <c r="I1735" s="2" t="s">
        <v>5117</v>
      </c>
      <c r="J1735" s="2" t="s">
        <v>795</v>
      </c>
      <c r="K1735" s="2" t="s">
        <v>213</v>
      </c>
      <c r="L1735" s="3">
        <v>27.38</v>
      </c>
      <c r="M1735" s="3">
        <v>28.75</v>
      </c>
      <c r="N1735" s="3">
        <v>57.49</v>
      </c>
      <c r="O1735" s="2" t="s">
        <v>473</v>
      </c>
      <c r="P1735" s="2" t="s">
        <v>1216</v>
      </c>
      <c r="Q1735" s="2" t="s">
        <v>99</v>
      </c>
      <c r="R1735" s="2" t="s">
        <v>100</v>
      </c>
      <c r="S1735" s="2" t="s">
        <v>4918</v>
      </c>
      <c r="T1735" s="2" t="s">
        <v>1218</v>
      </c>
      <c r="U1735" s="2" t="s">
        <v>1508</v>
      </c>
      <c r="V1735" s="2" t="s">
        <v>645</v>
      </c>
      <c r="W1735" s="2" t="s">
        <v>976</v>
      </c>
      <c r="X1735" s="2" t="s">
        <v>1240</v>
      </c>
      <c r="Y1735" s="2" t="s">
        <v>100</v>
      </c>
      <c r="Z1735" s="4"/>
      <c r="AA1735" s="4">
        <f>=ROUNDDOWN({0},0)</f>
      </c>
      <c r="AB1735" s="5"/>
      <c r="AC1735" s="2" t="s">
        <v>100</v>
      </c>
      <c r="AD1735" s="4"/>
      <c r="AE1735" s="4"/>
      <c r="AF1735" s="6">
        <v>63</v>
      </c>
      <c r="AG1735" s="6">
        <v>46</v>
      </c>
      <c r="AH1735" s="7">
        <v>0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>
        <v>0</v>
      </c>
      <c r="AP1735" s="4"/>
      <c r="AQ1735" s="8"/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/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/>
      <c r="BJ1735" s="4"/>
      <c r="BK1735" s="8"/>
      <c r="BL1735" s="2" t="s">
        <v>100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1338</v>
      </c>
      <c r="BV1735" s="2" t="s">
        <v>97</v>
      </c>
      <c r="BW1735" s="2" t="s">
        <v>100</v>
      </c>
      <c r="BX1735" s="2" t="s">
        <v>100</v>
      </c>
      <c r="BY1735" s="2" t="s">
        <v>112</v>
      </c>
      <c r="BZ1735" s="2" t="s">
        <v>100</v>
      </c>
    </row>
    <row r="1736">
      <c r="A1736" s="2" t="s">
        <v>5126</v>
      </c>
      <c r="B1736" s="2" t="s">
        <v>87</v>
      </c>
      <c r="C1736" s="2" t="s">
        <v>4613</v>
      </c>
      <c r="D1736" s="2" t="s">
        <v>3079</v>
      </c>
      <c r="E1736" s="2" t="s">
        <v>3080</v>
      </c>
      <c r="F1736" s="2" t="s">
        <v>4973</v>
      </c>
      <c r="G1736" s="2" t="s">
        <v>4973</v>
      </c>
      <c r="H1736" s="2" t="s">
        <v>4973</v>
      </c>
      <c r="I1736" s="2" t="s">
        <v>5127</v>
      </c>
      <c r="J1736" s="2" t="s">
        <v>673</v>
      </c>
      <c r="K1736" s="2" t="s">
        <v>1263</v>
      </c>
      <c r="L1736" s="3">
        <v>14.28</v>
      </c>
      <c r="M1736" s="3">
        <v>14.99</v>
      </c>
      <c r="N1736" s="3">
        <v>29.99</v>
      </c>
      <c r="O1736" s="2" t="s">
        <v>473</v>
      </c>
      <c r="P1736" s="2" t="s">
        <v>447</v>
      </c>
      <c r="Q1736" s="2" t="s">
        <v>99</v>
      </c>
      <c r="R1736" s="2" t="s">
        <v>100</v>
      </c>
      <c r="S1736" s="2" t="s">
        <v>4981</v>
      </c>
      <c r="T1736" s="2" t="s">
        <v>787</v>
      </c>
      <c r="U1736" s="2" t="s">
        <v>2150</v>
      </c>
      <c r="V1736" s="2" t="s">
        <v>645</v>
      </c>
      <c r="W1736" s="2" t="s">
        <v>105</v>
      </c>
      <c r="X1736" s="2" t="s">
        <v>1064</v>
      </c>
      <c r="Y1736" s="2" t="s">
        <v>4676</v>
      </c>
      <c r="Z1736" s="4">
        <v>230</v>
      </c>
      <c r="AA1736" s="4">
        <f>=ROUNDDOWN(38.3333333333333,0)</f>
      </c>
      <c r="AB1736" s="5">
        <v>6</v>
      </c>
      <c r="AC1736" s="2" t="s">
        <v>100</v>
      </c>
      <c r="AD1736" s="4"/>
      <c r="AE1736" s="4"/>
      <c r="AF1736" s="6">
        <v>63</v>
      </c>
      <c r="AG1736" s="6">
        <v>46</v>
      </c>
      <c r="AH1736" s="7">
        <v>1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>
        <v>0</v>
      </c>
      <c r="AP1736" s="4"/>
      <c r="AQ1736" s="8"/>
      <c r="AR1736" s="4"/>
      <c r="AS1736" s="8"/>
      <c r="AT1736" s="7"/>
      <c r="AU1736" s="7"/>
      <c r="AV1736" s="4" t="s">
        <v>100</v>
      </c>
      <c r="AW1736" s="8" t="s">
        <v>100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/>
      <c r="BC1736" s="4" t="s">
        <v>100</v>
      </c>
      <c r="BD1736" s="8" t="s">
        <v>100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/>
      <c r="BJ1736" s="4">
        <v>4</v>
      </c>
      <c r="BK1736" s="8">
        <v>43.56</v>
      </c>
      <c r="BL1736" s="2" t="s">
        <v>534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109</v>
      </c>
      <c r="BV1736" s="2" t="s">
        <v>97</v>
      </c>
      <c r="BW1736" s="2" t="s">
        <v>3735</v>
      </c>
      <c r="BX1736" s="2" t="s">
        <v>100</v>
      </c>
      <c r="BY1736" s="2" t="s">
        <v>112</v>
      </c>
      <c r="BZ1736" s="2" t="s">
        <v>100</v>
      </c>
    </row>
    <row r="1737">
      <c r="A1737" s="2" t="s">
        <v>5128</v>
      </c>
      <c r="B1737" s="2" t="s">
        <v>87</v>
      </c>
      <c r="C1737" s="2" t="s">
        <v>4613</v>
      </c>
      <c r="D1737" s="2" t="s">
        <v>3079</v>
      </c>
      <c r="E1737" s="2" t="s">
        <v>3080</v>
      </c>
      <c r="F1737" s="2" t="s">
        <v>4973</v>
      </c>
      <c r="G1737" s="2" t="s">
        <v>4973</v>
      </c>
      <c r="H1737" s="2" t="s">
        <v>4973</v>
      </c>
      <c r="I1737" s="2" t="s">
        <v>5127</v>
      </c>
      <c r="J1737" s="2" t="s">
        <v>785</v>
      </c>
      <c r="K1737" s="2" t="s">
        <v>1263</v>
      </c>
      <c r="L1737" s="3">
        <v>17.85</v>
      </c>
      <c r="M1737" s="3">
        <v>18.74</v>
      </c>
      <c r="N1737" s="3">
        <v>37.49</v>
      </c>
      <c r="O1737" s="2" t="s">
        <v>473</v>
      </c>
      <c r="P1737" s="2" t="s">
        <v>447</v>
      </c>
      <c r="Q1737" s="2" t="s">
        <v>99</v>
      </c>
      <c r="R1737" s="2" t="s">
        <v>100</v>
      </c>
      <c r="S1737" s="2" t="s">
        <v>4981</v>
      </c>
      <c r="T1737" s="2" t="s">
        <v>787</v>
      </c>
      <c r="U1737" s="2" t="s">
        <v>1508</v>
      </c>
      <c r="V1737" s="2" t="s">
        <v>645</v>
      </c>
      <c r="W1737" s="2" t="s">
        <v>105</v>
      </c>
      <c r="X1737" s="2" t="s">
        <v>1064</v>
      </c>
      <c r="Y1737" s="2" t="s">
        <v>4676</v>
      </c>
      <c r="Z1737" s="4">
        <v>3004</v>
      </c>
      <c r="AA1737" s="4">
        <f>=ROUNDDOWN(300.4,0)</f>
      </c>
      <c r="AB1737" s="5">
        <v>10</v>
      </c>
      <c r="AC1737" s="2" t="s">
        <v>100</v>
      </c>
      <c r="AD1737" s="4"/>
      <c r="AE1737" s="4"/>
      <c r="AF1737" s="6">
        <v>63</v>
      </c>
      <c r="AG1737" s="6">
        <v>46</v>
      </c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>
        <v>0</v>
      </c>
      <c r="AP1737" s="4"/>
      <c r="AQ1737" s="8"/>
      <c r="AR1737" s="4"/>
      <c r="AS1737" s="8"/>
      <c r="AT1737" s="7"/>
      <c r="AU1737" s="7"/>
      <c r="AV1737" s="4" t="s">
        <v>100</v>
      </c>
      <c r="AW1737" s="8" t="s">
        <v>100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/>
      <c r="BC1737" s="4" t="s">
        <v>100</v>
      </c>
      <c r="BD1737" s="8" t="s">
        <v>100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/>
      <c r="BJ1737" s="4"/>
      <c r="BK1737" s="8"/>
      <c r="BL1737" s="2" t="s">
        <v>100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109</v>
      </c>
      <c r="BV1737" s="2" t="s">
        <v>97</v>
      </c>
      <c r="BW1737" s="2" t="s">
        <v>3735</v>
      </c>
      <c r="BX1737" s="2" t="s">
        <v>4624</v>
      </c>
      <c r="BY1737" s="2" t="s">
        <v>112</v>
      </c>
      <c r="BZ1737" s="2" t="s">
        <v>100</v>
      </c>
    </row>
    <row r="1738">
      <c r="A1738" s="2" t="s">
        <v>5129</v>
      </c>
      <c r="B1738" s="2" t="s">
        <v>87</v>
      </c>
      <c r="C1738" s="2" t="s">
        <v>4613</v>
      </c>
      <c r="D1738" s="2" t="s">
        <v>3079</v>
      </c>
      <c r="E1738" s="2" t="s">
        <v>3080</v>
      </c>
      <c r="F1738" s="2" t="s">
        <v>4973</v>
      </c>
      <c r="G1738" s="2" t="s">
        <v>4973</v>
      </c>
      <c r="H1738" s="2" t="s">
        <v>4973</v>
      </c>
      <c r="I1738" s="2" t="s">
        <v>5127</v>
      </c>
      <c r="J1738" s="2" t="s">
        <v>795</v>
      </c>
      <c r="K1738" s="2" t="s">
        <v>1263</v>
      </c>
      <c r="L1738" s="3">
        <v>20.23</v>
      </c>
      <c r="M1738" s="3">
        <v>21.24</v>
      </c>
      <c r="N1738" s="3">
        <v>42.49</v>
      </c>
      <c r="O1738" s="2" t="s">
        <v>473</v>
      </c>
      <c r="P1738" s="2" t="s">
        <v>447</v>
      </c>
      <c r="Q1738" s="2" t="s">
        <v>99</v>
      </c>
      <c r="R1738" s="2" t="s">
        <v>100</v>
      </c>
      <c r="S1738" s="2" t="s">
        <v>4981</v>
      </c>
      <c r="T1738" s="2" t="s">
        <v>787</v>
      </c>
      <c r="U1738" s="2" t="s">
        <v>1508</v>
      </c>
      <c r="V1738" s="2" t="s">
        <v>645</v>
      </c>
      <c r="W1738" s="2" t="s">
        <v>105</v>
      </c>
      <c r="X1738" s="2" t="s">
        <v>1064</v>
      </c>
      <c r="Y1738" s="2" t="s">
        <v>4676</v>
      </c>
      <c r="Z1738" s="4">
        <v>669</v>
      </c>
      <c r="AA1738" s="4">
        <f>=ROUNDDOWN(167.25,0)</f>
      </c>
      <c r="AB1738" s="5">
        <v>4</v>
      </c>
      <c r="AC1738" s="2" t="s">
        <v>100</v>
      </c>
      <c r="AD1738" s="4"/>
      <c r="AE1738" s="4"/>
      <c r="AF1738" s="6">
        <v>63</v>
      </c>
      <c r="AG1738" s="6">
        <v>46</v>
      </c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>
        <v>0</v>
      </c>
      <c r="AP1738" s="4"/>
      <c r="AQ1738" s="8"/>
      <c r="AR1738" s="4"/>
      <c r="AS1738" s="8"/>
      <c r="AT1738" s="7"/>
      <c r="AU1738" s="7"/>
      <c r="AV1738" s="4" t="s">
        <v>100</v>
      </c>
      <c r="AW1738" s="8" t="s">
        <v>100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/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/>
      <c r="BJ1738" s="4">
        <v>1</v>
      </c>
      <c r="BK1738" s="8">
        <v>20.23</v>
      </c>
      <c r="BL1738" s="2" t="s">
        <v>715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109</v>
      </c>
      <c r="BV1738" s="2" t="s">
        <v>97</v>
      </c>
      <c r="BW1738" s="2" t="s">
        <v>3735</v>
      </c>
      <c r="BX1738" s="2" t="s">
        <v>100</v>
      </c>
      <c r="BY1738" s="2" t="s">
        <v>112</v>
      </c>
      <c r="BZ1738" s="2" t="s">
        <v>100</v>
      </c>
    </row>
    <row r="1739">
      <c r="A1739" s="2" t="s">
        <v>5130</v>
      </c>
      <c r="B1739" s="2" t="s">
        <v>87</v>
      </c>
      <c r="C1739" s="2" t="s">
        <v>4613</v>
      </c>
      <c r="D1739" s="2" t="s">
        <v>3079</v>
      </c>
      <c r="E1739" s="2" t="s">
        <v>3080</v>
      </c>
      <c r="F1739" s="2" t="s">
        <v>4973</v>
      </c>
      <c r="G1739" s="2" t="s">
        <v>4973</v>
      </c>
      <c r="H1739" s="2" t="s">
        <v>4973</v>
      </c>
      <c r="I1739" s="2" t="s">
        <v>5127</v>
      </c>
      <c r="J1739" s="2" t="s">
        <v>673</v>
      </c>
      <c r="K1739" s="2" t="s">
        <v>4975</v>
      </c>
      <c r="L1739" s="3">
        <v>14.28</v>
      </c>
      <c r="M1739" s="3">
        <v>14.99</v>
      </c>
      <c r="N1739" s="3">
        <v>29.99</v>
      </c>
      <c r="O1739" s="2" t="s">
        <v>473</v>
      </c>
      <c r="P1739" s="2" t="s">
        <v>447</v>
      </c>
      <c r="Q1739" s="2" t="s">
        <v>99</v>
      </c>
      <c r="R1739" s="2" t="s">
        <v>100</v>
      </c>
      <c r="S1739" s="2" t="s">
        <v>4976</v>
      </c>
      <c r="T1739" s="2" t="s">
        <v>787</v>
      </c>
      <c r="U1739" s="2" t="s">
        <v>2150</v>
      </c>
      <c r="V1739" s="2" t="s">
        <v>645</v>
      </c>
      <c r="W1739" s="2" t="s">
        <v>105</v>
      </c>
      <c r="X1739" s="2" t="s">
        <v>1064</v>
      </c>
      <c r="Y1739" s="2" t="s">
        <v>4676</v>
      </c>
      <c r="Z1739" s="4">
        <v>164</v>
      </c>
      <c r="AA1739" s="4">
        <f>=ROUNDDOWN(82,0)</f>
      </c>
      <c r="AB1739" s="5">
        <v>2</v>
      </c>
      <c r="AC1739" s="2" t="s">
        <v>400</v>
      </c>
      <c r="AD1739" s="4">
        <v>100</v>
      </c>
      <c r="AE1739" s="4">
        <v>100</v>
      </c>
      <c r="AF1739" s="6">
        <v>63</v>
      </c>
      <c r="AG1739" s="6">
        <v>46</v>
      </c>
      <c r="AH1739" s="7">
        <v>1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>
        <v>0</v>
      </c>
      <c r="AP1739" s="4"/>
      <c r="AQ1739" s="8"/>
      <c r="AR1739" s="4"/>
      <c r="AS1739" s="8"/>
      <c r="AT1739" s="7"/>
      <c r="AU1739" s="7"/>
      <c r="AV1739" s="4" t="s">
        <v>100</v>
      </c>
      <c r="AW1739" s="8" t="s">
        <v>100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/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/>
      <c r="BJ1739" s="4">
        <v>1</v>
      </c>
      <c r="BK1739" s="8">
        <v>14.28</v>
      </c>
      <c r="BL1739" s="2" t="s">
        <v>715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109</v>
      </c>
      <c r="BV1739" s="2" t="s">
        <v>97</v>
      </c>
      <c r="BW1739" s="2" t="s">
        <v>3735</v>
      </c>
      <c r="BX1739" s="2" t="s">
        <v>100</v>
      </c>
      <c r="BY1739" s="2" t="s">
        <v>112</v>
      </c>
      <c r="BZ1739" s="2" t="s">
        <v>100</v>
      </c>
    </row>
    <row r="1740">
      <c r="A1740" s="2" t="s">
        <v>5131</v>
      </c>
      <c r="B1740" s="2" t="s">
        <v>87</v>
      </c>
      <c r="C1740" s="2" t="s">
        <v>4613</v>
      </c>
      <c r="D1740" s="2" t="s">
        <v>3079</v>
      </c>
      <c r="E1740" s="2" t="s">
        <v>3080</v>
      </c>
      <c r="F1740" s="2" t="s">
        <v>4973</v>
      </c>
      <c r="G1740" s="2" t="s">
        <v>4973</v>
      </c>
      <c r="H1740" s="2" t="s">
        <v>4973</v>
      </c>
      <c r="I1740" s="2" t="s">
        <v>5127</v>
      </c>
      <c r="J1740" s="2" t="s">
        <v>785</v>
      </c>
      <c r="K1740" s="2" t="s">
        <v>4975</v>
      </c>
      <c r="L1740" s="3">
        <v>17.85</v>
      </c>
      <c r="M1740" s="3">
        <v>18.74</v>
      </c>
      <c r="N1740" s="3">
        <v>37.49</v>
      </c>
      <c r="O1740" s="2" t="s">
        <v>473</v>
      </c>
      <c r="P1740" s="2" t="s">
        <v>447</v>
      </c>
      <c r="Q1740" s="2" t="s">
        <v>99</v>
      </c>
      <c r="R1740" s="2" t="s">
        <v>100</v>
      </c>
      <c r="S1740" s="2" t="s">
        <v>4976</v>
      </c>
      <c r="T1740" s="2" t="s">
        <v>787</v>
      </c>
      <c r="U1740" s="2" t="s">
        <v>1508</v>
      </c>
      <c r="V1740" s="2" t="s">
        <v>645</v>
      </c>
      <c r="W1740" s="2" t="s">
        <v>105</v>
      </c>
      <c r="X1740" s="2" t="s">
        <v>1064</v>
      </c>
      <c r="Y1740" s="2" t="s">
        <v>4676</v>
      </c>
      <c r="Z1740" s="4">
        <v>550</v>
      </c>
      <c r="AA1740" s="4">
        <f>=ROUNDDOWN(91.6666666666667,0)</f>
      </c>
      <c r="AB1740" s="5">
        <v>6</v>
      </c>
      <c r="AC1740" s="2" t="s">
        <v>100</v>
      </c>
      <c r="AD1740" s="4"/>
      <c r="AE1740" s="4"/>
      <c r="AF1740" s="6">
        <v>63</v>
      </c>
      <c r="AG1740" s="6">
        <v>46</v>
      </c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>
        <v>0</v>
      </c>
      <c r="AP1740" s="4"/>
      <c r="AQ1740" s="8"/>
      <c r="AR1740" s="4"/>
      <c r="AS1740" s="8"/>
      <c r="AT1740" s="7"/>
      <c r="AU1740" s="7"/>
      <c r="AV1740" s="4" t="s">
        <v>100</v>
      </c>
      <c r="AW1740" s="8" t="s">
        <v>100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/>
      <c r="BC1740" s="4" t="s">
        <v>100</v>
      </c>
      <c r="BD1740" s="8" t="s">
        <v>100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/>
      <c r="BJ1740" s="4">
        <v>1</v>
      </c>
      <c r="BK1740" s="8">
        <v>17.85</v>
      </c>
      <c r="BL1740" s="2" t="s">
        <v>715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109</v>
      </c>
      <c r="BV1740" s="2" t="s">
        <v>97</v>
      </c>
      <c r="BW1740" s="2" t="s">
        <v>3735</v>
      </c>
      <c r="BX1740" s="2" t="s">
        <v>100</v>
      </c>
      <c r="BY1740" s="2" t="s">
        <v>112</v>
      </c>
      <c r="BZ1740" s="2" t="s">
        <v>100</v>
      </c>
    </row>
    <row r="1741">
      <c r="A1741" s="2" t="s">
        <v>5132</v>
      </c>
      <c r="B1741" s="2" t="s">
        <v>87</v>
      </c>
      <c r="C1741" s="2" t="s">
        <v>4613</v>
      </c>
      <c r="D1741" s="2" t="s">
        <v>3079</v>
      </c>
      <c r="E1741" s="2" t="s">
        <v>3080</v>
      </c>
      <c r="F1741" s="2" t="s">
        <v>4973</v>
      </c>
      <c r="G1741" s="2" t="s">
        <v>4973</v>
      </c>
      <c r="H1741" s="2" t="s">
        <v>4973</v>
      </c>
      <c r="I1741" s="2" t="s">
        <v>5127</v>
      </c>
      <c r="J1741" s="2" t="s">
        <v>795</v>
      </c>
      <c r="K1741" s="2" t="s">
        <v>4975</v>
      </c>
      <c r="L1741" s="3">
        <v>20.23</v>
      </c>
      <c r="M1741" s="3">
        <v>21.24</v>
      </c>
      <c r="N1741" s="3">
        <v>42.49</v>
      </c>
      <c r="O1741" s="2" t="s">
        <v>473</v>
      </c>
      <c r="P1741" s="2" t="s">
        <v>447</v>
      </c>
      <c r="Q1741" s="2" t="s">
        <v>99</v>
      </c>
      <c r="R1741" s="2" t="s">
        <v>100</v>
      </c>
      <c r="S1741" s="2" t="s">
        <v>4976</v>
      </c>
      <c r="T1741" s="2" t="s">
        <v>787</v>
      </c>
      <c r="U1741" s="2" t="s">
        <v>1508</v>
      </c>
      <c r="V1741" s="2" t="s">
        <v>645</v>
      </c>
      <c r="W1741" s="2" t="s">
        <v>105</v>
      </c>
      <c r="X1741" s="2" t="s">
        <v>1064</v>
      </c>
      <c r="Y1741" s="2" t="s">
        <v>4676</v>
      </c>
      <c r="Z1741" s="4">
        <v>428</v>
      </c>
      <c r="AA1741" s="4">
        <f>=ROUNDDOWN(61.1428571428571,0)</f>
      </c>
      <c r="AB1741" s="5">
        <v>7</v>
      </c>
      <c r="AC1741" s="2" t="s">
        <v>100</v>
      </c>
      <c r="AD1741" s="4"/>
      <c r="AE1741" s="4"/>
      <c r="AF1741" s="6">
        <v>63</v>
      </c>
      <c r="AG1741" s="6">
        <v>46</v>
      </c>
      <c r="AH1741" s="7">
        <v>1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>
        <v>0</v>
      </c>
      <c r="AP1741" s="4"/>
      <c r="AQ1741" s="8"/>
      <c r="AR1741" s="4"/>
      <c r="AS1741" s="8"/>
      <c r="AT1741" s="7"/>
      <c r="AU1741" s="7"/>
      <c r="AV1741" s="4" t="s">
        <v>100</v>
      </c>
      <c r="AW1741" s="8" t="s">
        <v>100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/>
      <c r="BC1741" s="4" t="s">
        <v>100</v>
      </c>
      <c r="BD1741" s="8" t="s">
        <v>100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/>
      <c r="BJ1741" s="4">
        <v>2</v>
      </c>
      <c r="BK1741" s="8">
        <v>41.92</v>
      </c>
      <c r="BL1741" s="2" t="s">
        <v>3827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109</v>
      </c>
      <c r="BV1741" s="2" t="s">
        <v>97</v>
      </c>
      <c r="BW1741" s="2" t="s">
        <v>3735</v>
      </c>
      <c r="BX1741" s="2" t="s">
        <v>100</v>
      </c>
      <c r="BY1741" s="2" t="s">
        <v>112</v>
      </c>
      <c r="BZ1741" s="2" t="s">
        <v>100</v>
      </c>
    </row>
    <row r="1742">
      <c r="A1742" s="2" t="s">
        <v>5133</v>
      </c>
      <c r="B1742" s="2" t="s">
        <v>87</v>
      </c>
      <c r="C1742" s="2" t="s">
        <v>4613</v>
      </c>
      <c r="D1742" s="2" t="s">
        <v>3079</v>
      </c>
      <c r="E1742" s="2" t="s">
        <v>3080</v>
      </c>
      <c r="F1742" s="2" t="s">
        <v>4973</v>
      </c>
      <c r="G1742" s="2" t="s">
        <v>4973</v>
      </c>
      <c r="H1742" s="2" t="s">
        <v>4973</v>
      </c>
      <c r="I1742" s="2" t="s">
        <v>5127</v>
      </c>
      <c r="J1742" s="2" t="s">
        <v>673</v>
      </c>
      <c r="K1742" s="2" t="s">
        <v>175</v>
      </c>
      <c r="L1742" s="3">
        <v>14.28</v>
      </c>
      <c r="M1742" s="3">
        <v>14.99</v>
      </c>
      <c r="N1742" s="3">
        <v>29.99</v>
      </c>
      <c r="O1742" s="2" t="s">
        <v>473</v>
      </c>
      <c r="P1742" s="2" t="s">
        <v>447</v>
      </c>
      <c r="Q1742" s="2" t="s">
        <v>99</v>
      </c>
      <c r="R1742" s="2" t="s">
        <v>100</v>
      </c>
      <c r="S1742" s="2" t="s">
        <v>4986</v>
      </c>
      <c r="T1742" s="2" t="s">
        <v>787</v>
      </c>
      <c r="U1742" s="2" t="s">
        <v>2150</v>
      </c>
      <c r="V1742" s="2" t="s">
        <v>645</v>
      </c>
      <c r="W1742" s="2" t="s">
        <v>105</v>
      </c>
      <c r="X1742" s="2" t="s">
        <v>1064</v>
      </c>
      <c r="Y1742" s="2" t="s">
        <v>4676</v>
      </c>
      <c r="Z1742" s="4">
        <v>119</v>
      </c>
      <c r="AA1742" s="4">
        <f>=ROUNDDOWN(29.75,0)</f>
      </c>
      <c r="AB1742" s="5">
        <v>4</v>
      </c>
      <c r="AC1742" s="2" t="s">
        <v>100</v>
      </c>
      <c r="AD1742" s="4"/>
      <c r="AE1742" s="4"/>
      <c r="AF1742" s="6">
        <v>63</v>
      </c>
      <c r="AG1742" s="6">
        <v>46</v>
      </c>
      <c r="AH1742" s="7">
        <v>1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>
        <v>0</v>
      </c>
      <c r="AP1742" s="4"/>
      <c r="AQ1742" s="8"/>
      <c r="AR1742" s="4"/>
      <c r="AS1742" s="8"/>
      <c r="AT1742" s="7"/>
      <c r="AU1742" s="7"/>
      <c r="AV1742" s="4" t="s">
        <v>100</v>
      </c>
      <c r="AW1742" s="8" t="s">
        <v>100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/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/>
      <c r="BJ1742" s="4">
        <v>2</v>
      </c>
      <c r="BK1742" s="8">
        <v>28.56</v>
      </c>
      <c r="BL1742" s="2" t="s">
        <v>715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109</v>
      </c>
      <c r="BV1742" s="2" t="s">
        <v>97</v>
      </c>
      <c r="BW1742" s="2" t="s">
        <v>3735</v>
      </c>
      <c r="BX1742" s="2" t="s">
        <v>100</v>
      </c>
      <c r="BY1742" s="2" t="s">
        <v>112</v>
      </c>
      <c r="BZ1742" s="2" t="s">
        <v>100</v>
      </c>
    </row>
    <row r="1743">
      <c r="A1743" s="2" t="s">
        <v>5134</v>
      </c>
      <c r="B1743" s="2" t="s">
        <v>87</v>
      </c>
      <c r="C1743" s="2" t="s">
        <v>4613</v>
      </c>
      <c r="D1743" s="2" t="s">
        <v>3079</v>
      </c>
      <c r="E1743" s="2" t="s">
        <v>3080</v>
      </c>
      <c r="F1743" s="2" t="s">
        <v>4973</v>
      </c>
      <c r="G1743" s="2" t="s">
        <v>4973</v>
      </c>
      <c r="H1743" s="2" t="s">
        <v>4973</v>
      </c>
      <c r="I1743" s="2" t="s">
        <v>5127</v>
      </c>
      <c r="J1743" s="2" t="s">
        <v>785</v>
      </c>
      <c r="K1743" s="2" t="s">
        <v>175</v>
      </c>
      <c r="L1743" s="3">
        <v>17.85</v>
      </c>
      <c r="M1743" s="3">
        <v>18.74</v>
      </c>
      <c r="N1743" s="3">
        <v>37.49</v>
      </c>
      <c r="O1743" s="2" t="s">
        <v>473</v>
      </c>
      <c r="P1743" s="2" t="s">
        <v>447</v>
      </c>
      <c r="Q1743" s="2" t="s">
        <v>99</v>
      </c>
      <c r="R1743" s="2" t="s">
        <v>100</v>
      </c>
      <c r="S1743" s="2" t="s">
        <v>4986</v>
      </c>
      <c r="T1743" s="2" t="s">
        <v>787</v>
      </c>
      <c r="U1743" s="2" t="s">
        <v>1508</v>
      </c>
      <c r="V1743" s="2" t="s">
        <v>645</v>
      </c>
      <c r="W1743" s="2" t="s">
        <v>105</v>
      </c>
      <c r="X1743" s="2" t="s">
        <v>1064</v>
      </c>
      <c r="Y1743" s="2" t="s">
        <v>4676</v>
      </c>
      <c r="Z1743" s="4">
        <v>327</v>
      </c>
      <c r="AA1743" s="4">
        <f>=ROUNDDOWN(81.75,0)</f>
      </c>
      <c r="AB1743" s="5">
        <v>4</v>
      </c>
      <c r="AC1743" s="2" t="s">
        <v>100</v>
      </c>
      <c r="AD1743" s="4"/>
      <c r="AE1743" s="4"/>
      <c r="AF1743" s="6">
        <v>63</v>
      </c>
      <c r="AG1743" s="6">
        <v>46</v>
      </c>
      <c r="AH1743" s="7">
        <v>1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>
        <v>0</v>
      </c>
      <c r="AP1743" s="4"/>
      <c r="AQ1743" s="8"/>
      <c r="AR1743" s="4"/>
      <c r="AS1743" s="8"/>
      <c r="AT1743" s="7"/>
      <c r="AU1743" s="7"/>
      <c r="AV1743" s="4" t="s">
        <v>100</v>
      </c>
      <c r="AW1743" s="8" t="s">
        <v>100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/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/>
      <c r="BJ1743" s="4">
        <v>1</v>
      </c>
      <c r="BK1743" s="8">
        <v>17.85</v>
      </c>
      <c r="BL1743" s="2" t="s">
        <v>1310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109</v>
      </c>
      <c r="BV1743" s="2" t="s">
        <v>97</v>
      </c>
      <c r="BW1743" s="2" t="s">
        <v>3735</v>
      </c>
      <c r="BX1743" s="2" t="s">
        <v>100</v>
      </c>
      <c r="BY1743" s="2" t="s">
        <v>112</v>
      </c>
      <c r="BZ1743" s="2" t="s">
        <v>100</v>
      </c>
    </row>
    <row r="1744">
      <c r="A1744" s="2" t="s">
        <v>5135</v>
      </c>
      <c r="B1744" s="2" t="s">
        <v>87</v>
      </c>
      <c r="C1744" s="2" t="s">
        <v>4613</v>
      </c>
      <c r="D1744" s="2" t="s">
        <v>3079</v>
      </c>
      <c r="E1744" s="2" t="s">
        <v>3080</v>
      </c>
      <c r="F1744" s="2" t="s">
        <v>4973</v>
      </c>
      <c r="G1744" s="2" t="s">
        <v>4973</v>
      </c>
      <c r="H1744" s="2" t="s">
        <v>4973</v>
      </c>
      <c r="I1744" s="2" t="s">
        <v>5127</v>
      </c>
      <c r="J1744" s="2" t="s">
        <v>795</v>
      </c>
      <c r="K1744" s="2" t="s">
        <v>175</v>
      </c>
      <c r="L1744" s="3">
        <v>20.23</v>
      </c>
      <c r="M1744" s="3">
        <v>21.24</v>
      </c>
      <c r="N1744" s="3">
        <v>42.49</v>
      </c>
      <c r="O1744" s="2" t="s">
        <v>473</v>
      </c>
      <c r="P1744" s="2" t="s">
        <v>447</v>
      </c>
      <c r="Q1744" s="2" t="s">
        <v>99</v>
      </c>
      <c r="R1744" s="2" t="s">
        <v>100</v>
      </c>
      <c r="S1744" s="2" t="s">
        <v>4986</v>
      </c>
      <c r="T1744" s="2" t="s">
        <v>787</v>
      </c>
      <c r="U1744" s="2" t="s">
        <v>1508</v>
      </c>
      <c r="V1744" s="2" t="s">
        <v>645</v>
      </c>
      <c r="W1744" s="2" t="s">
        <v>105</v>
      </c>
      <c r="X1744" s="2" t="s">
        <v>1064</v>
      </c>
      <c r="Y1744" s="2" t="s">
        <v>4676</v>
      </c>
      <c r="Z1744" s="4">
        <v>592</v>
      </c>
      <c r="AA1744" s="4">
        <f>=ROUNDDOWN(118.4,0)</f>
      </c>
      <c r="AB1744" s="5">
        <v>5</v>
      </c>
      <c r="AC1744" s="2" t="s">
        <v>100</v>
      </c>
      <c r="AD1744" s="4"/>
      <c r="AE1744" s="4"/>
      <c r="AF1744" s="6">
        <v>63</v>
      </c>
      <c r="AG1744" s="6">
        <v>46</v>
      </c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>
        <v>0</v>
      </c>
      <c r="AP1744" s="4"/>
      <c r="AQ1744" s="8"/>
      <c r="AR1744" s="4"/>
      <c r="AS1744" s="8"/>
      <c r="AT1744" s="7"/>
      <c r="AU1744" s="7"/>
      <c r="AV1744" s="4" t="s">
        <v>100</v>
      </c>
      <c r="AW1744" s="8" t="s">
        <v>100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/>
      <c r="BC1744" s="4" t="s">
        <v>100</v>
      </c>
      <c r="BD1744" s="8" t="s">
        <v>100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/>
      <c r="BJ1744" s="4">
        <v>3</v>
      </c>
      <c r="BK1744" s="8">
        <v>60.69</v>
      </c>
      <c r="BL1744" s="2" t="s">
        <v>2799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109</v>
      </c>
      <c r="BV1744" s="2" t="s">
        <v>97</v>
      </c>
      <c r="BW1744" s="2" t="s">
        <v>3735</v>
      </c>
      <c r="BX1744" s="2" t="s">
        <v>100</v>
      </c>
      <c r="BY1744" s="2" t="s">
        <v>112</v>
      </c>
      <c r="BZ1744" s="2" t="s">
        <v>100</v>
      </c>
    </row>
    <row r="1745">
      <c r="A1745" s="2" t="s">
        <v>5136</v>
      </c>
      <c r="B1745" s="2" t="s">
        <v>87</v>
      </c>
      <c r="C1745" s="2" t="s">
        <v>4613</v>
      </c>
      <c r="D1745" s="2" t="s">
        <v>5137</v>
      </c>
      <c r="E1745" s="2" t="s">
        <v>2656</v>
      </c>
      <c r="F1745" s="2" t="s">
        <v>4648</v>
      </c>
      <c r="G1745" s="2" t="s">
        <v>4649</v>
      </c>
      <c r="H1745" s="2" t="s">
        <v>4650</v>
      </c>
      <c r="I1745" s="2" t="s">
        <v>5138</v>
      </c>
      <c r="J1745" s="2" t="s">
        <v>673</v>
      </c>
      <c r="K1745" s="2" t="s">
        <v>1263</v>
      </c>
      <c r="L1745" s="3">
        <v>21.42</v>
      </c>
      <c r="M1745" s="3">
        <v>22.49</v>
      </c>
      <c r="N1745" s="3">
        <v>49.99</v>
      </c>
      <c r="O1745" s="2" t="s">
        <v>97</v>
      </c>
      <c r="P1745" s="2" t="s">
        <v>1216</v>
      </c>
      <c r="Q1745" s="2" t="s">
        <v>99</v>
      </c>
      <c r="R1745" s="2" t="s">
        <v>100</v>
      </c>
      <c r="S1745" s="2" t="s">
        <v>5139</v>
      </c>
      <c r="T1745" s="2" t="s">
        <v>1218</v>
      </c>
      <c r="U1745" s="2" t="s">
        <v>2150</v>
      </c>
      <c r="V1745" s="2" t="s">
        <v>645</v>
      </c>
      <c r="W1745" s="2" t="s">
        <v>976</v>
      </c>
      <c r="X1745" s="2" t="s">
        <v>105</v>
      </c>
      <c r="Y1745" s="2" t="s">
        <v>100</v>
      </c>
      <c r="Z1745" s="4"/>
      <c r="AA1745" s="4">
        <f>=ROUNDDOWN({0},0)</f>
      </c>
      <c r="AB1745" s="5"/>
      <c r="AC1745" s="2" t="s">
        <v>2404</v>
      </c>
      <c r="AD1745" s="4">
        <v>87</v>
      </c>
      <c r="AE1745" s="4">
        <v>201</v>
      </c>
      <c r="AF1745" s="6">
        <v>64</v>
      </c>
      <c r="AG1745" s="6">
        <v>47</v>
      </c>
      <c r="AH1745" s="7">
        <v>0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>
        <v>0</v>
      </c>
      <c r="AP1745" s="4"/>
      <c r="AQ1745" s="8"/>
      <c r="AR1745" s="4"/>
      <c r="AS1745" s="8"/>
      <c r="AT1745" s="7"/>
      <c r="AU1745" s="7"/>
      <c r="AV1745" s="4" t="s">
        <v>100</v>
      </c>
      <c r="AW1745" s="8" t="s">
        <v>100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/>
      <c r="BC1745" s="4" t="s">
        <v>100</v>
      </c>
      <c r="BD1745" s="8" t="s">
        <v>100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/>
      <c r="BJ1745" s="4"/>
      <c r="BK1745" s="8"/>
      <c r="BL1745" s="2" t="s">
        <v>100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1338</v>
      </c>
      <c r="BV1745" s="2" t="s">
        <v>97</v>
      </c>
      <c r="BW1745" s="2" t="s">
        <v>100</v>
      </c>
      <c r="BX1745" s="2" t="s">
        <v>100</v>
      </c>
      <c r="BY1745" s="2" t="s">
        <v>112</v>
      </c>
      <c r="BZ1745" s="2" t="s">
        <v>100</v>
      </c>
    </row>
    <row r="1746">
      <c r="A1746" s="2" t="s">
        <v>5140</v>
      </c>
      <c r="B1746" s="2" t="s">
        <v>87</v>
      </c>
      <c r="C1746" s="2" t="s">
        <v>4613</v>
      </c>
      <c r="D1746" s="2" t="s">
        <v>5137</v>
      </c>
      <c r="E1746" s="2" t="s">
        <v>2656</v>
      </c>
      <c r="F1746" s="2" t="s">
        <v>4648</v>
      </c>
      <c r="G1746" s="2" t="s">
        <v>4649</v>
      </c>
      <c r="H1746" s="2" t="s">
        <v>4650</v>
      </c>
      <c r="I1746" s="2" t="s">
        <v>5138</v>
      </c>
      <c r="J1746" s="2" t="s">
        <v>785</v>
      </c>
      <c r="K1746" s="2" t="s">
        <v>1263</v>
      </c>
      <c r="L1746" s="3">
        <v>26.19</v>
      </c>
      <c r="M1746" s="3">
        <v>27.5</v>
      </c>
      <c r="N1746" s="3">
        <v>54.99</v>
      </c>
      <c r="O1746" s="2" t="s">
        <v>97</v>
      </c>
      <c r="P1746" s="2" t="s">
        <v>1216</v>
      </c>
      <c r="Q1746" s="2" t="s">
        <v>99</v>
      </c>
      <c r="R1746" s="2" t="s">
        <v>100</v>
      </c>
      <c r="S1746" s="2" t="s">
        <v>5139</v>
      </c>
      <c r="T1746" s="2" t="s">
        <v>1218</v>
      </c>
      <c r="U1746" s="2" t="s">
        <v>1508</v>
      </c>
      <c r="V1746" s="2" t="s">
        <v>645</v>
      </c>
      <c r="W1746" s="2" t="s">
        <v>976</v>
      </c>
      <c r="X1746" s="2" t="s">
        <v>105</v>
      </c>
      <c r="Y1746" s="2" t="s">
        <v>3667</v>
      </c>
      <c r="Z1746" s="4"/>
      <c r="AA1746" s="4">
        <f>=ROUNDDOWN({0},0)</f>
      </c>
      <c r="AB1746" s="5">
        <v>3.5</v>
      </c>
      <c r="AC1746" s="2" t="s">
        <v>2404</v>
      </c>
      <c r="AD1746" s="4">
        <v>276</v>
      </c>
      <c r="AE1746" s="4">
        <v>663</v>
      </c>
      <c r="AF1746" s="6">
        <v>64</v>
      </c>
      <c r="AG1746" s="6">
        <v>47</v>
      </c>
      <c r="AH1746" s="7">
        <v>0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>
        <v>0</v>
      </c>
      <c r="AP1746" s="4"/>
      <c r="AQ1746" s="8"/>
      <c r="AR1746" s="4"/>
      <c r="AS1746" s="8"/>
      <c r="AT1746" s="7"/>
      <c r="AU1746" s="7"/>
      <c r="AV1746" s="4" t="s">
        <v>100</v>
      </c>
      <c r="AW1746" s="8" t="s">
        <v>100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/>
      <c r="BC1746" s="4" t="s">
        <v>100</v>
      </c>
      <c r="BD1746" s="8" t="s">
        <v>100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/>
      <c r="BJ1746" s="4"/>
      <c r="BK1746" s="8"/>
      <c r="BL1746" s="2" t="s">
        <v>100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1338</v>
      </c>
      <c r="BV1746" s="2" t="s">
        <v>97</v>
      </c>
      <c r="BW1746" s="2" t="s">
        <v>100</v>
      </c>
      <c r="BX1746" s="2" t="s">
        <v>100</v>
      </c>
      <c r="BY1746" s="2" t="s">
        <v>112</v>
      </c>
      <c r="BZ1746" s="2" t="s">
        <v>100</v>
      </c>
    </row>
    <row r="1747">
      <c r="A1747" s="2" t="s">
        <v>5141</v>
      </c>
      <c r="B1747" s="2" t="s">
        <v>87</v>
      </c>
      <c r="C1747" s="2" t="s">
        <v>4613</v>
      </c>
      <c r="D1747" s="2" t="s">
        <v>5137</v>
      </c>
      <c r="E1747" s="2" t="s">
        <v>2656</v>
      </c>
      <c r="F1747" s="2" t="s">
        <v>4648</v>
      </c>
      <c r="G1747" s="2" t="s">
        <v>4649</v>
      </c>
      <c r="H1747" s="2" t="s">
        <v>4650</v>
      </c>
      <c r="I1747" s="2" t="s">
        <v>5138</v>
      </c>
      <c r="J1747" s="2" t="s">
        <v>795</v>
      </c>
      <c r="K1747" s="2" t="s">
        <v>1263</v>
      </c>
      <c r="L1747" s="3">
        <v>28.57</v>
      </c>
      <c r="M1747" s="3">
        <v>30</v>
      </c>
      <c r="N1747" s="3">
        <v>59.99</v>
      </c>
      <c r="O1747" s="2" t="s">
        <v>97</v>
      </c>
      <c r="P1747" s="2" t="s">
        <v>1216</v>
      </c>
      <c r="Q1747" s="2" t="s">
        <v>99</v>
      </c>
      <c r="R1747" s="2" t="s">
        <v>100</v>
      </c>
      <c r="S1747" s="2" t="s">
        <v>5139</v>
      </c>
      <c r="T1747" s="2" t="s">
        <v>1218</v>
      </c>
      <c r="U1747" s="2" t="s">
        <v>1508</v>
      </c>
      <c r="V1747" s="2" t="s">
        <v>645</v>
      </c>
      <c r="W1747" s="2" t="s">
        <v>976</v>
      </c>
      <c r="X1747" s="2" t="s">
        <v>105</v>
      </c>
      <c r="Y1747" s="2" t="s">
        <v>100</v>
      </c>
      <c r="Z1747" s="4"/>
      <c r="AA1747" s="4">
        <f>=ROUNDDOWN({0},0)</f>
      </c>
      <c r="AB1747" s="5"/>
      <c r="AC1747" s="2" t="s">
        <v>2404</v>
      </c>
      <c r="AD1747" s="4">
        <v>243</v>
      </c>
      <c r="AE1747" s="4">
        <v>576</v>
      </c>
      <c r="AF1747" s="6">
        <v>64</v>
      </c>
      <c r="AG1747" s="6">
        <v>47</v>
      </c>
      <c r="AH1747" s="7">
        <v>0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>
        <v>0</v>
      </c>
      <c r="AP1747" s="4"/>
      <c r="AQ1747" s="8"/>
      <c r="AR1747" s="4"/>
      <c r="AS1747" s="8"/>
      <c r="AT1747" s="7"/>
      <c r="AU1747" s="7"/>
      <c r="AV1747" s="4" t="s">
        <v>100</v>
      </c>
      <c r="AW1747" s="8" t="s">
        <v>100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/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/>
      <c r="BJ1747" s="4"/>
      <c r="BK1747" s="8"/>
      <c r="BL1747" s="2" t="s">
        <v>100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1338</v>
      </c>
      <c r="BV1747" s="2" t="s">
        <v>97</v>
      </c>
      <c r="BW1747" s="2" t="s">
        <v>100</v>
      </c>
      <c r="BX1747" s="2" t="s">
        <v>100</v>
      </c>
      <c r="BY1747" s="2" t="s">
        <v>112</v>
      </c>
      <c r="BZ1747" s="2" t="s">
        <v>100</v>
      </c>
    </row>
    <row r="1748">
      <c r="A1748" s="2" t="s">
        <v>5142</v>
      </c>
      <c r="B1748" s="2" t="s">
        <v>87</v>
      </c>
      <c r="C1748" s="2" t="s">
        <v>4613</v>
      </c>
      <c r="D1748" s="2" t="s">
        <v>5137</v>
      </c>
      <c r="E1748" s="2" t="s">
        <v>2656</v>
      </c>
      <c r="F1748" s="2" t="s">
        <v>4648</v>
      </c>
      <c r="G1748" s="2" t="s">
        <v>4649</v>
      </c>
      <c r="H1748" s="2" t="s">
        <v>4650</v>
      </c>
      <c r="I1748" s="2" t="s">
        <v>5138</v>
      </c>
      <c r="J1748" s="2" t="s">
        <v>673</v>
      </c>
      <c r="K1748" s="2" t="s">
        <v>409</v>
      </c>
      <c r="L1748" s="3">
        <v>21.42</v>
      </c>
      <c r="M1748" s="3">
        <v>22.49</v>
      </c>
      <c r="N1748" s="3">
        <v>49.99</v>
      </c>
      <c r="O1748" s="2" t="s">
        <v>97</v>
      </c>
      <c r="P1748" s="2" t="s">
        <v>1216</v>
      </c>
      <c r="Q1748" s="2" t="s">
        <v>99</v>
      </c>
      <c r="R1748" s="2" t="s">
        <v>100</v>
      </c>
      <c r="S1748" s="2" t="s">
        <v>5143</v>
      </c>
      <c r="T1748" s="2" t="s">
        <v>1218</v>
      </c>
      <c r="U1748" s="2" t="s">
        <v>2150</v>
      </c>
      <c r="V1748" s="2" t="s">
        <v>645</v>
      </c>
      <c r="W1748" s="2" t="s">
        <v>976</v>
      </c>
      <c r="X1748" s="2" t="s">
        <v>105</v>
      </c>
      <c r="Y1748" s="2" t="s">
        <v>3667</v>
      </c>
      <c r="Z1748" s="4"/>
      <c r="AA1748" s="4">
        <f>=ROUNDDOWN({0},0)</f>
      </c>
      <c r="AB1748" s="5">
        <v>3.5</v>
      </c>
      <c r="AC1748" s="2" t="s">
        <v>2404</v>
      </c>
      <c r="AD1748" s="4">
        <v>135</v>
      </c>
      <c r="AE1748" s="4">
        <v>330</v>
      </c>
      <c r="AF1748" s="6">
        <v>64</v>
      </c>
      <c r="AG1748" s="6">
        <v>47</v>
      </c>
      <c r="AH1748" s="7">
        <v>0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>
        <v>0</v>
      </c>
      <c r="AP1748" s="4"/>
      <c r="AQ1748" s="8"/>
      <c r="AR1748" s="4"/>
      <c r="AS1748" s="8"/>
      <c r="AT1748" s="7"/>
      <c r="AU1748" s="7"/>
      <c r="AV1748" s="4" t="s">
        <v>100</v>
      </c>
      <c r="AW1748" s="8" t="s">
        <v>100</v>
      </c>
      <c r="AX1748" s="4" t="s">
        <v>100</v>
      </c>
      <c r="AY1748" s="8" t="s">
        <v>100</v>
      </c>
      <c r="AZ1748" s="7" t="s">
        <v>100</v>
      </c>
      <c r="BA1748" s="7" t="s">
        <v>100</v>
      </c>
      <c r="BB1748" s="7"/>
      <c r="BC1748" s="4" t="s">
        <v>100</v>
      </c>
      <c r="BD1748" s="8" t="s">
        <v>100</v>
      </c>
      <c r="BE1748" s="4" t="s">
        <v>100</v>
      </c>
      <c r="BF1748" s="8" t="s">
        <v>100</v>
      </c>
      <c r="BG1748" s="7" t="s">
        <v>100</v>
      </c>
      <c r="BH1748" s="7" t="s">
        <v>100</v>
      </c>
      <c r="BI1748" s="7"/>
      <c r="BJ1748" s="4"/>
      <c r="BK1748" s="8"/>
      <c r="BL1748" s="2" t="s">
        <v>100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1338</v>
      </c>
      <c r="BV1748" s="2" t="s">
        <v>97</v>
      </c>
      <c r="BW1748" s="2" t="s">
        <v>100</v>
      </c>
      <c r="BX1748" s="2" t="s">
        <v>100</v>
      </c>
      <c r="BY1748" s="2" t="s">
        <v>112</v>
      </c>
      <c r="BZ1748" s="2" t="s">
        <v>100</v>
      </c>
    </row>
    <row r="1749">
      <c r="A1749" s="2" t="s">
        <v>5144</v>
      </c>
      <c r="B1749" s="2" t="s">
        <v>87</v>
      </c>
      <c r="C1749" s="2" t="s">
        <v>4613</v>
      </c>
      <c r="D1749" s="2" t="s">
        <v>5137</v>
      </c>
      <c r="E1749" s="2" t="s">
        <v>2656</v>
      </c>
      <c r="F1749" s="2" t="s">
        <v>4648</v>
      </c>
      <c r="G1749" s="2" t="s">
        <v>4649</v>
      </c>
      <c r="H1749" s="2" t="s">
        <v>4650</v>
      </c>
      <c r="I1749" s="2" t="s">
        <v>5138</v>
      </c>
      <c r="J1749" s="2" t="s">
        <v>785</v>
      </c>
      <c r="K1749" s="2" t="s">
        <v>409</v>
      </c>
      <c r="L1749" s="3">
        <v>26.19</v>
      </c>
      <c r="M1749" s="3">
        <v>27.5</v>
      </c>
      <c r="N1749" s="3">
        <v>54.99</v>
      </c>
      <c r="O1749" s="2" t="s">
        <v>97</v>
      </c>
      <c r="P1749" s="2" t="s">
        <v>1216</v>
      </c>
      <c r="Q1749" s="2" t="s">
        <v>99</v>
      </c>
      <c r="R1749" s="2" t="s">
        <v>100</v>
      </c>
      <c r="S1749" s="2" t="s">
        <v>5143</v>
      </c>
      <c r="T1749" s="2" t="s">
        <v>1218</v>
      </c>
      <c r="U1749" s="2" t="s">
        <v>1508</v>
      </c>
      <c r="V1749" s="2" t="s">
        <v>645</v>
      </c>
      <c r="W1749" s="2" t="s">
        <v>976</v>
      </c>
      <c r="X1749" s="2" t="s">
        <v>105</v>
      </c>
      <c r="Y1749" s="2" t="s">
        <v>3667</v>
      </c>
      <c r="Z1749" s="4"/>
      <c r="AA1749" s="4">
        <f>=ROUNDDOWN({0},0)</f>
      </c>
      <c r="AB1749" s="5">
        <v>3.5</v>
      </c>
      <c r="AC1749" s="2" t="s">
        <v>2404</v>
      </c>
      <c r="AD1749" s="4">
        <v>351</v>
      </c>
      <c r="AE1749" s="4">
        <v>936</v>
      </c>
      <c r="AF1749" s="6">
        <v>64</v>
      </c>
      <c r="AG1749" s="6">
        <v>47</v>
      </c>
      <c r="AH1749" s="7">
        <v>0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 t="s">
        <v>100</v>
      </c>
      <c r="AW1749" s="8" t="s">
        <v>100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 t="s">
        <v>100</v>
      </c>
      <c r="BD1749" s="8" t="s">
        <v>100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/>
      <c r="BJ1749" s="4"/>
      <c r="BK1749" s="8"/>
      <c r="BL1749" s="2" t="s">
        <v>100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1338</v>
      </c>
      <c r="BV1749" s="2" t="s">
        <v>97</v>
      </c>
      <c r="BW1749" s="2" t="s">
        <v>100</v>
      </c>
      <c r="BX1749" s="2" t="s">
        <v>100</v>
      </c>
      <c r="BY1749" s="2" t="s">
        <v>112</v>
      </c>
      <c r="BZ1749" s="2" t="s">
        <v>100</v>
      </c>
    </row>
    <row r="1750">
      <c r="A1750" s="2" t="s">
        <v>5145</v>
      </c>
      <c r="B1750" s="2" t="s">
        <v>87</v>
      </c>
      <c r="C1750" s="2" t="s">
        <v>4613</v>
      </c>
      <c r="D1750" s="2" t="s">
        <v>5137</v>
      </c>
      <c r="E1750" s="2" t="s">
        <v>2656</v>
      </c>
      <c r="F1750" s="2" t="s">
        <v>4648</v>
      </c>
      <c r="G1750" s="2" t="s">
        <v>4649</v>
      </c>
      <c r="H1750" s="2" t="s">
        <v>4650</v>
      </c>
      <c r="I1750" s="2" t="s">
        <v>5138</v>
      </c>
      <c r="J1750" s="2" t="s">
        <v>795</v>
      </c>
      <c r="K1750" s="2" t="s">
        <v>409</v>
      </c>
      <c r="L1750" s="3">
        <v>28.57</v>
      </c>
      <c r="M1750" s="3">
        <v>30</v>
      </c>
      <c r="N1750" s="3">
        <v>59.99</v>
      </c>
      <c r="O1750" s="2" t="s">
        <v>97</v>
      </c>
      <c r="P1750" s="2" t="s">
        <v>1216</v>
      </c>
      <c r="Q1750" s="2" t="s">
        <v>99</v>
      </c>
      <c r="R1750" s="2" t="s">
        <v>100</v>
      </c>
      <c r="S1750" s="2" t="s">
        <v>5143</v>
      </c>
      <c r="T1750" s="2" t="s">
        <v>1218</v>
      </c>
      <c r="U1750" s="2" t="s">
        <v>1508</v>
      </c>
      <c r="V1750" s="2" t="s">
        <v>645</v>
      </c>
      <c r="W1750" s="2" t="s">
        <v>976</v>
      </c>
      <c r="X1750" s="2" t="s">
        <v>105</v>
      </c>
      <c r="Y1750" s="2" t="s">
        <v>100</v>
      </c>
      <c r="Z1750" s="4"/>
      <c r="AA1750" s="4">
        <f>=ROUNDDOWN({0},0)</f>
      </c>
      <c r="AB1750" s="5"/>
      <c r="AC1750" s="2" t="s">
        <v>2404</v>
      </c>
      <c r="AD1750" s="4">
        <v>336</v>
      </c>
      <c r="AE1750" s="4">
        <v>885</v>
      </c>
      <c r="AF1750" s="6">
        <v>64</v>
      </c>
      <c r="AG1750" s="6">
        <v>47</v>
      </c>
      <c r="AH1750" s="7">
        <v>0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>
        <v>0</v>
      </c>
      <c r="AP1750" s="4"/>
      <c r="AQ1750" s="8"/>
      <c r="AR1750" s="4"/>
      <c r="AS1750" s="8"/>
      <c r="AT1750" s="7"/>
      <c r="AU1750" s="7"/>
      <c r="AV1750" s="4" t="s">
        <v>100</v>
      </c>
      <c r="AW1750" s="8" t="s">
        <v>100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/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/>
      <c r="BJ1750" s="4"/>
      <c r="BK1750" s="8"/>
      <c r="BL1750" s="2" t="s">
        <v>100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1338</v>
      </c>
      <c r="BV1750" s="2" t="s">
        <v>97</v>
      </c>
      <c r="BW1750" s="2" t="s">
        <v>100</v>
      </c>
      <c r="BX1750" s="2" t="s">
        <v>100</v>
      </c>
      <c r="BY1750" s="2" t="s">
        <v>112</v>
      </c>
      <c r="BZ1750" s="2" t="s">
        <v>100</v>
      </c>
    </row>
    <row r="1751">
      <c r="A1751" s="2" t="s">
        <v>5146</v>
      </c>
      <c r="B1751" s="2" t="s">
        <v>87</v>
      </c>
      <c r="C1751" s="2" t="s">
        <v>4613</v>
      </c>
      <c r="D1751" s="2" t="s">
        <v>5137</v>
      </c>
      <c r="E1751" s="2" t="s">
        <v>2656</v>
      </c>
      <c r="F1751" s="2" t="s">
        <v>4648</v>
      </c>
      <c r="G1751" s="2" t="s">
        <v>4649</v>
      </c>
      <c r="H1751" s="2" t="s">
        <v>4650</v>
      </c>
      <c r="I1751" s="2" t="s">
        <v>5138</v>
      </c>
      <c r="J1751" s="2" t="s">
        <v>673</v>
      </c>
      <c r="K1751" s="2" t="s">
        <v>521</v>
      </c>
      <c r="L1751" s="3">
        <v>21.42</v>
      </c>
      <c r="M1751" s="3">
        <v>22.49</v>
      </c>
      <c r="N1751" s="3">
        <v>49.99</v>
      </c>
      <c r="O1751" s="2" t="s">
        <v>97</v>
      </c>
      <c r="P1751" s="2" t="s">
        <v>1216</v>
      </c>
      <c r="Q1751" s="2" t="s">
        <v>99</v>
      </c>
      <c r="R1751" s="2" t="s">
        <v>100</v>
      </c>
      <c r="S1751" s="2" t="s">
        <v>5147</v>
      </c>
      <c r="T1751" s="2" t="s">
        <v>1218</v>
      </c>
      <c r="U1751" s="2" t="s">
        <v>2150</v>
      </c>
      <c r="V1751" s="2" t="s">
        <v>645</v>
      </c>
      <c r="W1751" s="2" t="s">
        <v>976</v>
      </c>
      <c r="X1751" s="2" t="s">
        <v>105</v>
      </c>
      <c r="Y1751" s="2" t="s">
        <v>3667</v>
      </c>
      <c r="Z1751" s="4"/>
      <c r="AA1751" s="4">
        <f>=ROUNDDOWN({0},0)</f>
      </c>
      <c r="AB1751" s="5">
        <v>3.5</v>
      </c>
      <c r="AC1751" s="2" t="s">
        <v>2404</v>
      </c>
      <c r="AD1751" s="4">
        <v>111</v>
      </c>
      <c r="AE1751" s="4">
        <v>255</v>
      </c>
      <c r="AF1751" s="6">
        <v>64</v>
      </c>
      <c r="AG1751" s="6">
        <v>47</v>
      </c>
      <c r="AH1751" s="7">
        <v>0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>
        <v>0</v>
      </c>
      <c r="AP1751" s="4"/>
      <c r="AQ1751" s="8"/>
      <c r="AR1751" s="4"/>
      <c r="AS1751" s="8"/>
      <c r="AT1751" s="7"/>
      <c r="AU1751" s="7"/>
      <c r="AV1751" s="4" t="s">
        <v>100</v>
      </c>
      <c r="AW1751" s="8" t="s">
        <v>100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/>
      <c r="BC1751" s="4" t="s">
        <v>100</v>
      </c>
      <c r="BD1751" s="8" t="s">
        <v>100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/>
      <c r="BJ1751" s="4"/>
      <c r="BK1751" s="8"/>
      <c r="BL1751" s="2" t="s">
        <v>100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1338</v>
      </c>
      <c r="BV1751" s="2" t="s">
        <v>97</v>
      </c>
      <c r="BW1751" s="2" t="s">
        <v>100</v>
      </c>
      <c r="BX1751" s="2" t="s">
        <v>100</v>
      </c>
      <c r="BY1751" s="2" t="s">
        <v>112</v>
      </c>
      <c r="BZ1751" s="2" t="s">
        <v>100</v>
      </c>
    </row>
    <row r="1752">
      <c r="A1752" s="2" t="s">
        <v>5148</v>
      </c>
      <c r="B1752" s="2" t="s">
        <v>87</v>
      </c>
      <c r="C1752" s="2" t="s">
        <v>4613</v>
      </c>
      <c r="D1752" s="2" t="s">
        <v>5137</v>
      </c>
      <c r="E1752" s="2" t="s">
        <v>2656</v>
      </c>
      <c r="F1752" s="2" t="s">
        <v>4648</v>
      </c>
      <c r="G1752" s="2" t="s">
        <v>4649</v>
      </c>
      <c r="H1752" s="2" t="s">
        <v>4650</v>
      </c>
      <c r="I1752" s="2" t="s">
        <v>5138</v>
      </c>
      <c r="J1752" s="2" t="s">
        <v>785</v>
      </c>
      <c r="K1752" s="2" t="s">
        <v>521</v>
      </c>
      <c r="L1752" s="3">
        <v>26.19</v>
      </c>
      <c r="M1752" s="3">
        <v>27.5</v>
      </c>
      <c r="N1752" s="3">
        <v>54.99</v>
      </c>
      <c r="O1752" s="2" t="s">
        <v>97</v>
      </c>
      <c r="P1752" s="2" t="s">
        <v>1216</v>
      </c>
      <c r="Q1752" s="2" t="s">
        <v>99</v>
      </c>
      <c r="R1752" s="2" t="s">
        <v>100</v>
      </c>
      <c r="S1752" s="2" t="s">
        <v>5147</v>
      </c>
      <c r="T1752" s="2" t="s">
        <v>1218</v>
      </c>
      <c r="U1752" s="2" t="s">
        <v>1508</v>
      </c>
      <c r="V1752" s="2" t="s">
        <v>645</v>
      </c>
      <c r="W1752" s="2" t="s">
        <v>976</v>
      </c>
      <c r="X1752" s="2" t="s">
        <v>105</v>
      </c>
      <c r="Y1752" s="2" t="s">
        <v>100</v>
      </c>
      <c r="Z1752" s="4"/>
      <c r="AA1752" s="4">
        <f>=ROUNDDOWN({0},0)</f>
      </c>
      <c r="AB1752" s="5"/>
      <c r="AC1752" s="2" t="s">
        <v>2404</v>
      </c>
      <c r="AD1752" s="4">
        <v>324</v>
      </c>
      <c r="AE1752" s="4">
        <v>798</v>
      </c>
      <c r="AF1752" s="6">
        <v>64</v>
      </c>
      <c r="AG1752" s="6">
        <v>47</v>
      </c>
      <c r="AH1752" s="7">
        <v>0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>
        <v>0</v>
      </c>
      <c r="AP1752" s="4"/>
      <c r="AQ1752" s="8"/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/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/>
      <c r="BJ1752" s="4"/>
      <c r="BK1752" s="8"/>
      <c r="BL1752" s="2" t="s">
        <v>100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1338</v>
      </c>
      <c r="BV1752" s="2" t="s">
        <v>97</v>
      </c>
      <c r="BW1752" s="2" t="s">
        <v>100</v>
      </c>
      <c r="BX1752" s="2" t="s">
        <v>100</v>
      </c>
      <c r="BY1752" s="2" t="s">
        <v>112</v>
      </c>
      <c r="BZ1752" s="2" t="s">
        <v>100</v>
      </c>
    </row>
    <row r="1753">
      <c r="A1753" s="2" t="s">
        <v>5149</v>
      </c>
      <c r="B1753" s="2" t="s">
        <v>87</v>
      </c>
      <c r="C1753" s="2" t="s">
        <v>4613</v>
      </c>
      <c r="D1753" s="2" t="s">
        <v>5137</v>
      </c>
      <c r="E1753" s="2" t="s">
        <v>2656</v>
      </c>
      <c r="F1753" s="2" t="s">
        <v>4648</v>
      </c>
      <c r="G1753" s="2" t="s">
        <v>4649</v>
      </c>
      <c r="H1753" s="2" t="s">
        <v>4650</v>
      </c>
      <c r="I1753" s="2" t="s">
        <v>5138</v>
      </c>
      <c r="J1753" s="2" t="s">
        <v>795</v>
      </c>
      <c r="K1753" s="2" t="s">
        <v>521</v>
      </c>
      <c r="L1753" s="3">
        <v>28.57</v>
      </c>
      <c r="M1753" s="3">
        <v>30</v>
      </c>
      <c r="N1753" s="3">
        <v>59.99</v>
      </c>
      <c r="O1753" s="2" t="s">
        <v>97</v>
      </c>
      <c r="P1753" s="2" t="s">
        <v>1216</v>
      </c>
      <c r="Q1753" s="2" t="s">
        <v>99</v>
      </c>
      <c r="R1753" s="2" t="s">
        <v>100</v>
      </c>
      <c r="S1753" s="2" t="s">
        <v>5147</v>
      </c>
      <c r="T1753" s="2" t="s">
        <v>1218</v>
      </c>
      <c r="U1753" s="2" t="s">
        <v>1508</v>
      </c>
      <c r="V1753" s="2" t="s">
        <v>645</v>
      </c>
      <c r="W1753" s="2" t="s">
        <v>976</v>
      </c>
      <c r="X1753" s="2" t="s">
        <v>105</v>
      </c>
      <c r="Y1753" s="2" t="s">
        <v>100</v>
      </c>
      <c r="Z1753" s="4"/>
      <c r="AA1753" s="4">
        <f>=ROUNDDOWN({0},0)</f>
      </c>
      <c r="AB1753" s="5"/>
      <c r="AC1753" s="2" t="s">
        <v>2404</v>
      </c>
      <c r="AD1753" s="4">
        <v>318</v>
      </c>
      <c r="AE1753" s="4">
        <v>774</v>
      </c>
      <c r="AF1753" s="6">
        <v>64</v>
      </c>
      <c r="AG1753" s="6">
        <v>47</v>
      </c>
      <c r="AH1753" s="7">
        <v>0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>
        <v>0</v>
      </c>
      <c r="AP1753" s="4"/>
      <c r="AQ1753" s="8"/>
      <c r="AR1753" s="4"/>
      <c r="AS1753" s="8"/>
      <c r="AT1753" s="7"/>
      <c r="AU1753" s="7"/>
      <c r="AV1753" s="4" t="s">
        <v>100</v>
      </c>
      <c r="AW1753" s="8" t="s">
        <v>100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/>
      <c r="BC1753" s="4" t="s">
        <v>100</v>
      </c>
      <c r="BD1753" s="8" t="s">
        <v>100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/>
      <c r="BJ1753" s="4"/>
      <c r="BK1753" s="8"/>
      <c r="BL1753" s="2" t="s">
        <v>100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1338</v>
      </c>
      <c r="BV1753" s="2" t="s">
        <v>97</v>
      </c>
      <c r="BW1753" s="2" t="s">
        <v>100</v>
      </c>
      <c r="BX1753" s="2" t="s">
        <v>100</v>
      </c>
      <c r="BY1753" s="2" t="s">
        <v>112</v>
      </c>
      <c r="BZ1753" s="2" t="s">
        <v>100</v>
      </c>
    </row>
    <row r="1754">
      <c r="A1754" s="2" t="s">
        <v>5150</v>
      </c>
      <c r="B1754" s="2" t="s">
        <v>87</v>
      </c>
      <c r="C1754" s="2" t="s">
        <v>4613</v>
      </c>
      <c r="D1754" s="2" t="s">
        <v>5137</v>
      </c>
      <c r="E1754" s="2" t="s">
        <v>2656</v>
      </c>
      <c r="F1754" s="2" t="s">
        <v>4648</v>
      </c>
      <c r="G1754" s="2" t="s">
        <v>4649</v>
      </c>
      <c r="H1754" s="2" t="s">
        <v>4650</v>
      </c>
      <c r="I1754" s="2" t="s">
        <v>5138</v>
      </c>
      <c r="J1754" s="2" t="s">
        <v>673</v>
      </c>
      <c r="K1754" s="2" t="s">
        <v>213</v>
      </c>
      <c r="L1754" s="3">
        <v>21.42</v>
      </c>
      <c r="M1754" s="3">
        <v>22.49</v>
      </c>
      <c r="N1754" s="3">
        <v>49.99</v>
      </c>
      <c r="O1754" s="2" t="s">
        <v>97</v>
      </c>
      <c r="P1754" s="2" t="s">
        <v>1216</v>
      </c>
      <c r="Q1754" s="2" t="s">
        <v>99</v>
      </c>
      <c r="R1754" s="2" t="s">
        <v>100</v>
      </c>
      <c r="S1754" s="2" t="s">
        <v>5151</v>
      </c>
      <c r="T1754" s="2" t="s">
        <v>1218</v>
      </c>
      <c r="U1754" s="2" t="s">
        <v>2150</v>
      </c>
      <c r="V1754" s="2" t="s">
        <v>645</v>
      </c>
      <c r="W1754" s="2" t="s">
        <v>976</v>
      </c>
      <c r="X1754" s="2" t="s">
        <v>105</v>
      </c>
      <c r="Y1754" s="2" t="s">
        <v>100</v>
      </c>
      <c r="Z1754" s="4"/>
      <c r="AA1754" s="4">
        <f>=ROUNDDOWN({0},0)</f>
      </c>
      <c r="AB1754" s="5"/>
      <c r="AC1754" s="2" t="s">
        <v>2404</v>
      </c>
      <c r="AD1754" s="4">
        <v>156</v>
      </c>
      <c r="AE1754" s="4">
        <v>348</v>
      </c>
      <c r="AF1754" s="6">
        <v>64</v>
      </c>
      <c r="AG1754" s="6">
        <v>47</v>
      </c>
      <c r="AH1754" s="7">
        <v>0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>
        <v>0</v>
      </c>
      <c r="AP1754" s="4"/>
      <c r="AQ1754" s="8"/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/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/>
      <c r="BJ1754" s="4"/>
      <c r="BK1754" s="8"/>
      <c r="BL1754" s="2" t="s">
        <v>100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1338</v>
      </c>
      <c r="BV1754" s="2" t="s">
        <v>97</v>
      </c>
      <c r="BW1754" s="2" t="s">
        <v>100</v>
      </c>
      <c r="BX1754" s="2" t="s">
        <v>100</v>
      </c>
      <c r="BY1754" s="2" t="s">
        <v>112</v>
      </c>
      <c r="BZ1754" s="2" t="s">
        <v>100</v>
      </c>
    </row>
    <row r="1755">
      <c r="A1755" s="2" t="s">
        <v>5152</v>
      </c>
      <c r="B1755" s="2" t="s">
        <v>87</v>
      </c>
      <c r="C1755" s="2" t="s">
        <v>4613</v>
      </c>
      <c r="D1755" s="2" t="s">
        <v>5137</v>
      </c>
      <c r="E1755" s="2" t="s">
        <v>2656</v>
      </c>
      <c r="F1755" s="2" t="s">
        <v>4648</v>
      </c>
      <c r="G1755" s="2" t="s">
        <v>4649</v>
      </c>
      <c r="H1755" s="2" t="s">
        <v>4650</v>
      </c>
      <c r="I1755" s="2" t="s">
        <v>5138</v>
      </c>
      <c r="J1755" s="2" t="s">
        <v>785</v>
      </c>
      <c r="K1755" s="2" t="s">
        <v>213</v>
      </c>
      <c r="L1755" s="3">
        <v>26.19</v>
      </c>
      <c r="M1755" s="3">
        <v>27.5</v>
      </c>
      <c r="N1755" s="3">
        <v>54.99</v>
      </c>
      <c r="O1755" s="2" t="s">
        <v>97</v>
      </c>
      <c r="P1755" s="2" t="s">
        <v>1216</v>
      </c>
      <c r="Q1755" s="2" t="s">
        <v>99</v>
      </c>
      <c r="R1755" s="2" t="s">
        <v>100</v>
      </c>
      <c r="S1755" s="2" t="s">
        <v>5151</v>
      </c>
      <c r="T1755" s="2" t="s">
        <v>1218</v>
      </c>
      <c r="U1755" s="2" t="s">
        <v>1508</v>
      </c>
      <c r="V1755" s="2" t="s">
        <v>645</v>
      </c>
      <c r="W1755" s="2" t="s">
        <v>976</v>
      </c>
      <c r="X1755" s="2" t="s">
        <v>105</v>
      </c>
      <c r="Y1755" s="2" t="s">
        <v>3667</v>
      </c>
      <c r="Z1755" s="4"/>
      <c r="AA1755" s="4">
        <f>=ROUNDDOWN({0},0)</f>
      </c>
      <c r="AB1755" s="5">
        <v>3.5</v>
      </c>
      <c r="AC1755" s="2" t="s">
        <v>2404</v>
      </c>
      <c r="AD1755" s="4">
        <v>570</v>
      </c>
      <c r="AE1755" s="4">
        <v>1395</v>
      </c>
      <c r="AF1755" s="6">
        <v>64</v>
      </c>
      <c r="AG1755" s="6">
        <v>47</v>
      </c>
      <c r="AH1755" s="7">
        <v>0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>
        <v>0</v>
      </c>
      <c r="AP1755" s="4"/>
      <c r="AQ1755" s="8"/>
      <c r="AR1755" s="4"/>
      <c r="AS1755" s="8"/>
      <c r="AT1755" s="7"/>
      <c r="AU1755" s="7"/>
      <c r="AV1755" s="4" t="s">
        <v>100</v>
      </c>
      <c r="AW1755" s="8" t="s">
        <v>100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/>
      <c r="BC1755" s="4" t="s">
        <v>100</v>
      </c>
      <c r="BD1755" s="8" t="s">
        <v>100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/>
      <c r="BJ1755" s="4"/>
      <c r="BK1755" s="8"/>
      <c r="BL1755" s="2" t="s">
        <v>100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1338</v>
      </c>
      <c r="BV1755" s="2" t="s">
        <v>97</v>
      </c>
      <c r="BW1755" s="2" t="s">
        <v>100</v>
      </c>
      <c r="BX1755" s="2" t="s">
        <v>100</v>
      </c>
      <c r="BY1755" s="2" t="s">
        <v>112</v>
      </c>
      <c r="BZ1755" s="2" t="s">
        <v>100</v>
      </c>
    </row>
    <row r="1756">
      <c r="A1756" s="2" t="s">
        <v>5153</v>
      </c>
      <c r="B1756" s="2" t="s">
        <v>87</v>
      </c>
      <c r="C1756" s="2" t="s">
        <v>4613</v>
      </c>
      <c r="D1756" s="2" t="s">
        <v>5137</v>
      </c>
      <c r="E1756" s="2" t="s">
        <v>2656</v>
      </c>
      <c r="F1756" s="2" t="s">
        <v>4648</v>
      </c>
      <c r="G1756" s="2" t="s">
        <v>4649</v>
      </c>
      <c r="H1756" s="2" t="s">
        <v>4650</v>
      </c>
      <c r="I1756" s="2" t="s">
        <v>5138</v>
      </c>
      <c r="J1756" s="2" t="s">
        <v>795</v>
      </c>
      <c r="K1756" s="2" t="s">
        <v>213</v>
      </c>
      <c r="L1756" s="3">
        <v>28.57</v>
      </c>
      <c r="M1756" s="3">
        <v>30</v>
      </c>
      <c r="N1756" s="3">
        <v>59.99</v>
      </c>
      <c r="O1756" s="2" t="s">
        <v>97</v>
      </c>
      <c r="P1756" s="2" t="s">
        <v>1216</v>
      </c>
      <c r="Q1756" s="2" t="s">
        <v>99</v>
      </c>
      <c r="R1756" s="2" t="s">
        <v>100</v>
      </c>
      <c r="S1756" s="2" t="s">
        <v>5151</v>
      </c>
      <c r="T1756" s="2" t="s">
        <v>1218</v>
      </c>
      <c r="U1756" s="2" t="s">
        <v>1508</v>
      </c>
      <c r="V1756" s="2" t="s">
        <v>645</v>
      </c>
      <c r="W1756" s="2" t="s">
        <v>976</v>
      </c>
      <c r="X1756" s="2" t="s">
        <v>105</v>
      </c>
      <c r="Y1756" s="2" t="s">
        <v>3667</v>
      </c>
      <c r="Z1756" s="4"/>
      <c r="AA1756" s="4">
        <f>=ROUNDDOWN({0},0)</f>
      </c>
      <c r="AB1756" s="5">
        <v>3.5</v>
      </c>
      <c r="AC1756" s="2" t="s">
        <v>2404</v>
      </c>
      <c r="AD1756" s="4">
        <v>561</v>
      </c>
      <c r="AE1756" s="4">
        <v>1350</v>
      </c>
      <c r="AF1756" s="6">
        <v>64</v>
      </c>
      <c r="AG1756" s="6">
        <v>47</v>
      </c>
      <c r="AH1756" s="7">
        <v>0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/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/>
      <c r="BJ1756" s="4"/>
      <c r="BK1756" s="8"/>
      <c r="BL1756" s="2" t="s">
        <v>100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1338</v>
      </c>
      <c r="BV1756" s="2" t="s">
        <v>97</v>
      </c>
      <c r="BW1756" s="2" t="s">
        <v>100</v>
      </c>
      <c r="BX1756" s="2" t="s">
        <v>100</v>
      </c>
      <c r="BY1756" s="2" t="s">
        <v>112</v>
      </c>
      <c r="BZ1756" s="2" t="s">
        <v>100</v>
      </c>
    </row>
    <row r="1757">
      <c r="A1757" s="2" t="s">
        <v>5154</v>
      </c>
      <c r="B1757" s="2" t="s">
        <v>87</v>
      </c>
      <c r="C1757" s="2" t="s">
        <v>5155</v>
      </c>
      <c r="D1757" s="2" t="s">
        <v>89</v>
      </c>
      <c r="E1757" s="2" t="s">
        <v>90</v>
      </c>
      <c r="F1757" s="2" t="s">
        <v>5156</v>
      </c>
      <c r="G1757" s="2" t="s">
        <v>5156</v>
      </c>
      <c r="H1757" s="2" t="s">
        <v>5156</v>
      </c>
      <c r="I1757" s="2" t="s">
        <v>5157</v>
      </c>
      <c r="J1757" s="2" t="s">
        <v>95</v>
      </c>
      <c r="K1757" s="2" t="s">
        <v>1659</v>
      </c>
      <c r="L1757" s="3">
        <v>93.31</v>
      </c>
      <c r="M1757" s="3">
        <v>97.98</v>
      </c>
      <c r="N1757" s="3">
        <v>204.99</v>
      </c>
      <c r="O1757" s="2" t="s">
        <v>97</v>
      </c>
      <c r="P1757" s="2" t="s">
        <v>383</v>
      </c>
      <c r="Q1757" s="2" t="s">
        <v>99</v>
      </c>
      <c r="R1757" s="2" t="s">
        <v>100</v>
      </c>
      <c r="S1757" s="2" t="s">
        <v>5158</v>
      </c>
      <c r="T1757" s="2" t="s">
        <v>100</v>
      </c>
      <c r="U1757" s="2" t="s">
        <v>676</v>
      </c>
      <c r="V1757" s="2" t="s">
        <v>663</v>
      </c>
      <c r="W1757" s="2" t="s">
        <v>551</v>
      </c>
      <c r="X1757" s="2" t="s">
        <v>345</v>
      </c>
      <c r="Y1757" s="2" t="s">
        <v>131</v>
      </c>
      <c r="Z1757" s="4">
        <v>73</v>
      </c>
      <c r="AA1757" s="4">
        <f>=ROUNDDOWN(36.5,0)</f>
      </c>
      <c r="AB1757" s="5">
        <v>2</v>
      </c>
      <c r="AC1757" s="2" t="s">
        <v>100</v>
      </c>
      <c r="AD1757" s="4"/>
      <c r="AE1757" s="4"/>
      <c r="AF1757" s="6">
        <v>66</v>
      </c>
      <c r="AG1757" s="6"/>
      <c r="AH1757" s="7">
        <v>1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>
        <v>0</v>
      </c>
      <c r="AP1757" s="4"/>
      <c r="AQ1757" s="8"/>
      <c r="AR1757" s="4"/>
      <c r="AS1757" s="8"/>
      <c r="AT1757" s="7"/>
      <c r="AU1757" s="7"/>
      <c r="AV1757" s="4">
        <v>1</v>
      </c>
      <c r="AW1757" s="8">
        <v>125.73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/>
      <c r="BC1757" s="4">
        <v>1</v>
      </c>
      <c r="BD1757" s="8">
        <v>125.73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>
        <v>1</v>
      </c>
      <c r="BJ1757" s="4">
        <v>2</v>
      </c>
      <c r="BK1757" s="8">
        <v>191.01</v>
      </c>
      <c r="BL1757" s="2" t="s">
        <v>887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109</v>
      </c>
      <c r="BV1757" s="2" t="s">
        <v>97</v>
      </c>
      <c r="BW1757" s="2" t="s">
        <v>4114</v>
      </c>
      <c r="BX1757" s="2" t="s">
        <v>5159</v>
      </c>
      <c r="BY1757" s="2" t="s">
        <v>112</v>
      </c>
      <c r="BZ1757" s="2" t="s">
        <v>100</v>
      </c>
    </row>
    <row r="1758">
      <c r="A1758" s="2" t="s">
        <v>5160</v>
      </c>
      <c r="B1758" s="2" t="s">
        <v>87</v>
      </c>
      <c r="C1758" s="2" t="s">
        <v>5155</v>
      </c>
      <c r="D1758" s="2" t="s">
        <v>89</v>
      </c>
      <c r="E1758" s="2" t="s">
        <v>90</v>
      </c>
      <c r="F1758" s="2" t="s">
        <v>5156</v>
      </c>
      <c r="G1758" s="2" t="s">
        <v>5156</v>
      </c>
      <c r="H1758" s="2" t="s">
        <v>5156</v>
      </c>
      <c r="I1758" s="2" t="s">
        <v>5157</v>
      </c>
      <c r="J1758" s="2" t="s">
        <v>114</v>
      </c>
      <c r="K1758" s="2" t="s">
        <v>1659</v>
      </c>
      <c r="L1758" s="3">
        <v>103.67</v>
      </c>
      <c r="M1758" s="3">
        <v>108.85</v>
      </c>
      <c r="N1758" s="3">
        <v>224.99</v>
      </c>
      <c r="O1758" s="2" t="s">
        <v>97</v>
      </c>
      <c r="P1758" s="2" t="s">
        <v>383</v>
      </c>
      <c r="Q1758" s="2" t="s">
        <v>99</v>
      </c>
      <c r="R1758" s="2" t="s">
        <v>100</v>
      </c>
      <c r="S1758" s="2" t="s">
        <v>5158</v>
      </c>
      <c r="T1758" s="2" t="s">
        <v>100</v>
      </c>
      <c r="U1758" s="2" t="s">
        <v>676</v>
      </c>
      <c r="V1758" s="2" t="s">
        <v>663</v>
      </c>
      <c r="W1758" s="2" t="s">
        <v>551</v>
      </c>
      <c r="X1758" s="2" t="s">
        <v>345</v>
      </c>
      <c r="Y1758" s="2" t="s">
        <v>131</v>
      </c>
      <c r="Z1758" s="4">
        <v>197</v>
      </c>
      <c r="AA1758" s="4">
        <f>=ROUNDDOWN(39.4,0)</f>
      </c>
      <c r="AB1758" s="5">
        <v>5</v>
      </c>
      <c r="AC1758" s="2" t="s">
        <v>100</v>
      </c>
      <c r="AD1758" s="4"/>
      <c r="AE1758" s="4"/>
      <c r="AF1758" s="6">
        <v>66</v>
      </c>
      <c r="AG1758" s="6"/>
      <c r="AH1758" s="7">
        <v>1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>
        <v>0</v>
      </c>
      <c r="AP1758" s="4"/>
      <c r="AQ1758" s="8"/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/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 t="s">
        <v>100</v>
      </c>
      <c r="BJ1758" s="4">
        <v>5</v>
      </c>
      <c r="BK1758" s="8">
        <v>551.63</v>
      </c>
      <c r="BL1758" s="2" t="s">
        <v>3730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109</v>
      </c>
      <c r="BV1758" s="2" t="s">
        <v>97</v>
      </c>
      <c r="BW1758" s="2" t="s">
        <v>4114</v>
      </c>
      <c r="BX1758" s="2" t="s">
        <v>442</v>
      </c>
      <c r="BY1758" s="2" t="s">
        <v>112</v>
      </c>
      <c r="BZ1758" s="2" t="s">
        <v>100</v>
      </c>
    </row>
    <row r="1759">
      <c r="A1759" s="2" t="s">
        <v>5161</v>
      </c>
      <c r="B1759" s="2" t="s">
        <v>87</v>
      </c>
      <c r="C1759" s="2" t="s">
        <v>5155</v>
      </c>
      <c r="D1759" s="2" t="s">
        <v>89</v>
      </c>
      <c r="E1759" s="2" t="s">
        <v>90</v>
      </c>
      <c r="F1759" s="2" t="s">
        <v>5156</v>
      </c>
      <c r="G1759" s="2" t="s">
        <v>5156</v>
      </c>
      <c r="H1759" s="2" t="s">
        <v>5156</v>
      </c>
      <c r="I1759" s="2" t="s">
        <v>5157</v>
      </c>
      <c r="J1759" s="2" t="s">
        <v>120</v>
      </c>
      <c r="K1759" s="2" t="s">
        <v>1659</v>
      </c>
      <c r="L1759" s="3">
        <v>114.04</v>
      </c>
      <c r="M1759" s="3">
        <v>119.74</v>
      </c>
      <c r="N1759" s="3">
        <v>244.99</v>
      </c>
      <c r="O1759" s="2" t="s">
        <v>97</v>
      </c>
      <c r="P1759" s="2" t="s">
        <v>383</v>
      </c>
      <c r="Q1759" s="2" t="s">
        <v>99</v>
      </c>
      <c r="R1759" s="2" t="s">
        <v>100</v>
      </c>
      <c r="S1759" s="2" t="s">
        <v>5158</v>
      </c>
      <c r="T1759" s="2" t="s">
        <v>100</v>
      </c>
      <c r="U1759" s="2" t="s">
        <v>100</v>
      </c>
      <c r="V1759" s="2" t="s">
        <v>663</v>
      </c>
      <c r="W1759" s="2" t="s">
        <v>551</v>
      </c>
      <c r="X1759" s="2" t="s">
        <v>345</v>
      </c>
      <c r="Y1759" s="2" t="s">
        <v>131</v>
      </c>
      <c r="Z1759" s="4">
        <v>212</v>
      </c>
      <c r="AA1759" s="4">
        <f>=ROUNDDOWN(53,0)</f>
      </c>
      <c r="AB1759" s="5">
        <v>4</v>
      </c>
      <c r="AC1759" s="2" t="s">
        <v>100</v>
      </c>
      <c r="AD1759" s="4"/>
      <c r="AE1759" s="4"/>
      <c r="AF1759" s="6">
        <v>66</v>
      </c>
      <c r="AG1759" s="6"/>
      <c r="AH1759" s="7">
        <v>1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>
        <v>0</v>
      </c>
      <c r="AP1759" s="4">
        <v>1</v>
      </c>
      <c r="AQ1759" s="8">
        <v>125.73</v>
      </c>
      <c r="AR1759" s="4"/>
      <c r="AS1759" s="8"/>
      <c r="AT1759" s="7"/>
      <c r="AU1759" s="7"/>
      <c r="AV1759" s="4" t="s">
        <v>100</v>
      </c>
      <c r="AW1759" s="8" t="s">
        <v>100</v>
      </c>
      <c r="AX1759" s="4" t="s">
        <v>100</v>
      </c>
      <c r="AY1759" s="8" t="s">
        <v>100</v>
      </c>
      <c r="AZ1759" s="7" t="s">
        <v>100</v>
      </c>
      <c r="BA1759" s="7" t="s">
        <v>100</v>
      </c>
      <c r="BB1759" s="7">
        <v>1</v>
      </c>
      <c r="BC1759" s="4" t="s">
        <v>100</v>
      </c>
      <c r="BD1759" s="8" t="s">
        <v>100</v>
      </c>
      <c r="BE1759" s="4" t="s">
        <v>100</v>
      </c>
      <c r="BF1759" s="8" t="s">
        <v>100</v>
      </c>
      <c r="BG1759" s="7" t="s">
        <v>100</v>
      </c>
      <c r="BH1759" s="7" t="s">
        <v>100</v>
      </c>
      <c r="BI1759" s="7" t="s">
        <v>100</v>
      </c>
      <c r="BJ1759" s="4">
        <v>4</v>
      </c>
      <c r="BK1759" s="8">
        <v>468.3</v>
      </c>
      <c r="BL1759" s="2" t="s">
        <v>4560</v>
      </c>
      <c r="BM1759" s="7">
        <v>0.25</v>
      </c>
      <c r="BN1759" s="7">
        <v>0.2685</v>
      </c>
      <c r="BO1759" s="4">
        <v>1</v>
      </c>
      <c r="BP1759" s="8">
        <v>125.73</v>
      </c>
      <c r="BQ1759" s="4"/>
      <c r="BR1759" s="8"/>
      <c r="BS1759" s="7"/>
      <c r="BT1759" s="7"/>
      <c r="BU1759" s="2" t="s">
        <v>109</v>
      </c>
      <c r="BV1759" s="2" t="s">
        <v>97</v>
      </c>
      <c r="BW1759" s="2" t="s">
        <v>4114</v>
      </c>
      <c r="BX1759" s="2" t="s">
        <v>2443</v>
      </c>
      <c r="BY1759" s="2" t="s">
        <v>112</v>
      </c>
      <c r="BZ1759" s="2" t="s">
        <v>100</v>
      </c>
    </row>
    <row r="1760">
      <c r="A1760" s="2" t="s">
        <v>5162</v>
      </c>
      <c r="B1760" s="2" t="s">
        <v>87</v>
      </c>
      <c r="C1760" s="2" t="s">
        <v>5155</v>
      </c>
      <c r="D1760" s="2" t="s">
        <v>89</v>
      </c>
      <c r="E1760" s="2" t="s">
        <v>90</v>
      </c>
      <c r="F1760" s="2" t="s">
        <v>5156</v>
      </c>
      <c r="G1760" s="2" t="s">
        <v>5156</v>
      </c>
      <c r="H1760" s="2" t="s">
        <v>5156</v>
      </c>
      <c r="I1760" s="2" t="s">
        <v>5157</v>
      </c>
      <c r="J1760" s="2" t="s">
        <v>124</v>
      </c>
      <c r="K1760" s="2" t="s">
        <v>1659</v>
      </c>
      <c r="L1760" s="3">
        <v>114.04</v>
      </c>
      <c r="M1760" s="3">
        <v>119.74</v>
      </c>
      <c r="N1760" s="3">
        <v>244.99</v>
      </c>
      <c r="O1760" s="2" t="s">
        <v>97</v>
      </c>
      <c r="P1760" s="2" t="s">
        <v>383</v>
      </c>
      <c r="Q1760" s="2" t="s">
        <v>99</v>
      </c>
      <c r="R1760" s="2" t="s">
        <v>100</v>
      </c>
      <c r="S1760" s="2" t="s">
        <v>5158</v>
      </c>
      <c r="T1760" s="2" t="s">
        <v>100</v>
      </c>
      <c r="U1760" s="2" t="s">
        <v>676</v>
      </c>
      <c r="V1760" s="2" t="s">
        <v>663</v>
      </c>
      <c r="W1760" s="2" t="s">
        <v>551</v>
      </c>
      <c r="X1760" s="2" t="s">
        <v>345</v>
      </c>
      <c r="Y1760" s="2" t="s">
        <v>131</v>
      </c>
      <c r="Z1760" s="4">
        <v>133</v>
      </c>
      <c r="AA1760" s="4">
        <f>=ROUNDDOWN(26.6,0)</f>
      </c>
      <c r="AB1760" s="5">
        <v>5</v>
      </c>
      <c r="AC1760" s="2" t="s">
        <v>100</v>
      </c>
      <c r="AD1760" s="4"/>
      <c r="AE1760" s="4"/>
      <c r="AF1760" s="6">
        <v>66</v>
      </c>
      <c r="AG1760" s="6"/>
      <c r="AH1760" s="7">
        <v>1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>
        <v>0</v>
      </c>
      <c r="AP1760" s="4"/>
      <c r="AQ1760" s="8"/>
      <c r="AR1760" s="4"/>
      <c r="AS1760" s="8"/>
      <c r="AT1760" s="7"/>
      <c r="AU1760" s="7"/>
      <c r="AV1760" s="4" t="s">
        <v>100</v>
      </c>
      <c r="AW1760" s="8" t="s">
        <v>100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/>
      <c r="BC1760" s="4" t="s">
        <v>100</v>
      </c>
      <c r="BD1760" s="8" t="s">
        <v>100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 t="s">
        <v>100</v>
      </c>
      <c r="BJ1760" s="4">
        <v>3</v>
      </c>
      <c r="BK1760" s="8">
        <v>330.75</v>
      </c>
      <c r="BL1760" s="2" t="s">
        <v>1310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109</v>
      </c>
      <c r="BV1760" s="2" t="s">
        <v>97</v>
      </c>
      <c r="BW1760" s="2" t="s">
        <v>4114</v>
      </c>
      <c r="BX1760" s="2" t="s">
        <v>2569</v>
      </c>
      <c r="BY1760" s="2" t="s">
        <v>112</v>
      </c>
      <c r="BZ1760" s="2" t="s">
        <v>100</v>
      </c>
    </row>
    <row r="1761">
      <c r="A1761" s="2" t="s">
        <v>5163</v>
      </c>
      <c r="B1761" s="2" t="s">
        <v>87</v>
      </c>
      <c r="C1761" s="2" t="s">
        <v>5155</v>
      </c>
      <c r="D1761" s="2" t="s">
        <v>89</v>
      </c>
      <c r="E1761" s="2" t="s">
        <v>90</v>
      </c>
      <c r="F1761" s="2" t="s">
        <v>5164</v>
      </c>
      <c r="G1761" s="2" t="s">
        <v>5164</v>
      </c>
      <c r="H1761" s="2" t="s">
        <v>5164</v>
      </c>
      <c r="I1761" s="2" t="s">
        <v>5165</v>
      </c>
      <c r="J1761" s="2" t="s">
        <v>95</v>
      </c>
      <c r="K1761" s="2" t="s">
        <v>146</v>
      </c>
      <c r="L1761" s="3">
        <v>93.31</v>
      </c>
      <c r="M1761" s="3">
        <v>97.98</v>
      </c>
      <c r="N1761" s="3">
        <v>204.99</v>
      </c>
      <c r="O1761" s="2" t="s">
        <v>97</v>
      </c>
      <c r="P1761" s="2" t="s">
        <v>383</v>
      </c>
      <c r="Q1761" s="2" t="s">
        <v>99</v>
      </c>
      <c r="R1761" s="2" t="s">
        <v>100</v>
      </c>
      <c r="S1761" s="2" t="s">
        <v>5166</v>
      </c>
      <c r="T1761" s="2" t="s">
        <v>100</v>
      </c>
      <c r="U1761" s="2" t="s">
        <v>676</v>
      </c>
      <c r="V1761" s="2" t="s">
        <v>284</v>
      </c>
      <c r="W1761" s="2" t="s">
        <v>244</v>
      </c>
      <c r="X1761" s="2" t="s">
        <v>345</v>
      </c>
      <c r="Y1761" s="2" t="s">
        <v>5167</v>
      </c>
      <c r="Z1761" s="4">
        <v>29</v>
      </c>
      <c r="AA1761" s="4">
        <f>=ROUNDDOWN(9.66666666666667,0)</f>
      </c>
      <c r="AB1761" s="5">
        <v>3</v>
      </c>
      <c r="AC1761" s="2" t="s">
        <v>2555</v>
      </c>
      <c r="AD1761" s="4">
        <v>145</v>
      </c>
      <c r="AE1761" s="4">
        <v>145</v>
      </c>
      <c r="AF1761" s="6">
        <v>66</v>
      </c>
      <c r="AG1761" s="6"/>
      <c r="AH1761" s="7">
        <v>1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>
        <v>0</v>
      </c>
      <c r="AP1761" s="4"/>
      <c r="AQ1761" s="8"/>
      <c r="AR1761" s="4"/>
      <c r="AS1761" s="8"/>
      <c r="AT1761" s="7"/>
      <c r="AU1761" s="7"/>
      <c r="AV1761" s="4">
        <v>1</v>
      </c>
      <c r="AW1761" s="8">
        <v>114.3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/>
      <c r="BC1761" s="4">
        <v>1</v>
      </c>
      <c r="BD1761" s="8">
        <v>114.3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>
        <v>1</v>
      </c>
      <c r="BJ1761" s="4">
        <v>1</v>
      </c>
      <c r="BK1761" s="8">
        <v>81.61</v>
      </c>
      <c r="BL1761" s="2" t="s">
        <v>133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109</v>
      </c>
      <c r="BV1761" s="2" t="s">
        <v>97</v>
      </c>
      <c r="BW1761" s="2" t="s">
        <v>535</v>
      </c>
      <c r="BX1761" s="2" t="s">
        <v>3462</v>
      </c>
      <c r="BY1761" s="2" t="s">
        <v>112</v>
      </c>
      <c r="BZ1761" s="2" t="s">
        <v>100</v>
      </c>
    </row>
    <row r="1762">
      <c r="A1762" s="2" t="s">
        <v>5168</v>
      </c>
      <c r="B1762" s="2" t="s">
        <v>87</v>
      </c>
      <c r="C1762" s="2" t="s">
        <v>5155</v>
      </c>
      <c r="D1762" s="2" t="s">
        <v>89</v>
      </c>
      <c r="E1762" s="2" t="s">
        <v>90</v>
      </c>
      <c r="F1762" s="2" t="s">
        <v>5164</v>
      </c>
      <c r="G1762" s="2" t="s">
        <v>5164</v>
      </c>
      <c r="H1762" s="2" t="s">
        <v>5164</v>
      </c>
      <c r="I1762" s="2" t="s">
        <v>5165</v>
      </c>
      <c r="J1762" s="2" t="s">
        <v>114</v>
      </c>
      <c r="K1762" s="2" t="s">
        <v>146</v>
      </c>
      <c r="L1762" s="3">
        <v>103.67</v>
      </c>
      <c r="M1762" s="3">
        <v>108.85</v>
      </c>
      <c r="N1762" s="3">
        <v>224.99</v>
      </c>
      <c r="O1762" s="2" t="s">
        <v>97</v>
      </c>
      <c r="P1762" s="2" t="s">
        <v>383</v>
      </c>
      <c r="Q1762" s="2" t="s">
        <v>99</v>
      </c>
      <c r="R1762" s="2" t="s">
        <v>100</v>
      </c>
      <c r="S1762" s="2" t="s">
        <v>5166</v>
      </c>
      <c r="T1762" s="2" t="s">
        <v>100</v>
      </c>
      <c r="U1762" s="2" t="s">
        <v>676</v>
      </c>
      <c r="V1762" s="2" t="s">
        <v>284</v>
      </c>
      <c r="W1762" s="2" t="s">
        <v>244</v>
      </c>
      <c r="X1762" s="2" t="s">
        <v>345</v>
      </c>
      <c r="Y1762" s="2" t="s">
        <v>5167</v>
      </c>
      <c r="Z1762" s="4">
        <v>157</v>
      </c>
      <c r="AA1762" s="4">
        <f>=ROUNDDOWN(39.25,0)</f>
      </c>
      <c r="AB1762" s="5">
        <v>4</v>
      </c>
      <c r="AC1762" s="2" t="s">
        <v>2555</v>
      </c>
      <c r="AD1762" s="4">
        <v>95</v>
      </c>
      <c r="AE1762" s="4">
        <v>95</v>
      </c>
      <c r="AF1762" s="6">
        <v>66</v>
      </c>
      <c r="AG1762" s="6"/>
      <c r="AH1762" s="7">
        <v>1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>
        <v>0</v>
      </c>
      <c r="AP1762" s="4">
        <v>1</v>
      </c>
      <c r="AQ1762" s="8">
        <v>114.3</v>
      </c>
      <c r="AR1762" s="4"/>
      <c r="AS1762" s="8"/>
      <c r="AT1762" s="7"/>
      <c r="AU1762" s="7"/>
      <c r="AV1762" s="4" t="s">
        <v>100</v>
      </c>
      <c r="AW1762" s="8" t="s">
        <v>100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>
        <v>1</v>
      </c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 t="s">
        <v>100</v>
      </c>
      <c r="BJ1762" s="4">
        <v>2</v>
      </c>
      <c r="BK1762" s="8">
        <v>227.49</v>
      </c>
      <c r="BL1762" s="2" t="s">
        <v>4108</v>
      </c>
      <c r="BM1762" s="7">
        <v>0.5</v>
      </c>
      <c r="BN1762" s="7">
        <v>0.5024</v>
      </c>
      <c r="BO1762" s="4">
        <v>1</v>
      </c>
      <c r="BP1762" s="8">
        <v>114.3</v>
      </c>
      <c r="BQ1762" s="4"/>
      <c r="BR1762" s="8"/>
      <c r="BS1762" s="7"/>
      <c r="BT1762" s="7"/>
      <c r="BU1762" s="2" t="s">
        <v>109</v>
      </c>
      <c r="BV1762" s="2" t="s">
        <v>97</v>
      </c>
      <c r="BW1762" s="2" t="s">
        <v>3347</v>
      </c>
      <c r="BX1762" s="2" t="s">
        <v>5169</v>
      </c>
      <c r="BY1762" s="2" t="s">
        <v>112</v>
      </c>
      <c r="BZ1762" s="2" t="s">
        <v>100</v>
      </c>
    </row>
    <row r="1763">
      <c r="A1763" s="2" t="s">
        <v>5170</v>
      </c>
      <c r="B1763" s="2" t="s">
        <v>87</v>
      </c>
      <c r="C1763" s="2" t="s">
        <v>5155</v>
      </c>
      <c r="D1763" s="2" t="s">
        <v>89</v>
      </c>
      <c r="E1763" s="2" t="s">
        <v>90</v>
      </c>
      <c r="F1763" s="2" t="s">
        <v>5164</v>
      </c>
      <c r="G1763" s="2" t="s">
        <v>5164</v>
      </c>
      <c r="H1763" s="2" t="s">
        <v>5164</v>
      </c>
      <c r="I1763" s="2" t="s">
        <v>5165</v>
      </c>
      <c r="J1763" s="2" t="s">
        <v>120</v>
      </c>
      <c r="K1763" s="2" t="s">
        <v>146</v>
      </c>
      <c r="L1763" s="3">
        <v>114.04</v>
      </c>
      <c r="M1763" s="3">
        <v>119.74</v>
      </c>
      <c r="N1763" s="3">
        <v>244.99</v>
      </c>
      <c r="O1763" s="2" t="s">
        <v>97</v>
      </c>
      <c r="P1763" s="2" t="s">
        <v>383</v>
      </c>
      <c r="Q1763" s="2" t="s">
        <v>99</v>
      </c>
      <c r="R1763" s="2" t="s">
        <v>100</v>
      </c>
      <c r="S1763" s="2" t="s">
        <v>5166</v>
      </c>
      <c r="T1763" s="2" t="s">
        <v>100</v>
      </c>
      <c r="U1763" s="2" t="s">
        <v>676</v>
      </c>
      <c r="V1763" s="2" t="s">
        <v>284</v>
      </c>
      <c r="W1763" s="2" t="s">
        <v>244</v>
      </c>
      <c r="X1763" s="2" t="s">
        <v>345</v>
      </c>
      <c r="Y1763" s="2" t="s">
        <v>5167</v>
      </c>
      <c r="Z1763" s="4">
        <v>202</v>
      </c>
      <c r="AA1763" s="4">
        <f>=ROUNDDOWN(33.6666666666667,0)</f>
      </c>
      <c r="AB1763" s="5">
        <v>6</v>
      </c>
      <c r="AC1763" s="2" t="s">
        <v>2555</v>
      </c>
      <c r="AD1763" s="4">
        <v>170</v>
      </c>
      <c r="AE1763" s="4">
        <v>170</v>
      </c>
      <c r="AF1763" s="6">
        <v>66</v>
      </c>
      <c r="AG1763" s="6"/>
      <c r="AH1763" s="7">
        <v>1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>
        <v>0</v>
      </c>
      <c r="AP1763" s="4"/>
      <c r="AQ1763" s="8"/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/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 t="s">
        <v>100</v>
      </c>
      <c r="BJ1763" s="4">
        <v>3</v>
      </c>
      <c r="BK1763" s="8">
        <v>361.06</v>
      </c>
      <c r="BL1763" s="2" t="s">
        <v>701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109</v>
      </c>
      <c r="BV1763" s="2" t="s">
        <v>97</v>
      </c>
      <c r="BW1763" s="2" t="s">
        <v>3030</v>
      </c>
      <c r="BX1763" s="2" t="s">
        <v>5171</v>
      </c>
      <c r="BY1763" s="2" t="s">
        <v>112</v>
      </c>
      <c r="BZ1763" s="2" t="s">
        <v>100</v>
      </c>
    </row>
    <row r="1764">
      <c r="A1764" s="2" t="s">
        <v>5172</v>
      </c>
      <c r="B1764" s="2" t="s">
        <v>87</v>
      </c>
      <c r="C1764" s="2" t="s">
        <v>5155</v>
      </c>
      <c r="D1764" s="2" t="s">
        <v>89</v>
      </c>
      <c r="E1764" s="2" t="s">
        <v>90</v>
      </c>
      <c r="F1764" s="2" t="s">
        <v>5164</v>
      </c>
      <c r="G1764" s="2" t="s">
        <v>5164</v>
      </c>
      <c r="H1764" s="2" t="s">
        <v>5164</v>
      </c>
      <c r="I1764" s="2" t="s">
        <v>5165</v>
      </c>
      <c r="J1764" s="2" t="s">
        <v>124</v>
      </c>
      <c r="K1764" s="2" t="s">
        <v>146</v>
      </c>
      <c r="L1764" s="3">
        <v>114.04</v>
      </c>
      <c r="M1764" s="3">
        <v>119.74</v>
      </c>
      <c r="N1764" s="3">
        <v>244.99</v>
      </c>
      <c r="O1764" s="2" t="s">
        <v>97</v>
      </c>
      <c r="P1764" s="2" t="s">
        <v>383</v>
      </c>
      <c r="Q1764" s="2" t="s">
        <v>99</v>
      </c>
      <c r="R1764" s="2" t="s">
        <v>100</v>
      </c>
      <c r="S1764" s="2" t="s">
        <v>5166</v>
      </c>
      <c r="T1764" s="2" t="s">
        <v>100</v>
      </c>
      <c r="U1764" s="2" t="s">
        <v>676</v>
      </c>
      <c r="V1764" s="2" t="s">
        <v>284</v>
      </c>
      <c r="W1764" s="2" t="s">
        <v>244</v>
      </c>
      <c r="X1764" s="2" t="s">
        <v>345</v>
      </c>
      <c r="Y1764" s="2" t="s">
        <v>5167</v>
      </c>
      <c r="Z1764" s="4">
        <v>102</v>
      </c>
      <c r="AA1764" s="4">
        <f>=ROUNDDOWN(20.4,0)</f>
      </c>
      <c r="AB1764" s="5">
        <v>5</v>
      </c>
      <c r="AC1764" s="2" t="s">
        <v>2555</v>
      </c>
      <c r="AD1764" s="4">
        <v>150</v>
      </c>
      <c r="AE1764" s="4">
        <v>150</v>
      </c>
      <c r="AF1764" s="6">
        <v>66</v>
      </c>
      <c r="AG1764" s="6"/>
      <c r="AH1764" s="7">
        <v>1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>
        <v>0</v>
      </c>
      <c r="AP1764" s="4"/>
      <c r="AQ1764" s="8"/>
      <c r="AR1764" s="4"/>
      <c r="AS1764" s="8"/>
      <c r="AT1764" s="7"/>
      <c r="AU1764" s="7"/>
      <c r="AV1764" s="4" t="s">
        <v>100</v>
      </c>
      <c r="AW1764" s="8" t="s">
        <v>100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/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 t="s">
        <v>100</v>
      </c>
      <c r="BJ1764" s="4">
        <v>1</v>
      </c>
      <c r="BK1764" s="8">
        <v>125.73</v>
      </c>
      <c r="BL1764" s="2" t="s">
        <v>3766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109</v>
      </c>
      <c r="BV1764" s="2" t="s">
        <v>97</v>
      </c>
      <c r="BW1764" s="2" t="s">
        <v>4114</v>
      </c>
      <c r="BX1764" s="2" t="s">
        <v>442</v>
      </c>
      <c r="BY1764" s="2" t="s">
        <v>112</v>
      </c>
      <c r="BZ1764" s="2" t="s">
        <v>100</v>
      </c>
    </row>
    <row r="1765">
      <c r="A1765" s="2" t="s">
        <v>5173</v>
      </c>
      <c r="B1765" s="2" t="s">
        <v>87</v>
      </c>
      <c r="C1765" s="2" t="s">
        <v>5155</v>
      </c>
      <c r="D1765" s="2" t="s">
        <v>89</v>
      </c>
      <c r="E1765" s="2" t="s">
        <v>90</v>
      </c>
      <c r="F1765" s="2" t="s">
        <v>5174</v>
      </c>
      <c r="G1765" s="2" t="s">
        <v>100</v>
      </c>
      <c r="H1765" s="2" t="s">
        <v>100</v>
      </c>
      <c r="I1765" s="2" t="s">
        <v>1860</v>
      </c>
      <c r="J1765" s="2" t="s">
        <v>2236</v>
      </c>
      <c r="K1765" s="2" t="s">
        <v>253</v>
      </c>
      <c r="L1765" s="3">
        <v>60.48</v>
      </c>
      <c r="M1765" s="3">
        <v>63.5</v>
      </c>
      <c r="N1765" s="3">
        <v>149.99</v>
      </c>
      <c r="O1765" s="2" t="s">
        <v>97</v>
      </c>
      <c r="P1765" s="2" t="s">
        <v>587</v>
      </c>
      <c r="Q1765" s="2" t="s">
        <v>99</v>
      </c>
      <c r="R1765" s="2" t="s">
        <v>100</v>
      </c>
      <c r="S1765" s="2" t="s">
        <v>5175</v>
      </c>
      <c r="T1765" s="2" t="s">
        <v>100</v>
      </c>
      <c r="U1765" s="2" t="s">
        <v>100</v>
      </c>
      <c r="V1765" s="2" t="s">
        <v>551</v>
      </c>
      <c r="W1765" s="2" t="s">
        <v>551</v>
      </c>
      <c r="X1765" s="2" t="s">
        <v>345</v>
      </c>
      <c r="Y1765" s="2" t="s">
        <v>131</v>
      </c>
      <c r="Z1765" s="4">
        <v>59</v>
      </c>
      <c r="AA1765" s="4">
        <f>=ROUNDDOWN(14.75,0)</f>
      </c>
      <c r="AB1765" s="5">
        <v>4</v>
      </c>
      <c r="AC1765" s="2" t="s">
        <v>100</v>
      </c>
      <c r="AD1765" s="4"/>
      <c r="AE1765" s="4"/>
      <c r="AF1765" s="6">
        <v>66</v>
      </c>
      <c r="AG1765" s="6"/>
      <c r="AH1765" s="7">
        <v>1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>
        <v>0</v>
      </c>
      <c r="AP1765" s="4"/>
      <c r="AQ1765" s="8"/>
      <c r="AR1765" s="4"/>
      <c r="AS1765" s="8"/>
      <c r="AT1765" s="7"/>
      <c r="AU1765" s="7"/>
      <c r="AV1765" s="4">
        <v>1</v>
      </c>
      <c r="AW1765" s="8">
        <v>98.59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/>
      <c r="BC1765" s="4">
        <v>1</v>
      </c>
      <c r="BD1765" s="8">
        <v>98.59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>
        <v>1</v>
      </c>
      <c r="BJ1765" s="4">
        <v>6</v>
      </c>
      <c r="BK1765" s="8">
        <v>402.78</v>
      </c>
      <c r="BL1765" s="2" t="s">
        <v>917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109</v>
      </c>
      <c r="BV1765" s="2" t="s">
        <v>97</v>
      </c>
      <c r="BW1765" s="2" t="s">
        <v>4114</v>
      </c>
      <c r="BX1765" s="2" t="s">
        <v>5176</v>
      </c>
      <c r="BY1765" s="2" t="s">
        <v>112</v>
      </c>
      <c r="BZ1765" s="2" t="s">
        <v>100</v>
      </c>
    </row>
    <row r="1766">
      <c r="A1766" s="2" t="s">
        <v>5177</v>
      </c>
      <c r="B1766" s="2" t="s">
        <v>87</v>
      </c>
      <c r="C1766" s="2" t="s">
        <v>5155</v>
      </c>
      <c r="D1766" s="2" t="s">
        <v>89</v>
      </c>
      <c r="E1766" s="2" t="s">
        <v>90</v>
      </c>
      <c r="F1766" s="2" t="s">
        <v>5174</v>
      </c>
      <c r="G1766" s="2" t="s">
        <v>100</v>
      </c>
      <c r="H1766" s="2" t="s">
        <v>100</v>
      </c>
      <c r="I1766" s="2" t="s">
        <v>1860</v>
      </c>
      <c r="J1766" s="2" t="s">
        <v>95</v>
      </c>
      <c r="K1766" s="2" t="s">
        <v>253</v>
      </c>
      <c r="L1766" s="3">
        <v>77.76</v>
      </c>
      <c r="M1766" s="3">
        <v>81.65</v>
      </c>
      <c r="N1766" s="3">
        <v>169.99</v>
      </c>
      <c r="O1766" s="2" t="s">
        <v>97</v>
      </c>
      <c r="P1766" s="2" t="s">
        <v>587</v>
      </c>
      <c r="Q1766" s="2" t="s">
        <v>99</v>
      </c>
      <c r="R1766" s="2" t="s">
        <v>100</v>
      </c>
      <c r="S1766" s="2" t="s">
        <v>5175</v>
      </c>
      <c r="T1766" s="2" t="s">
        <v>100</v>
      </c>
      <c r="U1766" s="2" t="s">
        <v>100</v>
      </c>
      <c r="V1766" s="2" t="s">
        <v>551</v>
      </c>
      <c r="W1766" s="2" t="s">
        <v>551</v>
      </c>
      <c r="X1766" s="2" t="s">
        <v>345</v>
      </c>
      <c r="Y1766" s="2" t="s">
        <v>131</v>
      </c>
      <c r="Z1766" s="4">
        <v>45</v>
      </c>
      <c r="AA1766" s="4">
        <f>=ROUNDDOWN(22.5,0)</f>
      </c>
      <c r="AB1766" s="5">
        <v>2</v>
      </c>
      <c r="AC1766" s="2" t="s">
        <v>2552</v>
      </c>
      <c r="AD1766" s="4">
        <v>30</v>
      </c>
      <c r="AE1766" s="4">
        <v>30</v>
      </c>
      <c r="AF1766" s="6">
        <v>66</v>
      </c>
      <c r="AG1766" s="6"/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>
        <v>0</v>
      </c>
      <c r="AP1766" s="4"/>
      <c r="AQ1766" s="8"/>
      <c r="AR1766" s="4"/>
      <c r="AS1766" s="8"/>
      <c r="AT1766" s="7"/>
      <c r="AU1766" s="7"/>
      <c r="AV1766" s="4" t="s">
        <v>100</v>
      </c>
      <c r="AW1766" s="8" t="s">
        <v>100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/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 t="s">
        <v>100</v>
      </c>
      <c r="BJ1766" s="4">
        <v>5</v>
      </c>
      <c r="BK1766" s="8">
        <v>365.86</v>
      </c>
      <c r="BL1766" s="2" t="s">
        <v>388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109</v>
      </c>
      <c r="BV1766" s="2" t="s">
        <v>97</v>
      </c>
      <c r="BW1766" s="2" t="s">
        <v>4114</v>
      </c>
      <c r="BX1766" s="2" t="s">
        <v>106</v>
      </c>
      <c r="BY1766" s="2" t="s">
        <v>112</v>
      </c>
      <c r="BZ1766" s="2" t="s">
        <v>100</v>
      </c>
    </row>
    <row r="1767">
      <c r="A1767" s="2" t="s">
        <v>5178</v>
      </c>
      <c r="B1767" s="2" t="s">
        <v>87</v>
      </c>
      <c r="C1767" s="2" t="s">
        <v>5155</v>
      </c>
      <c r="D1767" s="2" t="s">
        <v>89</v>
      </c>
      <c r="E1767" s="2" t="s">
        <v>90</v>
      </c>
      <c r="F1767" s="2" t="s">
        <v>5174</v>
      </c>
      <c r="G1767" s="2" t="s">
        <v>100</v>
      </c>
      <c r="H1767" s="2" t="s">
        <v>100</v>
      </c>
      <c r="I1767" s="2" t="s">
        <v>1860</v>
      </c>
      <c r="J1767" s="2" t="s">
        <v>114</v>
      </c>
      <c r="K1767" s="2" t="s">
        <v>253</v>
      </c>
      <c r="L1767" s="3">
        <v>89.42</v>
      </c>
      <c r="M1767" s="3">
        <v>93.89</v>
      </c>
      <c r="N1767" s="3">
        <v>189.99</v>
      </c>
      <c r="O1767" s="2" t="s">
        <v>97</v>
      </c>
      <c r="P1767" s="2" t="s">
        <v>587</v>
      </c>
      <c r="Q1767" s="2" t="s">
        <v>99</v>
      </c>
      <c r="R1767" s="2" t="s">
        <v>100</v>
      </c>
      <c r="S1767" s="2" t="s">
        <v>5175</v>
      </c>
      <c r="T1767" s="2" t="s">
        <v>100</v>
      </c>
      <c r="U1767" s="2" t="s">
        <v>100</v>
      </c>
      <c r="V1767" s="2" t="s">
        <v>551</v>
      </c>
      <c r="W1767" s="2" t="s">
        <v>551</v>
      </c>
      <c r="X1767" s="2" t="s">
        <v>345</v>
      </c>
      <c r="Y1767" s="2" t="s">
        <v>131</v>
      </c>
      <c r="Z1767" s="4">
        <v>61</v>
      </c>
      <c r="AA1767" s="4">
        <f>=ROUNDDOWN(15.25,0)</f>
      </c>
      <c r="AB1767" s="5">
        <v>4</v>
      </c>
      <c r="AC1767" s="2" t="s">
        <v>2552</v>
      </c>
      <c r="AD1767" s="4">
        <v>84</v>
      </c>
      <c r="AE1767" s="4">
        <v>84</v>
      </c>
      <c r="AF1767" s="6">
        <v>66</v>
      </c>
      <c r="AG1767" s="6"/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>
        <v>0</v>
      </c>
      <c r="AP1767" s="4">
        <v>1</v>
      </c>
      <c r="AQ1767" s="8">
        <v>98.59</v>
      </c>
      <c r="AR1767" s="4"/>
      <c r="AS1767" s="8"/>
      <c r="AT1767" s="7"/>
      <c r="AU1767" s="7"/>
      <c r="AV1767" s="4" t="s">
        <v>100</v>
      </c>
      <c r="AW1767" s="8" t="s">
        <v>100</v>
      </c>
      <c r="AX1767" s="4" t="s">
        <v>100</v>
      </c>
      <c r="AY1767" s="8" t="s">
        <v>100</v>
      </c>
      <c r="AZ1767" s="7" t="s">
        <v>100</v>
      </c>
      <c r="BA1767" s="7" t="s">
        <v>100</v>
      </c>
      <c r="BB1767" s="7">
        <v>1</v>
      </c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 t="s">
        <v>100</v>
      </c>
      <c r="BJ1767" s="4">
        <v>3</v>
      </c>
      <c r="BK1767" s="8">
        <v>268.31</v>
      </c>
      <c r="BL1767" s="2" t="s">
        <v>365</v>
      </c>
      <c r="BM1767" s="7">
        <v>0.3333</v>
      </c>
      <c r="BN1767" s="7">
        <v>0.3674</v>
      </c>
      <c r="BO1767" s="4">
        <v>1</v>
      </c>
      <c r="BP1767" s="8">
        <v>98.59</v>
      </c>
      <c r="BQ1767" s="4"/>
      <c r="BR1767" s="8"/>
      <c r="BS1767" s="7"/>
      <c r="BT1767" s="7"/>
      <c r="BU1767" s="2" t="s">
        <v>109</v>
      </c>
      <c r="BV1767" s="2" t="s">
        <v>97</v>
      </c>
      <c r="BW1767" s="2" t="s">
        <v>5179</v>
      </c>
      <c r="BX1767" s="2" t="s">
        <v>3091</v>
      </c>
      <c r="BY1767" s="2" t="s">
        <v>112</v>
      </c>
      <c r="BZ1767" s="2" t="s">
        <v>100</v>
      </c>
    </row>
    <row r="1768">
      <c r="A1768" s="2" t="s">
        <v>5180</v>
      </c>
      <c r="B1768" s="2" t="s">
        <v>87</v>
      </c>
      <c r="C1768" s="2" t="s">
        <v>5155</v>
      </c>
      <c r="D1768" s="2" t="s">
        <v>89</v>
      </c>
      <c r="E1768" s="2" t="s">
        <v>90</v>
      </c>
      <c r="F1768" s="2" t="s">
        <v>5174</v>
      </c>
      <c r="G1768" s="2" t="s">
        <v>100</v>
      </c>
      <c r="H1768" s="2" t="s">
        <v>100</v>
      </c>
      <c r="I1768" s="2" t="s">
        <v>1860</v>
      </c>
      <c r="J1768" s="2" t="s">
        <v>120</v>
      </c>
      <c r="K1768" s="2" t="s">
        <v>253</v>
      </c>
      <c r="L1768" s="3">
        <v>108.86</v>
      </c>
      <c r="M1768" s="3">
        <v>114.3</v>
      </c>
      <c r="N1768" s="3">
        <v>219.99</v>
      </c>
      <c r="O1768" s="2" t="s">
        <v>97</v>
      </c>
      <c r="P1768" s="2" t="s">
        <v>587</v>
      </c>
      <c r="Q1768" s="2" t="s">
        <v>99</v>
      </c>
      <c r="R1768" s="2" t="s">
        <v>100</v>
      </c>
      <c r="S1768" s="2" t="s">
        <v>5175</v>
      </c>
      <c r="T1768" s="2" t="s">
        <v>100</v>
      </c>
      <c r="U1768" s="2" t="s">
        <v>100</v>
      </c>
      <c r="V1768" s="2" t="s">
        <v>551</v>
      </c>
      <c r="W1768" s="2" t="s">
        <v>551</v>
      </c>
      <c r="X1768" s="2" t="s">
        <v>345</v>
      </c>
      <c r="Y1768" s="2" t="s">
        <v>131</v>
      </c>
      <c r="Z1768" s="4">
        <v>77</v>
      </c>
      <c r="AA1768" s="4">
        <f>=ROUNDDOWN(25.6666666666667,0)</f>
      </c>
      <c r="AB1768" s="5">
        <v>3</v>
      </c>
      <c r="AC1768" s="2" t="s">
        <v>2552</v>
      </c>
      <c r="AD1768" s="4">
        <v>53</v>
      </c>
      <c r="AE1768" s="4">
        <v>53</v>
      </c>
      <c r="AF1768" s="6">
        <v>66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>
        <v>0</v>
      </c>
      <c r="AP1768" s="4"/>
      <c r="AQ1768" s="8"/>
      <c r="AR1768" s="4"/>
      <c r="AS1768" s="8"/>
      <c r="AT1768" s="7"/>
      <c r="AU1768" s="7"/>
      <c r="AV1768" s="4" t="s">
        <v>100</v>
      </c>
      <c r="AW1768" s="8" t="s">
        <v>100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/>
      <c r="BC1768" s="4" t="s">
        <v>100</v>
      </c>
      <c r="BD1768" s="8" t="s">
        <v>100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 t="s">
        <v>100</v>
      </c>
      <c r="BJ1768" s="4">
        <v>1</v>
      </c>
      <c r="BK1768" s="8">
        <v>91.55</v>
      </c>
      <c r="BL1768" s="2" t="s">
        <v>133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109</v>
      </c>
      <c r="BV1768" s="2" t="s">
        <v>97</v>
      </c>
      <c r="BW1768" s="2" t="s">
        <v>4114</v>
      </c>
      <c r="BX1768" s="2" t="s">
        <v>3085</v>
      </c>
      <c r="BY1768" s="2" t="s">
        <v>112</v>
      </c>
      <c r="BZ1768" s="2" t="s">
        <v>100</v>
      </c>
    </row>
    <row r="1769">
      <c r="A1769" s="2" t="s">
        <v>5181</v>
      </c>
      <c r="B1769" s="2" t="s">
        <v>87</v>
      </c>
      <c r="C1769" s="2" t="s">
        <v>5155</v>
      </c>
      <c r="D1769" s="2" t="s">
        <v>89</v>
      </c>
      <c r="E1769" s="2" t="s">
        <v>90</v>
      </c>
      <c r="F1769" s="2" t="s">
        <v>5174</v>
      </c>
      <c r="G1769" s="2" t="s">
        <v>100</v>
      </c>
      <c r="H1769" s="2" t="s">
        <v>100</v>
      </c>
      <c r="I1769" s="2" t="s">
        <v>1860</v>
      </c>
      <c r="J1769" s="2" t="s">
        <v>124</v>
      </c>
      <c r="K1769" s="2" t="s">
        <v>253</v>
      </c>
      <c r="L1769" s="3">
        <v>108.86</v>
      </c>
      <c r="M1769" s="3">
        <v>114.3</v>
      </c>
      <c r="N1769" s="3">
        <v>219.99</v>
      </c>
      <c r="O1769" s="2" t="s">
        <v>97</v>
      </c>
      <c r="P1769" s="2" t="s">
        <v>587</v>
      </c>
      <c r="Q1769" s="2" t="s">
        <v>99</v>
      </c>
      <c r="R1769" s="2" t="s">
        <v>100</v>
      </c>
      <c r="S1769" s="2" t="s">
        <v>5175</v>
      </c>
      <c r="T1769" s="2" t="s">
        <v>100</v>
      </c>
      <c r="U1769" s="2" t="s">
        <v>100</v>
      </c>
      <c r="V1769" s="2" t="s">
        <v>551</v>
      </c>
      <c r="W1769" s="2" t="s">
        <v>551</v>
      </c>
      <c r="X1769" s="2" t="s">
        <v>345</v>
      </c>
      <c r="Y1769" s="2" t="s">
        <v>131</v>
      </c>
      <c r="Z1769" s="4">
        <v>31</v>
      </c>
      <c r="AA1769" s="4">
        <f>=ROUNDDOWN(15.5,0)</f>
      </c>
      <c r="AB1769" s="5">
        <v>2</v>
      </c>
      <c r="AC1769" s="2" t="s">
        <v>2552</v>
      </c>
      <c r="AD1769" s="4">
        <v>10</v>
      </c>
      <c r="AE1769" s="4">
        <v>10</v>
      </c>
      <c r="AF1769" s="6">
        <v>66</v>
      </c>
      <c r="AG1769" s="6"/>
      <c r="AH1769" s="7">
        <v>1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>
        <v>0</v>
      </c>
      <c r="AP1769" s="4"/>
      <c r="AQ1769" s="8"/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/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 t="s">
        <v>100</v>
      </c>
      <c r="BJ1769" s="4">
        <v>2</v>
      </c>
      <c r="BK1769" s="8">
        <v>203.85</v>
      </c>
      <c r="BL1769" s="2" t="s">
        <v>534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109</v>
      </c>
      <c r="BV1769" s="2" t="s">
        <v>97</v>
      </c>
      <c r="BW1769" s="2" t="s">
        <v>4114</v>
      </c>
      <c r="BX1769" s="2" t="s">
        <v>211</v>
      </c>
      <c r="BY1769" s="2" t="s">
        <v>112</v>
      </c>
      <c r="BZ1769" s="2" t="s">
        <v>100</v>
      </c>
    </row>
    <row r="1770">
      <c r="A1770" s="2" t="s">
        <v>5182</v>
      </c>
      <c r="B1770" s="2" t="s">
        <v>87</v>
      </c>
      <c r="C1770" s="2" t="s">
        <v>5155</v>
      </c>
      <c r="D1770" s="2" t="s">
        <v>89</v>
      </c>
      <c r="E1770" s="2" t="s">
        <v>90</v>
      </c>
      <c r="F1770" s="2" t="s">
        <v>5183</v>
      </c>
      <c r="G1770" s="2" t="s">
        <v>5183</v>
      </c>
      <c r="H1770" s="2" t="s">
        <v>5183</v>
      </c>
      <c r="I1770" s="2" t="s">
        <v>5184</v>
      </c>
      <c r="J1770" s="2" t="s">
        <v>785</v>
      </c>
      <c r="K1770" s="2" t="s">
        <v>175</v>
      </c>
      <c r="L1770" s="3">
        <v>103.4</v>
      </c>
      <c r="M1770" s="3">
        <v>108.57</v>
      </c>
      <c r="N1770" s="3">
        <v>229.99</v>
      </c>
      <c r="O1770" s="2" t="s">
        <v>97</v>
      </c>
      <c r="P1770" s="2" t="s">
        <v>281</v>
      </c>
      <c r="Q1770" s="2" t="s">
        <v>99</v>
      </c>
      <c r="R1770" s="2" t="s">
        <v>100</v>
      </c>
      <c r="S1770" s="2" t="s">
        <v>5185</v>
      </c>
      <c r="T1770" s="2" t="s">
        <v>100</v>
      </c>
      <c r="U1770" s="2" t="s">
        <v>100</v>
      </c>
      <c r="V1770" s="2" t="s">
        <v>805</v>
      </c>
      <c r="W1770" s="2" t="s">
        <v>345</v>
      </c>
      <c r="X1770" s="2" t="s">
        <v>551</v>
      </c>
      <c r="Y1770" s="2" t="s">
        <v>5167</v>
      </c>
      <c r="Z1770" s="4">
        <v>162</v>
      </c>
      <c r="AA1770" s="4">
        <f>=ROUNDDOWN(12.4615384615385,0)</f>
      </c>
      <c r="AB1770" s="5">
        <v>13</v>
      </c>
      <c r="AC1770" s="2" t="s">
        <v>680</v>
      </c>
      <c r="AD1770" s="4">
        <v>68</v>
      </c>
      <c r="AE1770" s="4">
        <v>322</v>
      </c>
      <c r="AF1770" s="6">
        <v>69</v>
      </c>
      <c r="AG1770" s="6"/>
      <c r="AH1770" s="7">
        <v>1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>
        <v>0</v>
      </c>
      <c r="AP1770" s="4"/>
      <c r="AQ1770" s="8"/>
      <c r="AR1770" s="4"/>
      <c r="AS1770" s="8"/>
      <c r="AT1770" s="7"/>
      <c r="AU1770" s="7"/>
      <c r="AV1770" s="4" t="s">
        <v>100</v>
      </c>
      <c r="AW1770" s="8" t="s">
        <v>100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/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/>
      <c r="BJ1770" s="4">
        <v>11</v>
      </c>
      <c r="BK1770" s="8">
        <v>1195.21</v>
      </c>
      <c r="BL1770" s="2" t="s">
        <v>5186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109</v>
      </c>
      <c r="BV1770" s="2" t="s">
        <v>97</v>
      </c>
      <c r="BW1770" s="2" t="s">
        <v>4114</v>
      </c>
      <c r="BX1770" s="2" t="s">
        <v>2072</v>
      </c>
      <c r="BY1770" s="2" t="s">
        <v>112</v>
      </c>
      <c r="BZ1770" s="2" t="s">
        <v>100</v>
      </c>
    </row>
    <row r="1771">
      <c r="A1771" s="2" t="s">
        <v>5187</v>
      </c>
      <c r="B1771" s="2" t="s">
        <v>87</v>
      </c>
      <c r="C1771" s="2" t="s">
        <v>5155</v>
      </c>
      <c r="D1771" s="2" t="s">
        <v>89</v>
      </c>
      <c r="E1771" s="2" t="s">
        <v>90</v>
      </c>
      <c r="F1771" s="2" t="s">
        <v>5183</v>
      </c>
      <c r="G1771" s="2" t="s">
        <v>5183</v>
      </c>
      <c r="H1771" s="2" t="s">
        <v>5183</v>
      </c>
      <c r="I1771" s="2" t="s">
        <v>5184</v>
      </c>
      <c r="J1771" s="2" t="s">
        <v>120</v>
      </c>
      <c r="K1771" s="2" t="s">
        <v>175</v>
      </c>
      <c r="L1771" s="3">
        <v>117.5</v>
      </c>
      <c r="M1771" s="3">
        <v>123.37</v>
      </c>
      <c r="N1771" s="3">
        <v>259.99</v>
      </c>
      <c r="O1771" s="2" t="s">
        <v>97</v>
      </c>
      <c r="P1771" s="2" t="s">
        <v>281</v>
      </c>
      <c r="Q1771" s="2" t="s">
        <v>99</v>
      </c>
      <c r="R1771" s="2" t="s">
        <v>100</v>
      </c>
      <c r="S1771" s="2" t="s">
        <v>5185</v>
      </c>
      <c r="T1771" s="2" t="s">
        <v>100</v>
      </c>
      <c r="U1771" s="2" t="s">
        <v>100</v>
      </c>
      <c r="V1771" s="2" t="s">
        <v>805</v>
      </c>
      <c r="W1771" s="2" t="s">
        <v>345</v>
      </c>
      <c r="X1771" s="2" t="s">
        <v>551</v>
      </c>
      <c r="Y1771" s="2" t="s">
        <v>5167</v>
      </c>
      <c r="Z1771" s="4">
        <v>262</v>
      </c>
      <c r="AA1771" s="4">
        <f>=ROUNDDOWN(13.1,0)</f>
      </c>
      <c r="AB1771" s="5">
        <v>20</v>
      </c>
      <c r="AC1771" s="2" t="s">
        <v>1377</v>
      </c>
      <c r="AD1771" s="4">
        <v>60</v>
      </c>
      <c r="AE1771" s="4">
        <v>480</v>
      </c>
      <c r="AF1771" s="6">
        <v>69</v>
      </c>
      <c r="AG1771" s="6"/>
      <c r="AH1771" s="7">
        <v>1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>
        <v>0</v>
      </c>
      <c r="AP1771" s="4"/>
      <c r="AQ1771" s="8"/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/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/>
      <c r="BJ1771" s="4">
        <v>14</v>
      </c>
      <c r="BK1771" s="8">
        <v>1747.62</v>
      </c>
      <c r="BL1771" s="2" t="s">
        <v>1751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109</v>
      </c>
      <c r="BV1771" s="2" t="s">
        <v>97</v>
      </c>
      <c r="BW1771" s="2" t="s">
        <v>5188</v>
      </c>
      <c r="BX1771" s="2" t="s">
        <v>437</v>
      </c>
      <c r="BY1771" s="2" t="s">
        <v>112</v>
      </c>
      <c r="BZ1771" s="2" t="s">
        <v>100</v>
      </c>
    </row>
    <row r="1772">
      <c r="A1772" s="2" t="s">
        <v>5189</v>
      </c>
      <c r="B1772" s="2" t="s">
        <v>87</v>
      </c>
      <c r="C1772" s="2" t="s">
        <v>5155</v>
      </c>
      <c r="D1772" s="2" t="s">
        <v>89</v>
      </c>
      <c r="E1772" s="2" t="s">
        <v>90</v>
      </c>
      <c r="F1772" s="2" t="s">
        <v>5190</v>
      </c>
      <c r="G1772" s="2" t="s">
        <v>5190</v>
      </c>
      <c r="H1772" s="2" t="s">
        <v>5190</v>
      </c>
      <c r="I1772" s="2" t="s">
        <v>5191</v>
      </c>
      <c r="J1772" s="2" t="s">
        <v>785</v>
      </c>
      <c r="K1772" s="2" t="s">
        <v>5192</v>
      </c>
      <c r="L1772" s="3">
        <v>105.6</v>
      </c>
      <c r="M1772" s="3">
        <v>110.88</v>
      </c>
      <c r="N1772" s="3">
        <v>219.99</v>
      </c>
      <c r="O1772" s="2" t="s">
        <v>473</v>
      </c>
      <c r="P1772" s="2" t="s">
        <v>447</v>
      </c>
      <c r="Q1772" s="2" t="s">
        <v>99</v>
      </c>
      <c r="R1772" s="2" t="s">
        <v>100</v>
      </c>
      <c r="S1772" s="2" t="s">
        <v>5193</v>
      </c>
      <c r="T1772" s="2" t="s">
        <v>359</v>
      </c>
      <c r="U1772" s="2" t="s">
        <v>644</v>
      </c>
      <c r="V1772" s="2" t="s">
        <v>805</v>
      </c>
      <c r="W1772" s="2" t="s">
        <v>551</v>
      </c>
      <c r="X1772" s="2" t="s">
        <v>345</v>
      </c>
      <c r="Y1772" s="2" t="s">
        <v>5194</v>
      </c>
      <c r="Z1772" s="4">
        <v>50</v>
      </c>
      <c r="AA1772" s="4">
        <f>=ROUNDDOWN(83.3333333333333,0)</f>
      </c>
      <c r="AB1772" s="5">
        <v>0.6</v>
      </c>
      <c r="AC1772" s="2" t="s">
        <v>100</v>
      </c>
      <c r="AD1772" s="4"/>
      <c r="AE1772" s="4"/>
      <c r="AF1772" s="6">
        <v>65</v>
      </c>
      <c r="AG1772" s="6"/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>
        <v>0</v>
      </c>
      <c r="AP1772" s="4"/>
      <c r="AQ1772" s="8"/>
      <c r="AR1772" s="4"/>
      <c r="AS1772" s="8"/>
      <c r="AT1772" s="7"/>
      <c r="AU1772" s="7"/>
      <c r="AV1772" s="4" t="s">
        <v>100</v>
      </c>
      <c r="AW1772" s="8" t="s">
        <v>100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/>
      <c r="BC1772" s="4" t="s">
        <v>100</v>
      </c>
      <c r="BD1772" s="8" t="s">
        <v>100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/>
      <c r="BJ1772" s="4">
        <v>1</v>
      </c>
      <c r="BK1772" s="8">
        <v>58.21</v>
      </c>
      <c r="BL1772" s="2" t="s">
        <v>210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3088</v>
      </c>
      <c r="BV1772" s="2" t="s">
        <v>97</v>
      </c>
      <c r="BW1772" s="2" t="s">
        <v>100</v>
      </c>
      <c r="BX1772" s="2" t="s">
        <v>100</v>
      </c>
      <c r="BY1772" s="2" t="s">
        <v>112</v>
      </c>
      <c r="BZ1772" s="2" t="s">
        <v>100</v>
      </c>
    </row>
    <row r="1773">
      <c r="A1773" s="2" t="s">
        <v>5195</v>
      </c>
      <c r="B1773" s="2" t="s">
        <v>87</v>
      </c>
      <c r="C1773" s="2" t="s">
        <v>5155</v>
      </c>
      <c r="D1773" s="2" t="s">
        <v>89</v>
      </c>
      <c r="E1773" s="2" t="s">
        <v>90</v>
      </c>
      <c r="F1773" s="2" t="s">
        <v>5190</v>
      </c>
      <c r="G1773" s="2" t="s">
        <v>5190</v>
      </c>
      <c r="H1773" s="2" t="s">
        <v>5190</v>
      </c>
      <c r="I1773" s="2" t="s">
        <v>5191</v>
      </c>
      <c r="J1773" s="2" t="s">
        <v>795</v>
      </c>
      <c r="K1773" s="2" t="s">
        <v>5192</v>
      </c>
      <c r="L1773" s="3">
        <v>115.2</v>
      </c>
      <c r="M1773" s="3">
        <v>120.96</v>
      </c>
      <c r="N1773" s="3">
        <v>239.99</v>
      </c>
      <c r="O1773" s="2" t="s">
        <v>473</v>
      </c>
      <c r="P1773" s="2" t="s">
        <v>447</v>
      </c>
      <c r="Q1773" s="2" t="s">
        <v>99</v>
      </c>
      <c r="R1773" s="2" t="s">
        <v>100</v>
      </c>
      <c r="S1773" s="2" t="s">
        <v>5193</v>
      </c>
      <c r="T1773" s="2" t="s">
        <v>359</v>
      </c>
      <c r="U1773" s="2" t="s">
        <v>644</v>
      </c>
      <c r="V1773" s="2" t="s">
        <v>805</v>
      </c>
      <c r="W1773" s="2" t="s">
        <v>551</v>
      </c>
      <c r="X1773" s="2" t="s">
        <v>345</v>
      </c>
      <c r="Y1773" s="2" t="s">
        <v>5194</v>
      </c>
      <c r="Z1773" s="4">
        <v>130</v>
      </c>
      <c r="AA1773" s="4">
        <f>=ROUNDDOWN(92.8571428571429,0)</f>
      </c>
      <c r="AB1773" s="5">
        <v>1.4</v>
      </c>
      <c r="AC1773" s="2" t="s">
        <v>100</v>
      </c>
      <c r="AD1773" s="4"/>
      <c r="AE1773" s="4"/>
      <c r="AF1773" s="6">
        <v>65</v>
      </c>
      <c r="AG1773" s="6"/>
      <c r="AH1773" s="7">
        <v>1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>
        <v>0</v>
      </c>
      <c r="AP1773" s="4"/>
      <c r="AQ1773" s="8"/>
      <c r="AR1773" s="4"/>
      <c r="AS1773" s="8"/>
      <c r="AT1773" s="7"/>
      <c r="AU1773" s="7"/>
      <c r="AV1773" s="4" t="s">
        <v>100</v>
      </c>
      <c r="AW1773" s="8" t="s">
        <v>100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/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/>
      <c r="BJ1773" s="4">
        <v>1</v>
      </c>
      <c r="BK1773" s="8">
        <v>63.51</v>
      </c>
      <c r="BL1773" s="2" t="s">
        <v>210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3088</v>
      </c>
      <c r="BV1773" s="2" t="s">
        <v>97</v>
      </c>
      <c r="BW1773" s="2" t="s">
        <v>100</v>
      </c>
      <c r="BX1773" s="2" t="s">
        <v>100</v>
      </c>
      <c r="BY1773" s="2" t="s">
        <v>112</v>
      </c>
      <c r="BZ1773" s="2" t="s">
        <v>100</v>
      </c>
    </row>
    <row r="1774">
      <c r="A1774" s="2" t="s">
        <v>5196</v>
      </c>
      <c r="B1774" s="2" t="s">
        <v>87</v>
      </c>
      <c r="C1774" s="2" t="s">
        <v>5155</v>
      </c>
      <c r="D1774" s="2" t="s">
        <v>89</v>
      </c>
      <c r="E1774" s="2" t="s">
        <v>90</v>
      </c>
      <c r="F1774" s="2" t="s">
        <v>5197</v>
      </c>
      <c r="G1774" s="2" t="s">
        <v>5197</v>
      </c>
      <c r="H1774" s="2" t="s">
        <v>5197</v>
      </c>
      <c r="I1774" s="2" t="s">
        <v>5198</v>
      </c>
      <c r="J1774" s="2" t="s">
        <v>114</v>
      </c>
      <c r="K1774" s="2" t="s">
        <v>253</v>
      </c>
      <c r="L1774" s="3">
        <v>80.03</v>
      </c>
      <c r="M1774" s="3">
        <v>84.03</v>
      </c>
      <c r="N1774" s="3">
        <v>174.99</v>
      </c>
      <c r="O1774" s="2" t="s">
        <v>97</v>
      </c>
      <c r="P1774" s="2" t="s">
        <v>587</v>
      </c>
      <c r="Q1774" s="2" t="s">
        <v>99</v>
      </c>
      <c r="R1774" s="2" t="s">
        <v>100</v>
      </c>
      <c r="S1774" s="2" t="s">
        <v>5199</v>
      </c>
      <c r="T1774" s="2" t="s">
        <v>100</v>
      </c>
      <c r="U1774" s="2" t="s">
        <v>1459</v>
      </c>
      <c r="V1774" s="2" t="s">
        <v>632</v>
      </c>
      <c r="W1774" s="2" t="s">
        <v>244</v>
      </c>
      <c r="X1774" s="2" t="s">
        <v>345</v>
      </c>
      <c r="Y1774" s="2" t="s">
        <v>131</v>
      </c>
      <c r="Z1774" s="4">
        <v>107</v>
      </c>
      <c r="AA1774" s="4">
        <f>=ROUNDDOWN(17.8333333333333,0)</f>
      </c>
      <c r="AB1774" s="5">
        <v>6</v>
      </c>
      <c r="AC1774" s="2" t="s">
        <v>429</v>
      </c>
      <c r="AD1774" s="4">
        <v>75</v>
      </c>
      <c r="AE1774" s="4">
        <v>75</v>
      </c>
      <c r="AF1774" s="6">
        <v>66</v>
      </c>
      <c r="AG1774" s="6"/>
      <c r="AH1774" s="7">
        <v>1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>
        <v>0</v>
      </c>
      <c r="AP1774" s="4"/>
      <c r="AQ1774" s="8"/>
      <c r="AR1774" s="4"/>
      <c r="AS1774" s="8"/>
      <c r="AT1774" s="7"/>
      <c r="AU1774" s="7"/>
      <c r="AV1774" s="4" t="s">
        <v>100</v>
      </c>
      <c r="AW1774" s="8" t="s">
        <v>100</v>
      </c>
      <c r="AX1774" s="4" t="s">
        <v>100</v>
      </c>
      <c r="AY1774" s="8" t="s">
        <v>100</v>
      </c>
      <c r="AZ1774" s="7" t="s">
        <v>100</v>
      </c>
      <c r="BA1774" s="7" t="s">
        <v>100</v>
      </c>
      <c r="BB1774" s="7"/>
      <c r="BC1774" s="4" t="s">
        <v>100</v>
      </c>
      <c r="BD1774" s="8" t="s">
        <v>100</v>
      </c>
      <c r="BE1774" s="4" t="s">
        <v>100</v>
      </c>
      <c r="BF1774" s="8" t="s">
        <v>100</v>
      </c>
      <c r="BG1774" s="7" t="s">
        <v>100</v>
      </c>
      <c r="BH1774" s="7" t="s">
        <v>100</v>
      </c>
      <c r="BI1774" s="7"/>
      <c r="BJ1774" s="4">
        <v>4</v>
      </c>
      <c r="BK1774" s="8">
        <v>301.7</v>
      </c>
      <c r="BL1774" s="2" t="s">
        <v>504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109</v>
      </c>
      <c r="BV1774" s="2" t="s">
        <v>97</v>
      </c>
      <c r="BW1774" s="2" t="s">
        <v>4114</v>
      </c>
      <c r="BX1774" s="2" t="s">
        <v>5200</v>
      </c>
      <c r="BY1774" s="2" t="s">
        <v>112</v>
      </c>
      <c r="BZ1774" s="2" t="s">
        <v>100</v>
      </c>
    </row>
    <row r="1775">
      <c r="A1775" s="2" t="s">
        <v>5201</v>
      </c>
      <c r="B1775" s="2" t="s">
        <v>87</v>
      </c>
      <c r="C1775" s="2" t="s">
        <v>5155</v>
      </c>
      <c r="D1775" s="2" t="s">
        <v>89</v>
      </c>
      <c r="E1775" s="2" t="s">
        <v>90</v>
      </c>
      <c r="F1775" s="2" t="s">
        <v>5197</v>
      </c>
      <c r="G1775" s="2" t="s">
        <v>5197</v>
      </c>
      <c r="H1775" s="2" t="s">
        <v>5197</v>
      </c>
      <c r="I1775" s="2" t="s">
        <v>5198</v>
      </c>
      <c r="J1775" s="2" t="s">
        <v>120</v>
      </c>
      <c r="K1775" s="2" t="s">
        <v>253</v>
      </c>
      <c r="L1775" s="3">
        <v>96.59</v>
      </c>
      <c r="M1775" s="3">
        <v>101.42</v>
      </c>
      <c r="N1775" s="3">
        <v>204.99</v>
      </c>
      <c r="O1775" s="2" t="s">
        <v>97</v>
      </c>
      <c r="P1775" s="2" t="s">
        <v>587</v>
      </c>
      <c r="Q1775" s="2" t="s">
        <v>99</v>
      </c>
      <c r="R1775" s="2" t="s">
        <v>100</v>
      </c>
      <c r="S1775" s="2" t="s">
        <v>5199</v>
      </c>
      <c r="T1775" s="2" t="s">
        <v>100</v>
      </c>
      <c r="U1775" s="2" t="s">
        <v>1459</v>
      </c>
      <c r="V1775" s="2" t="s">
        <v>632</v>
      </c>
      <c r="W1775" s="2" t="s">
        <v>244</v>
      </c>
      <c r="X1775" s="2" t="s">
        <v>345</v>
      </c>
      <c r="Y1775" s="2" t="s">
        <v>131</v>
      </c>
      <c r="Z1775" s="4">
        <v>153</v>
      </c>
      <c r="AA1775" s="4">
        <f>=ROUNDDOWN(19.125,0)</f>
      </c>
      <c r="AB1775" s="5">
        <v>8</v>
      </c>
      <c r="AC1775" s="2" t="s">
        <v>429</v>
      </c>
      <c r="AD1775" s="4">
        <v>110</v>
      </c>
      <c r="AE1775" s="4">
        <v>110</v>
      </c>
      <c r="AF1775" s="6">
        <v>66</v>
      </c>
      <c r="AG1775" s="6"/>
      <c r="AH1775" s="7">
        <v>1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>
        <v>0</v>
      </c>
      <c r="AP1775" s="4"/>
      <c r="AQ1775" s="8"/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/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/>
      <c r="BJ1775" s="4">
        <v>2</v>
      </c>
      <c r="BK1775" s="8">
        <v>180.4</v>
      </c>
      <c r="BL1775" s="2" t="s">
        <v>1310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109</v>
      </c>
      <c r="BV1775" s="2" t="s">
        <v>97</v>
      </c>
      <c r="BW1775" s="2" t="s">
        <v>4114</v>
      </c>
      <c r="BX1775" s="2" t="s">
        <v>5202</v>
      </c>
      <c r="BY1775" s="2" t="s">
        <v>112</v>
      </c>
      <c r="BZ1775" s="2" t="s">
        <v>100</v>
      </c>
    </row>
    <row r="1776">
      <c r="A1776" s="2" t="s">
        <v>5203</v>
      </c>
      <c r="B1776" s="2" t="s">
        <v>87</v>
      </c>
      <c r="C1776" s="2" t="s">
        <v>5155</v>
      </c>
      <c r="D1776" s="2" t="s">
        <v>89</v>
      </c>
      <c r="E1776" s="2" t="s">
        <v>90</v>
      </c>
      <c r="F1776" s="2" t="s">
        <v>5204</v>
      </c>
      <c r="G1776" s="2" t="s">
        <v>5204</v>
      </c>
      <c r="H1776" s="2" t="s">
        <v>5204</v>
      </c>
      <c r="I1776" s="2" t="s">
        <v>5205</v>
      </c>
      <c r="J1776" s="2" t="s">
        <v>2236</v>
      </c>
      <c r="K1776" s="2" t="s">
        <v>340</v>
      </c>
      <c r="L1776" s="3">
        <v>80</v>
      </c>
      <c r="M1776" s="3">
        <v>83.99</v>
      </c>
      <c r="N1776" s="3">
        <v>174.99</v>
      </c>
      <c r="O1776" s="2" t="s">
        <v>97</v>
      </c>
      <c r="P1776" s="2" t="s">
        <v>383</v>
      </c>
      <c r="Q1776" s="2" t="s">
        <v>99</v>
      </c>
      <c r="R1776" s="2" t="s">
        <v>100</v>
      </c>
      <c r="S1776" s="2" t="s">
        <v>5206</v>
      </c>
      <c r="T1776" s="2" t="s">
        <v>100</v>
      </c>
      <c r="U1776" s="2" t="s">
        <v>100</v>
      </c>
      <c r="V1776" s="2" t="s">
        <v>551</v>
      </c>
      <c r="W1776" s="2" t="s">
        <v>551</v>
      </c>
      <c r="X1776" s="2" t="s">
        <v>345</v>
      </c>
      <c r="Y1776" s="2" t="s">
        <v>131</v>
      </c>
      <c r="Z1776" s="4">
        <v>83</v>
      </c>
      <c r="AA1776" s="4">
        <f>=ROUNDDOWN(41.5,0)</f>
      </c>
      <c r="AB1776" s="5">
        <v>2</v>
      </c>
      <c r="AC1776" s="2" t="s">
        <v>100</v>
      </c>
      <c r="AD1776" s="4"/>
      <c r="AE1776" s="4"/>
      <c r="AF1776" s="6">
        <v>68</v>
      </c>
      <c r="AG1776" s="6"/>
      <c r="AH1776" s="7">
        <v>1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>
        <v>0</v>
      </c>
      <c r="AP1776" s="4"/>
      <c r="AQ1776" s="8"/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/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/>
      <c r="BJ1776" s="4"/>
      <c r="BK1776" s="8"/>
      <c r="BL1776" s="2" t="s">
        <v>100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109</v>
      </c>
      <c r="BV1776" s="2" t="s">
        <v>97</v>
      </c>
      <c r="BW1776" s="2" t="s">
        <v>4114</v>
      </c>
      <c r="BX1776" s="2" t="s">
        <v>5207</v>
      </c>
      <c r="BY1776" s="2" t="s">
        <v>112</v>
      </c>
      <c r="BZ1776" s="2" t="s">
        <v>100</v>
      </c>
    </row>
    <row r="1777">
      <c r="A1777" s="2" t="s">
        <v>5208</v>
      </c>
      <c r="B1777" s="2" t="s">
        <v>87</v>
      </c>
      <c r="C1777" s="2" t="s">
        <v>5155</v>
      </c>
      <c r="D1777" s="2" t="s">
        <v>89</v>
      </c>
      <c r="E1777" s="2" t="s">
        <v>90</v>
      </c>
      <c r="F1777" s="2" t="s">
        <v>5204</v>
      </c>
      <c r="G1777" s="2" t="s">
        <v>5204</v>
      </c>
      <c r="H1777" s="2" t="s">
        <v>5204</v>
      </c>
      <c r="I1777" s="2" t="s">
        <v>5205</v>
      </c>
      <c r="J1777" s="2" t="s">
        <v>95</v>
      </c>
      <c r="K1777" s="2" t="s">
        <v>340</v>
      </c>
      <c r="L1777" s="3">
        <v>95</v>
      </c>
      <c r="M1777" s="3">
        <v>99.74</v>
      </c>
      <c r="N1777" s="3">
        <v>204.99</v>
      </c>
      <c r="O1777" s="2" t="s">
        <v>97</v>
      </c>
      <c r="P1777" s="2" t="s">
        <v>383</v>
      </c>
      <c r="Q1777" s="2" t="s">
        <v>99</v>
      </c>
      <c r="R1777" s="2" t="s">
        <v>100</v>
      </c>
      <c r="S1777" s="2" t="s">
        <v>5206</v>
      </c>
      <c r="T1777" s="2" t="s">
        <v>100</v>
      </c>
      <c r="U1777" s="2" t="s">
        <v>100</v>
      </c>
      <c r="V1777" s="2" t="s">
        <v>551</v>
      </c>
      <c r="W1777" s="2" t="s">
        <v>551</v>
      </c>
      <c r="X1777" s="2" t="s">
        <v>345</v>
      </c>
      <c r="Y1777" s="2" t="s">
        <v>131</v>
      </c>
      <c r="Z1777" s="4">
        <v>35</v>
      </c>
      <c r="AA1777" s="4">
        <f>=ROUNDDOWN(11.6666666666667,0)</f>
      </c>
      <c r="AB1777" s="5">
        <v>3</v>
      </c>
      <c r="AC1777" s="2" t="s">
        <v>790</v>
      </c>
      <c r="AD1777" s="4">
        <v>40</v>
      </c>
      <c r="AE1777" s="4">
        <v>70</v>
      </c>
      <c r="AF1777" s="6">
        <v>68</v>
      </c>
      <c r="AG1777" s="6"/>
      <c r="AH1777" s="7">
        <v>1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 t="s">
        <v>100</v>
      </c>
      <c r="AW1777" s="8" t="s">
        <v>100</v>
      </c>
      <c r="AX1777" s="4" t="s">
        <v>100</v>
      </c>
      <c r="AY1777" s="8" t="s">
        <v>100</v>
      </c>
      <c r="AZ1777" s="7" t="s">
        <v>100</v>
      </c>
      <c r="BA1777" s="7" t="s">
        <v>100</v>
      </c>
      <c r="BB1777" s="7"/>
      <c r="BC1777" s="4" t="s">
        <v>100</v>
      </c>
      <c r="BD1777" s="8" t="s">
        <v>100</v>
      </c>
      <c r="BE1777" s="4" t="s">
        <v>100</v>
      </c>
      <c r="BF1777" s="8" t="s">
        <v>100</v>
      </c>
      <c r="BG1777" s="7" t="s">
        <v>100</v>
      </c>
      <c r="BH1777" s="7" t="s">
        <v>100</v>
      </c>
      <c r="BI1777" s="7"/>
      <c r="BJ1777" s="4"/>
      <c r="BK1777" s="8"/>
      <c r="BL1777" s="2" t="s">
        <v>100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109</v>
      </c>
      <c r="BV1777" s="2" t="s">
        <v>97</v>
      </c>
      <c r="BW1777" s="2" t="s">
        <v>4114</v>
      </c>
      <c r="BX1777" s="2" t="s">
        <v>5209</v>
      </c>
      <c r="BY1777" s="2" t="s">
        <v>112</v>
      </c>
      <c r="BZ1777" s="2" t="s">
        <v>100</v>
      </c>
    </row>
    <row r="1778">
      <c r="A1778" s="2" t="s">
        <v>5210</v>
      </c>
      <c r="B1778" s="2" t="s">
        <v>87</v>
      </c>
      <c r="C1778" s="2" t="s">
        <v>5155</v>
      </c>
      <c r="D1778" s="2" t="s">
        <v>89</v>
      </c>
      <c r="E1778" s="2" t="s">
        <v>90</v>
      </c>
      <c r="F1778" s="2" t="s">
        <v>5204</v>
      </c>
      <c r="G1778" s="2" t="s">
        <v>5204</v>
      </c>
      <c r="H1778" s="2" t="s">
        <v>5204</v>
      </c>
      <c r="I1778" s="2" t="s">
        <v>5205</v>
      </c>
      <c r="J1778" s="2" t="s">
        <v>114</v>
      </c>
      <c r="K1778" s="2" t="s">
        <v>340</v>
      </c>
      <c r="L1778" s="3">
        <v>100</v>
      </c>
      <c r="M1778" s="3">
        <v>104.99</v>
      </c>
      <c r="N1778" s="3">
        <v>214.99</v>
      </c>
      <c r="O1778" s="2" t="s">
        <v>97</v>
      </c>
      <c r="P1778" s="2" t="s">
        <v>383</v>
      </c>
      <c r="Q1778" s="2" t="s">
        <v>99</v>
      </c>
      <c r="R1778" s="2" t="s">
        <v>100</v>
      </c>
      <c r="S1778" s="2" t="s">
        <v>5206</v>
      </c>
      <c r="T1778" s="2" t="s">
        <v>100</v>
      </c>
      <c r="U1778" s="2" t="s">
        <v>100</v>
      </c>
      <c r="V1778" s="2" t="s">
        <v>551</v>
      </c>
      <c r="W1778" s="2" t="s">
        <v>551</v>
      </c>
      <c r="X1778" s="2" t="s">
        <v>345</v>
      </c>
      <c r="Y1778" s="2" t="s">
        <v>131</v>
      </c>
      <c r="Z1778" s="4">
        <v>154</v>
      </c>
      <c r="AA1778" s="4">
        <f>=ROUNDDOWN(30.8,0)</f>
      </c>
      <c r="AB1778" s="5">
        <v>5</v>
      </c>
      <c r="AC1778" s="2" t="s">
        <v>5211</v>
      </c>
      <c r="AD1778" s="4">
        <v>60</v>
      </c>
      <c r="AE1778" s="4">
        <v>60</v>
      </c>
      <c r="AF1778" s="6">
        <v>68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>
        <v>0</v>
      </c>
      <c r="AP1778" s="4"/>
      <c r="AQ1778" s="8"/>
      <c r="AR1778" s="4"/>
      <c r="AS1778" s="8"/>
      <c r="AT1778" s="7"/>
      <c r="AU1778" s="7"/>
      <c r="AV1778" s="4" t="s">
        <v>100</v>
      </c>
      <c r="AW1778" s="8" t="s">
        <v>100</v>
      </c>
      <c r="AX1778" s="4" t="s">
        <v>100</v>
      </c>
      <c r="AY1778" s="8" t="s">
        <v>100</v>
      </c>
      <c r="AZ1778" s="7" t="s">
        <v>100</v>
      </c>
      <c r="BA1778" s="7" t="s">
        <v>100</v>
      </c>
      <c r="BB1778" s="7"/>
      <c r="BC1778" s="4" t="s">
        <v>100</v>
      </c>
      <c r="BD1778" s="8" t="s">
        <v>100</v>
      </c>
      <c r="BE1778" s="4" t="s">
        <v>100</v>
      </c>
      <c r="BF1778" s="8" t="s">
        <v>100</v>
      </c>
      <c r="BG1778" s="7" t="s">
        <v>100</v>
      </c>
      <c r="BH1778" s="7" t="s">
        <v>100</v>
      </c>
      <c r="BI1778" s="7"/>
      <c r="BJ1778" s="4">
        <v>2</v>
      </c>
      <c r="BK1778" s="8">
        <v>225.64</v>
      </c>
      <c r="BL1778" s="2" t="s">
        <v>1356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109</v>
      </c>
      <c r="BV1778" s="2" t="s">
        <v>97</v>
      </c>
      <c r="BW1778" s="2" t="s">
        <v>4114</v>
      </c>
      <c r="BX1778" s="2" t="s">
        <v>5212</v>
      </c>
      <c r="BY1778" s="2" t="s">
        <v>112</v>
      </c>
      <c r="BZ1778" s="2" t="s">
        <v>100</v>
      </c>
    </row>
    <row r="1779">
      <c r="A1779" s="2" t="s">
        <v>5213</v>
      </c>
      <c r="B1779" s="2" t="s">
        <v>87</v>
      </c>
      <c r="C1779" s="2" t="s">
        <v>5155</v>
      </c>
      <c r="D1779" s="2" t="s">
        <v>89</v>
      </c>
      <c r="E1779" s="2" t="s">
        <v>90</v>
      </c>
      <c r="F1779" s="2" t="s">
        <v>5204</v>
      </c>
      <c r="G1779" s="2" t="s">
        <v>5204</v>
      </c>
      <c r="H1779" s="2" t="s">
        <v>5204</v>
      </c>
      <c r="I1779" s="2" t="s">
        <v>5205</v>
      </c>
      <c r="J1779" s="2" t="s">
        <v>120</v>
      </c>
      <c r="K1779" s="2" t="s">
        <v>340</v>
      </c>
      <c r="L1779" s="3">
        <v>110</v>
      </c>
      <c r="M1779" s="3">
        <v>115.49</v>
      </c>
      <c r="N1779" s="3">
        <v>234.99</v>
      </c>
      <c r="O1779" s="2" t="s">
        <v>97</v>
      </c>
      <c r="P1779" s="2" t="s">
        <v>383</v>
      </c>
      <c r="Q1779" s="2" t="s">
        <v>99</v>
      </c>
      <c r="R1779" s="2" t="s">
        <v>100</v>
      </c>
      <c r="S1779" s="2" t="s">
        <v>5206</v>
      </c>
      <c r="T1779" s="2" t="s">
        <v>100</v>
      </c>
      <c r="U1779" s="2" t="s">
        <v>100</v>
      </c>
      <c r="V1779" s="2" t="s">
        <v>551</v>
      </c>
      <c r="W1779" s="2" t="s">
        <v>551</v>
      </c>
      <c r="X1779" s="2" t="s">
        <v>345</v>
      </c>
      <c r="Y1779" s="2" t="s">
        <v>131</v>
      </c>
      <c r="Z1779" s="4">
        <v>236</v>
      </c>
      <c r="AA1779" s="4">
        <f>=ROUNDDOWN(33.7142857142857,0)</f>
      </c>
      <c r="AB1779" s="5">
        <v>7</v>
      </c>
      <c r="AC1779" s="2" t="s">
        <v>5211</v>
      </c>
      <c r="AD1779" s="4">
        <v>60</v>
      </c>
      <c r="AE1779" s="4">
        <v>60</v>
      </c>
      <c r="AF1779" s="6">
        <v>68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>
        <v>0</v>
      </c>
      <c r="AP1779" s="4"/>
      <c r="AQ1779" s="8"/>
      <c r="AR1779" s="4"/>
      <c r="AS1779" s="8"/>
      <c r="AT1779" s="7"/>
      <c r="AU1779" s="7"/>
      <c r="AV1779" s="4" t="s">
        <v>100</v>
      </c>
      <c r="AW1779" s="8" t="s">
        <v>100</v>
      </c>
      <c r="AX1779" s="4" t="s">
        <v>100</v>
      </c>
      <c r="AY1779" s="8" t="s">
        <v>100</v>
      </c>
      <c r="AZ1779" s="7" t="s">
        <v>100</v>
      </c>
      <c r="BA1779" s="7" t="s">
        <v>100</v>
      </c>
      <c r="BB1779" s="7"/>
      <c r="BC1779" s="4" t="s">
        <v>100</v>
      </c>
      <c r="BD1779" s="8" t="s">
        <v>100</v>
      </c>
      <c r="BE1779" s="4" t="s">
        <v>100</v>
      </c>
      <c r="BF1779" s="8" t="s">
        <v>100</v>
      </c>
      <c r="BG1779" s="7" t="s">
        <v>100</v>
      </c>
      <c r="BH1779" s="7" t="s">
        <v>100</v>
      </c>
      <c r="BI1779" s="7"/>
      <c r="BJ1779" s="4">
        <v>4</v>
      </c>
      <c r="BK1779" s="8">
        <v>501.24</v>
      </c>
      <c r="BL1779" s="2" t="s">
        <v>5214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109</v>
      </c>
      <c r="BV1779" s="2" t="s">
        <v>97</v>
      </c>
      <c r="BW1779" s="2" t="s">
        <v>4114</v>
      </c>
      <c r="BX1779" s="2" t="s">
        <v>5215</v>
      </c>
      <c r="BY1779" s="2" t="s">
        <v>112</v>
      </c>
      <c r="BZ1779" s="2" t="s">
        <v>100</v>
      </c>
    </row>
    <row r="1780">
      <c r="A1780" s="2" t="s">
        <v>5216</v>
      </c>
      <c r="B1780" s="2" t="s">
        <v>87</v>
      </c>
      <c r="C1780" s="2" t="s">
        <v>5155</v>
      </c>
      <c r="D1780" s="2" t="s">
        <v>89</v>
      </c>
      <c r="E1780" s="2" t="s">
        <v>90</v>
      </c>
      <c r="F1780" s="2" t="s">
        <v>5204</v>
      </c>
      <c r="G1780" s="2" t="s">
        <v>5204</v>
      </c>
      <c r="H1780" s="2" t="s">
        <v>5204</v>
      </c>
      <c r="I1780" s="2" t="s">
        <v>5205</v>
      </c>
      <c r="J1780" s="2" t="s">
        <v>124</v>
      </c>
      <c r="K1780" s="2" t="s">
        <v>340</v>
      </c>
      <c r="L1780" s="3">
        <v>110</v>
      </c>
      <c r="M1780" s="3">
        <v>115.49</v>
      </c>
      <c r="N1780" s="3">
        <v>234.99</v>
      </c>
      <c r="O1780" s="2" t="s">
        <v>97</v>
      </c>
      <c r="P1780" s="2" t="s">
        <v>383</v>
      </c>
      <c r="Q1780" s="2" t="s">
        <v>99</v>
      </c>
      <c r="R1780" s="2" t="s">
        <v>100</v>
      </c>
      <c r="S1780" s="2" t="s">
        <v>5206</v>
      </c>
      <c r="T1780" s="2" t="s">
        <v>100</v>
      </c>
      <c r="U1780" s="2" t="s">
        <v>100</v>
      </c>
      <c r="V1780" s="2" t="s">
        <v>551</v>
      </c>
      <c r="W1780" s="2" t="s">
        <v>551</v>
      </c>
      <c r="X1780" s="2" t="s">
        <v>345</v>
      </c>
      <c r="Y1780" s="2" t="s">
        <v>131</v>
      </c>
      <c r="Z1780" s="4">
        <v>58</v>
      </c>
      <c r="AA1780" s="4">
        <f>=ROUNDDOWN(19.3333333333333,0)</f>
      </c>
      <c r="AB1780" s="5">
        <v>3</v>
      </c>
      <c r="AC1780" s="2" t="s">
        <v>790</v>
      </c>
      <c r="AD1780" s="4">
        <v>50</v>
      </c>
      <c r="AE1780" s="4">
        <v>95</v>
      </c>
      <c r="AF1780" s="6">
        <v>68</v>
      </c>
      <c r="AG1780" s="6"/>
      <c r="AH1780" s="7">
        <v>0.8571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>
        <v>0</v>
      </c>
      <c r="AP1780" s="4"/>
      <c r="AQ1780" s="8"/>
      <c r="AR1780" s="4"/>
      <c r="AS1780" s="8"/>
      <c r="AT1780" s="7"/>
      <c r="AU1780" s="7"/>
      <c r="AV1780" s="4" t="s">
        <v>100</v>
      </c>
      <c r="AW1780" s="8" t="s">
        <v>100</v>
      </c>
      <c r="AX1780" s="4" t="s">
        <v>100</v>
      </c>
      <c r="AY1780" s="8" t="s">
        <v>100</v>
      </c>
      <c r="AZ1780" s="7" t="s">
        <v>100</v>
      </c>
      <c r="BA1780" s="7" t="s">
        <v>100</v>
      </c>
      <c r="BB1780" s="7"/>
      <c r="BC1780" s="4" t="s">
        <v>100</v>
      </c>
      <c r="BD1780" s="8" t="s">
        <v>100</v>
      </c>
      <c r="BE1780" s="4" t="s">
        <v>100</v>
      </c>
      <c r="BF1780" s="8" t="s">
        <v>100</v>
      </c>
      <c r="BG1780" s="7" t="s">
        <v>100</v>
      </c>
      <c r="BH1780" s="7" t="s">
        <v>100</v>
      </c>
      <c r="BI1780" s="7"/>
      <c r="BJ1780" s="4">
        <v>1</v>
      </c>
      <c r="BK1780" s="8">
        <v>125.27</v>
      </c>
      <c r="BL1780" s="2" t="s">
        <v>2115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109</v>
      </c>
      <c r="BV1780" s="2" t="s">
        <v>97</v>
      </c>
      <c r="BW1780" s="2" t="s">
        <v>4114</v>
      </c>
      <c r="BX1780" s="2" t="s">
        <v>5217</v>
      </c>
      <c r="BY1780" s="2" t="s">
        <v>112</v>
      </c>
      <c r="BZ1780" s="2" t="s">
        <v>100</v>
      </c>
    </row>
    <row r="1781">
      <c r="A1781" s="2" t="s">
        <v>5218</v>
      </c>
      <c r="B1781" s="2" t="s">
        <v>87</v>
      </c>
      <c r="C1781" s="2" t="s">
        <v>5155</v>
      </c>
      <c r="D1781" s="2" t="s">
        <v>89</v>
      </c>
      <c r="E1781" s="2" t="s">
        <v>90</v>
      </c>
      <c r="F1781" s="2" t="s">
        <v>5204</v>
      </c>
      <c r="G1781" s="2" t="s">
        <v>5204</v>
      </c>
      <c r="H1781" s="2" t="s">
        <v>5204</v>
      </c>
      <c r="I1781" s="2" t="s">
        <v>5219</v>
      </c>
      <c r="J1781" s="2" t="s">
        <v>95</v>
      </c>
      <c r="K1781" s="2" t="s">
        <v>1746</v>
      </c>
      <c r="L1781" s="3">
        <v>100</v>
      </c>
      <c r="M1781" s="3">
        <v>104.99</v>
      </c>
      <c r="N1781" s="3">
        <v>214.99</v>
      </c>
      <c r="O1781" s="2" t="s">
        <v>97</v>
      </c>
      <c r="P1781" s="2" t="s">
        <v>587</v>
      </c>
      <c r="Q1781" s="2" t="s">
        <v>99</v>
      </c>
      <c r="R1781" s="2" t="s">
        <v>100</v>
      </c>
      <c r="S1781" s="2" t="s">
        <v>5220</v>
      </c>
      <c r="T1781" s="2" t="s">
        <v>100</v>
      </c>
      <c r="U1781" s="2" t="s">
        <v>676</v>
      </c>
      <c r="V1781" s="2" t="s">
        <v>551</v>
      </c>
      <c r="W1781" s="2" t="s">
        <v>551</v>
      </c>
      <c r="X1781" s="2" t="s">
        <v>345</v>
      </c>
      <c r="Y1781" s="2" t="s">
        <v>131</v>
      </c>
      <c r="Z1781" s="4">
        <v>54</v>
      </c>
      <c r="AA1781" s="4">
        <f>=ROUNDDOWN(54,0)</f>
      </c>
      <c r="AB1781" s="5">
        <v>1</v>
      </c>
      <c r="AC1781" s="2" t="s">
        <v>100</v>
      </c>
      <c r="AD1781" s="4"/>
      <c r="AE1781" s="4"/>
      <c r="AF1781" s="6">
        <v>68</v>
      </c>
      <c r="AG1781" s="6"/>
      <c r="AH1781" s="7">
        <v>1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>
        <v>0</v>
      </c>
      <c r="AP1781" s="4"/>
      <c r="AQ1781" s="8"/>
      <c r="AR1781" s="4"/>
      <c r="AS1781" s="8"/>
      <c r="AT1781" s="7"/>
      <c r="AU1781" s="7"/>
      <c r="AV1781" s="4" t="s">
        <v>100</v>
      </c>
      <c r="AW1781" s="8" t="s">
        <v>100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/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/>
      <c r="BJ1781" s="4"/>
      <c r="BK1781" s="8"/>
      <c r="BL1781" s="2" t="s">
        <v>100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109</v>
      </c>
      <c r="BV1781" s="2" t="s">
        <v>97</v>
      </c>
      <c r="BW1781" s="2" t="s">
        <v>4114</v>
      </c>
      <c r="BX1781" s="2" t="s">
        <v>5221</v>
      </c>
      <c r="BY1781" s="2" t="s">
        <v>112</v>
      </c>
      <c r="BZ1781" s="2" t="s">
        <v>100</v>
      </c>
    </row>
    <row r="1782">
      <c r="A1782" s="2" t="s">
        <v>5222</v>
      </c>
      <c r="B1782" s="2" t="s">
        <v>87</v>
      </c>
      <c r="C1782" s="2" t="s">
        <v>5155</v>
      </c>
      <c r="D1782" s="2" t="s">
        <v>89</v>
      </c>
      <c r="E1782" s="2" t="s">
        <v>90</v>
      </c>
      <c r="F1782" s="2" t="s">
        <v>5204</v>
      </c>
      <c r="G1782" s="2" t="s">
        <v>5204</v>
      </c>
      <c r="H1782" s="2" t="s">
        <v>5204</v>
      </c>
      <c r="I1782" s="2" t="s">
        <v>5219</v>
      </c>
      <c r="J1782" s="2" t="s">
        <v>114</v>
      </c>
      <c r="K1782" s="2" t="s">
        <v>1746</v>
      </c>
      <c r="L1782" s="3">
        <v>110</v>
      </c>
      <c r="M1782" s="3">
        <v>115.49</v>
      </c>
      <c r="N1782" s="3">
        <v>234.99</v>
      </c>
      <c r="O1782" s="2" t="s">
        <v>97</v>
      </c>
      <c r="P1782" s="2" t="s">
        <v>587</v>
      </c>
      <c r="Q1782" s="2" t="s">
        <v>99</v>
      </c>
      <c r="R1782" s="2" t="s">
        <v>100</v>
      </c>
      <c r="S1782" s="2" t="s">
        <v>5220</v>
      </c>
      <c r="T1782" s="2" t="s">
        <v>100</v>
      </c>
      <c r="U1782" s="2" t="s">
        <v>676</v>
      </c>
      <c r="V1782" s="2" t="s">
        <v>551</v>
      </c>
      <c r="W1782" s="2" t="s">
        <v>551</v>
      </c>
      <c r="X1782" s="2" t="s">
        <v>345</v>
      </c>
      <c r="Y1782" s="2" t="s">
        <v>131</v>
      </c>
      <c r="Z1782" s="4">
        <v>99</v>
      </c>
      <c r="AA1782" s="4">
        <f>=ROUNDDOWN(24.75,0)</f>
      </c>
      <c r="AB1782" s="5">
        <v>4</v>
      </c>
      <c r="AC1782" s="2" t="s">
        <v>100</v>
      </c>
      <c r="AD1782" s="4"/>
      <c r="AE1782" s="4"/>
      <c r="AF1782" s="6">
        <v>68</v>
      </c>
      <c r="AG1782" s="6"/>
      <c r="AH1782" s="7">
        <v>1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>
        <v>0</v>
      </c>
      <c r="AP1782" s="4"/>
      <c r="AQ1782" s="8"/>
      <c r="AR1782" s="4"/>
      <c r="AS1782" s="8"/>
      <c r="AT1782" s="7"/>
      <c r="AU1782" s="7"/>
      <c r="AV1782" s="4" t="s">
        <v>100</v>
      </c>
      <c r="AW1782" s="8" t="s">
        <v>100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/>
      <c r="BC1782" s="4" t="s">
        <v>100</v>
      </c>
      <c r="BD1782" s="8" t="s">
        <v>100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/>
      <c r="BJ1782" s="4">
        <v>1</v>
      </c>
      <c r="BK1782" s="8">
        <v>82.36</v>
      </c>
      <c r="BL1782" s="2" t="s">
        <v>133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109</v>
      </c>
      <c r="BV1782" s="2" t="s">
        <v>97</v>
      </c>
      <c r="BW1782" s="2" t="s">
        <v>4114</v>
      </c>
      <c r="BX1782" s="2" t="s">
        <v>5179</v>
      </c>
      <c r="BY1782" s="2" t="s">
        <v>112</v>
      </c>
      <c r="BZ1782" s="2" t="s">
        <v>100</v>
      </c>
    </row>
    <row r="1783">
      <c r="A1783" s="2" t="s">
        <v>5223</v>
      </c>
      <c r="B1783" s="2" t="s">
        <v>87</v>
      </c>
      <c r="C1783" s="2" t="s">
        <v>5155</v>
      </c>
      <c r="D1783" s="2" t="s">
        <v>89</v>
      </c>
      <c r="E1783" s="2" t="s">
        <v>90</v>
      </c>
      <c r="F1783" s="2" t="s">
        <v>5204</v>
      </c>
      <c r="G1783" s="2" t="s">
        <v>5204</v>
      </c>
      <c r="H1783" s="2" t="s">
        <v>5204</v>
      </c>
      <c r="I1783" s="2" t="s">
        <v>5219</v>
      </c>
      <c r="J1783" s="2" t="s">
        <v>120</v>
      </c>
      <c r="K1783" s="2" t="s">
        <v>1746</v>
      </c>
      <c r="L1783" s="3">
        <v>125</v>
      </c>
      <c r="M1783" s="3">
        <v>131.24</v>
      </c>
      <c r="N1783" s="3">
        <v>264.99</v>
      </c>
      <c r="O1783" s="2" t="s">
        <v>97</v>
      </c>
      <c r="P1783" s="2" t="s">
        <v>587</v>
      </c>
      <c r="Q1783" s="2" t="s">
        <v>99</v>
      </c>
      <c r="R1783" s="2" t="s">
        <v>100</v>
      </c>
      <c r="S1783" s="2" t="s">
        <v>5220</v>
      </c>
      <c r="T1783" s="2" t="s">
        <v>100</v>
      </c>
      <c r="U1783" s="2" t="s">
        <v>676</v>
      </c>
      <c r="V1783" s="2" t="s">
        <v>551</v>
      </c>
      <c r="W1783" s="2" t="s">
        <v>551</v>
      </c>
      <c r="X1783" s="2" t="s">
        <v>345</v>
      </c>
      <c r="Y1783" s="2" t="s">
        <v>3142</v>
      </c>
      <c r="Z1783" s="4">
        <v>164</v>
      </c>
      <c r="AA1783" s="4">
        <f>=ROUNDDOWN(32.8,0)</f>
      </c>
      <c r="AB1783" s="5">
        <v>5</v>
      </c>
      <c r="AC1783" s="2" t="s">
        <v>100</v>
      </c>
      <c r="AD1783" s="4"/>
      <c r="AE1783" s="4"/>
      <c r="AF1783" s="6">
        <v>68</v>
      </c>
      <c r="AG1783" s="6"/>
      <c r="AH1783" s="7">
        <v>1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>
        <v>0</v>
      </c>
      <c r="AP1783" s="4"/>
      <c r="AQ1783" s="8"/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/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/>
      <c r="BJ1783" s="4">
        <v>3</v>
      </c>
      <c r="BK1783" s="8">
        <v>314.74</v>
      </c>
      <c r="BL1783" s="2" t="s">
        <v>224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109</v>
      </c>
      <c r="BV1783" s="2" t="s">
        <v>97</v>
      </c>
      <c r="BW1783" s="2" t="s">
        <v>4114</v>
      </c>
      <c r="BX1783" s="2" t="s">
        <v>2374</v>
      </c>
      <c r="BY1783" s="2" t="s">
        <v>112</v>
      </c>
      <c r="BZ1783" s="2" t="s">
        <v>100</v>
      </c>
    </row>
    <row r="1784">
      <c r="A1784" s="2" t="s">
        <v>5224</v>
      </c>
      <c r="B1784" s="2" t="s">
        <v>87</v>
      </c>
      <c r="C1784" s="2" t="s">
        <v>5155</v>
      </c>
      <c r="D1784" s="2" t="s">
        <v>89</v>
      </c>
      <c r="E1784" s="2" t="s">
        <v>90</v>
      </c>
      <c r="F1784" s="2" t="s">
        <v>5204</v>
      </c>
      <c r="G1784" s="2" t="s">
        <v>5204</v>
      </c>
      <c r="H1784" s="2" t="s">
        <v>5204</v>
      </c>
      <c r="I1784" s="2" t="s">
        <v>5219</v>
      </c>
      <c r="J1784" s="2" t="s">
        <v>124</v>
      </c>
      <c r="K1784" s="2" t="s">
        <v>1746</v>
      </c>
      <c r="L1784" s="3">
        <v>125</v>
      </c>
      <c r="M1784" s="3">
        <v>131.24</v>
      </c>
      <c r="N1784" s="3">
        <v>264.99</v>
      </c>
      <c r="O1784" s="2" t="s">
        <v>97</v>
      </c>
      <c r="P1784" s="2" t="s">
        <v>587</v>
      </c>
      <c r="Q1784" s="2" t="s">
        <v>99</v>
      </c>
      <c r="R1784" s="2" t="s">
        <v>100</v>
      </c>
      <c r="S1784" s="2" t="s">
        <v>5220</v>
      </c>
      <c r="T1784" s="2" t="s">
        <v>100</v>
      </c>
      <c r="U1784" s="2" t="s">
        <v>676</v>
      </c>
      <c r="V1784" s="2" t="s">
        <v>551</v>
      </c>
      <c r="W1784" s="2" t="s">
        <v>551</v>
      </c>
      <c r="X1784" s="2" t="s">
        <v>345</v>
      </c>
      <c r="Y1784" s="2" t="s">
        <v>131</v>
      </c>
      <c r="Z1784" s="4">
        <v>52</v>
      </c>
      <c r="AA1784" s="4">
        <f>=ROUNDDOWN(17.3333333333333,0)</f>
      </c>
      <c r="AB1784" s="5">
        <v>3</v>
      </c>
      <c r="AC1784" s="2" t="s">
        <v>100</v>
      </c>
      <c r="AD1784" s="4"/>
      <c r="AE1784" s="4"/>
      <c r="AF1784" s="6">
        <v>68</v>
      </c>
      <c r="AG1784" s="6"/>
      <c r="AH1784" s="7">
        <v>1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>
        <v>0</v>
      </c>
      <c r="AP1784" s="4"/>
      <c r="AQ1784" s="8"/>
      <c r="AR1784" s="4"/>
      <c r="AS1784" s="8"/>
      <c r="AT1784" s="7"/>
      <c r="AU1784" s="7"/>
      <c r="AV1784" s="4" t="s">
        <v>100</v>
      </c>
      <c r="AW1784" s="8" t="s">
        <v>100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/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/>
      <c r="BJ1784" s="4">
        <v>1</v>
      </c>
      <c r="BK1784" s="8">
        <v>140.56</v>
      </c>
      <c r="BL1784" s="2" t="s">
        <v>625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109</v>
      </c>
      <c r="BV1784" s="2" t="s">
        <v>97</v>
      </c>
      <c r="BW1784" s="2" t="s">
        <v>4114</v>
      </c>
      <c r="BX1784" s="2" t="s">
        <v>5225</v>
      </c>
      <c r="BY1784" s="2" t="s">
        <v>112</v>
      </c>
      <c r="BZ1784" s="2" t="s">
        <v>100</v>
      </c>
    </row>
    <row r="1785">
      <c r="A1785" s="2" t="s">
        <v>5226</v>
      </c>
      <c r="B1785" s="2" t="s">
        <v>87</v>
      </c>
      <c r="C1785" s="2" t="s">
        <v>5155</v>
      </c>
      <c r="D1785" s="2" t="s">
        <v>89</v>
      </c>
      <c r="E1785" s="2" t="s">
        <v>90</v>
      </c>
      <c r="F1785" s="2" t="s">
        <v>5227</v>
      </c>
      <c r="G1785" s="2" t="s">
        <v>5227</v>
      </c>
      <c r="H1785" s="2" t="s">
        <v>5227</v>
      </c>
      <c r="I1785" s="2" t="s">
        <v>1860</v>
      </c>
      <c r="J1785" s="2" t="s">
        <v>114</v>
      </c>
      <c r="K1785" s="2" t="s">
        <v>213</v>
      </c>
      <c r="L1785" s="3">
        <v>110</v>
      </c>
      <c r="M1785" s="3">
        <v>115.49</v>
      </c>
      <c r="N1785" s="3">
        <v>229.99</v>
      </c>
      <c r="O1785" s="2" t="s">
        <v>97</v>
      </c>
      <c r="P1785" s="2" t="s">
        <v>383</v>
      </c>
      <c r="Q1785" s="2" t="s">
        <v>99</v>
      </c>
      <c r="R1785" s="2" t="s">
        <v>100</v>
      </c>
      <c r="S1785" s="2" t="s">
        <v>5228</v>
      </c>
      <c r="T1785" s="2" t="s">
        <v>100</v>
      </c>
      <c r="U1785" s="2" t="s">
        <v>100</v>
      </c>
      <c r="V1785" s="2" t="s">
        <v>551</v>
      </c>
      <c r="W1785" s="2" t="s">
        <v>551</v>
      </c>
      <c r="X1785" s="2" t="s">
        <v>345</v>
      </c>
      <c r="Y1785" s="2" t="s">
        <v>131</v>
      </c>
      <c r="Z1785" s="4">
        <v>126</v>
      </c>
      <c r="AA1785" s="4">
        <f>=ROUNDDOWN(14,0)</f>
      </c>
      <c r="AB1785" s="5">
        <v>9</v>
      </c>
      <c r="AC1785" s="2" t="s">
        <v>400</v>
      </c>
      <c r="AD1785" s="4">
        <v>171</v>
      </c>
      <c r="AE1785" s="4">
        <v>171</v>
      </c>
      <c r="AF1785" s="6">
        <v>64</v>
      </c>
      <c r="AG1785" s="6"/>
      <c r="AH1785" s="7">
        <v>1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>
        <v>0</v>
      </c>
      <c r="AP1785" s="4"/>
      <c r="AQ1785" s="8"/>
      <c r="AR1785" s="4"/>
      <c r="AS1785" s="8"/>
      <c r="AT1785" s="7"/>
      <c r="AU1785" s="7"/>
      <c r="AV1785" s="4" t="s">
        <v>100</v>
      </c>
      <c r="AW1785" s="8" t="s">
        <v>100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/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/>
      <c r="BJ1785" s="4">
        <v>3</v>
      </c>
      <c r="BK1785" s="8">
        <v>346.58</v>
      </c>
      <c r="BL1785" s="2" t="s">
        <v>5229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109</v>
      </c>
      <c r="BV1785" s="2" t="s">
        <v>97</v>
      </c>
      <c r="BW1785" s="2" t="s">
        <v>4453</v>
      </c>
      <c r="BX1785" s="2" t="s">
        <v>100</v>
      </c>
      <c r="BY1785" s="2" t="s">
        <v>112</v>
      </c>
      <c r="BZ1785" s="2" t="s">
        <v>100</v>
      </c>
    </row>
    <row r="1786">
      <c r="A1786" s="2" t="s">
        <v>5230</v>
      </c>
      <c r="B1786" s="2" t="s">
        <v>87</v>
      </c>
      <c r="C1786" s="2" t="s">
        <v>5155</v>
      </c>
      <c r="D1786" s="2" t="s">
        <v>89</v>
      </c>
      <c r="E1786" s="2" t="s">
        <v>90</v>
      </c>
      <c r="F1786" s="2" t="s">
        <v>5227</v>
      </c>
      <c r="G1786" s="2" t="s">
        <v>5227</v>
      </c>
      <c r="H1786" s="2" t="s">
        <v>5227</v>
      </c>
      <c r="I1786" s="2" t="s">
        <v>1860</v>
      </c>
      <c r="J1786" s="2" t="s">
        <v>120</v>
      </c>
      <c r="K1786" s="2" t="s">
        <v>213</v>
      </c>
      <c r="L1786" s="3">
        <v>125</v>
      </c>
      <c r="M1786" s="3">
        <v>131.24</v>
      </c>
      <c r="N1786" s="3">
        <v>259.99</v>
      </c>
      <c r="O1786" s="2" t="s">
        <v>97</v>
      </c>
      <c r="P1786" s="2" t="s">
        <v>383</v>
      </c>
      <c r="Q1786" s="2" t="s">
        <v>99</v>
      </c>
      <c r="R1786" s="2" t="s">
        <v>100</v>
      </c>
      <c r="S1786" s="2" t="s">
        <v>5228</v>
      </c>
      <c r="T1786" s="2" t="s">
        <v>100</v>
      </c>
      <c r="U1786" s="2" t="s">
        <v>100</v>
      </c>
      <c r="V1786" s="2" t="s">
        <v>551</v>
      </c>
      <c r="W1786" s="2" t="s">
        <v>551</v>
      </c>
      <c r="X1786" s="2" t="s">
        <v>345</v>
      </c>
      <c r="Y1786" s="2" t="s">
        <v>131</v>
      </c>
      <c r="Z1786" s="4">
        <v>99</v>
      </c>
      <c r="AA1786" s="4">
        <f>=ROUNDDOWN(14.1428571428571,0)</f>
      </c>
      <c r="AB1786" s="5">
        <v>7</v>
      </c>
      <c r="AC1786" s="2" t="s">
        <v>400</v>
      </c>
      <c r="AD1786" s="4">
        <v>92</v>
      </c>
      <c r="AE1786" s="4">
        <v>92</v>
      </c>
      <c r="AF1786" s="6">
        <v>64</v>
      </c>
      <c r="AG1786" s="6"/>
      <c r="AH1786" s="7">
        <v>1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>
        <v>0</v>
      </c>
      <c r="AP1786" s="4"/>
      <c r="AQ1786" s="8"/>
      <c r="AR1786" s="4"/>
      <c r="AS1786" s="8"/>
      <c r="AT1786" s="7"/>
      <c r="AU1786" s="7"/>
      <c r="AV1786" s="4" t="s">
        <v>100</v>
      </c>
      <c r="AW1786" s="8" t="s">
        <v>100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/>
      <c r="BC1786" s="4" t="s">
        <v>100</v>
      </c>
      <c r="BD1786" s="8" t="s">
        <v>100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/>
      <c r="BJ1786" s="4">
        <v>7</v>
      </c>
      <c r="BK1786" s="8">
        <v>926.8</v>
      </c>
      <c r="BL1786" s="2" t="s">
        <v>2340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109</v>
      </c>
      <c r="BV1786" s="2" t="s">
        <v>97</v>
      </c>
      <c r="BW1786" s="2" t="s">
        <v>4114</v>
      </c>
      <c r="BX1786" s="2" t="s">
        <v>100</v>
      </c>
      <c r="BY1786" s="2" t="s">
        <v>112</v>
      </c>
      <c r="BZ1786" s="2" t="s">
        <v>100</v>
      </c>
    </row>
    <row r="1787">
      <c r="A1787" s="2" t="s">
        <v>5231</v>
      </c>
      <c r="B1787" s="2" t="s">
        <v>87</v>
      </c>
      <c r="C1787" s="2" t="s">
        <v>5155</v>
      </c>
      <c r="D1787" s="2" t="s">
        <v>89</v>
      </c>
      <c r="E1787" s="2" t="s">
        <v>90</v>
      </c>
      <c r="F1787" s="2" t="s">
        <v>5227</v>
      </c>
      <c r="G1787" s="2" t="s">
        <v>5227</v>
      </c>
      <c r="H1787" s="2" t="s">
        <v>5227</v>
      </c>
      <c r="I1787" s="2" t="s">
        <v>1860</v>
      </c>
      <c r="J1787" s="2" t="s">
        <v>124</v>
      </c>
      <c r="K1787" s="2" t="s">
        <v>213</v>
      </c>
      <c r="L1787" s="3">
        <v>125</v>
      </c>
      <c r="M1787" s="3">
        <v>131.24</v>
      </c>
      <c r="N1787" s="3">
        <v>259.99</v>
      </c>
      <c r="O1787" s="2" t="s">
        <v>97</v>
      </c>
      <c r="P1787" s="2" t="s">
        <v>383</v>
      </c>
      <c r="Q1787" s="2" t="s">
        <v>99</v>
      </c>
      <c r="R1787" s="2" t="s">
        <v>100</v>
      </c>
      <c r="S1787" s="2" t="s">
        <v>5228</v>
      </c>
      <c r="T1787" s="2" t="s">
        <v>100</v>
      </c>
      <c r="U1787" s="2" t="s">
        <v>1459</v>
      </c>
      <c r="V1787" s="2" t="s">
        <v>551</v>
      </c>
      <c r="W1787" s="2" t="s">
        <v>551</v>
      </c>
      <c r="X1787" s="2" t="s">
        <v>345</v>
      </c>
      <c r="Y1787" s="2" t="s">
        <v>131</v>
      </c>
      <c r="Z1787" s="4">
        <v>46</v>
      </c>
      <c r="AA1787" s="4">
        <f>=ROUNDDOWN(23,0)</f>
      </c>
      <c r="AB1787" s="5">
        <v>2</v>
      </c>
      <c r="AC1787" s="2" t="s">
        <v>400</v>
      </c>
      <c r="AD1787" s="4">
        <v>15</v>
      </c>
      <c r="AE1787" s="4">
        <v>15</v>
      </c>
      <c r="AF1787" s="6">
        <v>64</v>
      </c>
      <c r="AG1787" s="6"/>
      <c r="AH1787" s="7">
        <v>1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>
        <v>0</v>
      </c>
      <c r="AP1787" s="4"/>
      <c r="AQ1787" s="8"/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/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/>
      <c r="BJ1787" s="4">
        <v>1</v>
      </c>
      <c r="BK1787" s="8">
        <v>137.81</v>
      </c>
      <c r="BL1787" s="2" t="s">
        <v>210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109</v>
      </c>
      <c r="BV1787" s="2" t="s">
        <v>97</v>
      </c>
      <c r="BW1787" s="2" t="s">
        <v>4114</v>
      </c>
      <c r="BX1787" s="2" t="s">
        <v>5232</v>
      </c>
      <c r="BY1787" s="2" t="s">
        <v>112</v>
      </c>
      <c r="BZ1787" s="2" t="s">
        <v>100</v>
      </c>
    </row>
    <row r="1788">
      <c r="A1788" s="2" t="s">
        <v>5233</v>
      </c>
      <c r="B1788" s="2" t="s">
        <v>87</v>
      </c>
      <c r="C1788" s="2" t="s">
        <v>5155</v>
      </c>
      <c r="D1788" s="2" t="s">
        <v>89</v>
      </c>
      <c r="E1788" s="2" t="s">
        <v>90</v>
      </c>
      <c r="F1788" s="2" t="s">
        <v>5234</v>
      </c>
      <c r="G1788" s="2" t="s">
        <v>5234</v>
      </c>
      <c r="H1788" s="2" t="s">
        <v>5234</v>
      </c>
      <c r="I1788" s="2" t="s">
        <v>5235</v>
      </c>
      <c r="J1788" s="2" t="s">
        <v>95</v>
      </c>
      <c r="K1788" s="2" t="s">
        <v>253</v>
      </c>
      <c r="L1788" s="3">
        <v>86.4</v>
      </c>
      <c r="M1788" s="3">
        <v>90.72</v>
      </c>
      <c r="N1788" s="3">
        <v>179.99</v>
      </c>
      <c r="O1788" s="2" t="s">
        <v>97</v>
      </c>
      <c r="P1788" s="2" t="s">
        <v>98</v>
      </c>
      <c r="Q1788" s="2" t="s">
        <v>99</v>
      </c>
      <c r="R1788" s="2" t="s">
        <v>100</v>
      </c>
      <c r="S1788" s="2" t="s">
        <v>5236</v>
      </c>
      <c r="T1788" s="2" t="s">
        <v>359</v>
      </c>
      <c r="U1788" s="2" t="s">
        <v>676</v>
      </c>
      <c r="V1788" s="2" t="s">
        <v>551</v>
      </c>
      <c r="W1788" s="2" t="s">
        <v>551</v>
      </c>
      <c r="X1788" s="2" t="s">
        <v>976</v>
      </c>
      <c r="Y1788" s="2" t="s">
        <v>5237</v>
      </c>
      <c r="Z1788" s="4"/>
      <c r="AA1788" s="4">
        <f>=ROUNDDOWN({0},0)</f>
      </c>
      <c r="AB1788" s="5">
        <v>3</v>
      </c>
      <c r="AC1788" s="2" t="s">
        <v>553</v>
      </c>
      <c r="AD1788" s="4">
        <v>49</v>
      </c>
      <c r="AE1788" s="4">
        <v>104</v>
      </c>
      <c r="AF1788" s="6">
        <v>70</v>
      </c>
      <c r="AG1788" s="6"/>
      <c r="AH1788" s="7">
        <v>0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/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/>
      <c r="BJ1788" s="4"/>
      <c r="BK1788" s="8"/>
      <c r="BL1788" s="2" t="s">
        <v>100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3088</v>
      </c>
      <c r="BV1788" s="2" t="s">
        <v>97</v>
      </c>
      <c r="BW1788" s="2" t="s">
        <v>100</v>
      </c>
      <c r="BX1788" s="2" t="s">
        <v>100</v>
      </c>
      <c r="BY1788" s="2" t="s">
        <v>112</v>
      </c>
      <c r="BZ1788" s="2" t="s">
        <v>100</v>
      </c>
    </row>
    <row r="1789">
      <c r="A1789" s="2" t="s">
        <v>5238</v>
      </c>
      <c r="B1789" s="2" t="s">
        <v>87</v>
      </c>
      <c r="C1789" s="2" t="s">
        <v>5155</v>
      </c>
      <c r="D1789" s="2" t="s">
        <v>89</v>
      </c>
      <c r="E1789" s="2" t="s">
        <v>90</v>
      </c>
      <c r="F1789" s="2" t="s">
        <v>5234</v>
      </c>
      <c r="G1789" s="2" t="s">
        <v>5234</v>
      </c>
      <c r="H1789" s="2" t="s">
        <v>5234</v>
      </c>
      <c r="I1789" s="2" t="s">
        <v>5235</v>
      </c>
      <c r="J1789" s="2" t="s">
        <v>114</v>
      </c>
      <c r="K1789" s="2" t="s">
        <v>253</v>
      </c>
      <c r="L1789" s="3">
        <v>96</v>
      </c>
      <c r="M1789" s="3">
        <v>100.8</v>
      </c>
      <c r="N1789" s="3">
        <v>199.99</v>
      </c>
      <c r="O1789" s="2" t="s">
        <v>97</v>
      </c>
      <c r="P1789" s="2" t="s">
        <v>98</v>
      </c>
      <c r="Q1789" s="2" t="s">
        <v>99</v>
      </c>
      <c r="R1789" s="2" t="s">
        <v>100</v>
      </c>
      <c r="S1789" s="2" t="s">
        <v>5236</v>
      </c>
      <c r="T1789" s="2" t="s">
        <v>359</v>
      </c>
      <c r="U1789" s="2" t="s">
        <v>676</v>
      </c>
      <c r="V1789" s="2" t="s">
        <v>551</v>
      </c>
      <c r="W1789" s="2" t="s">
        <v>551</v>
      </c>
      <c r="X1789" s="2" t="s">
        <v>976</v>
      </c>
      <c r="Y1789" s="2" t="s">
        <v>2126</v>
      </c>
      <c r="Z1789" s="4">
        <v>62</v>
      </c>
      <c r="AA1789" s="4">
        <f>=ROUNDDOWN(20.6666666666667,0)</f>
      </c>
      <c r="AB1789" s="5">
        <v>3</v>
      </c>
      <c r="AC1789" s="2" t="s">
        <v>553</v>
      </c>
      <c r="AD1789" s="4">
        <v>120</v>
      </c>
      <c r="AE1789" s="4">
        <v>120</v>
      </c>
      <c r="AF1789" s="6">
        <v>70</v>
      </c>
      <c r="AG1789" s="6"/>
      <c r="AH1789" s="7">
        <v>1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>
        <v>0</v>
      </c>
      <c r="AP1789" s="4"/>
      <c r="AQ1789" s="8"/>
      <c r="AR1789" s="4"/>
      <c r="AS1789" s="8"/>
      <c r="AT1789" s="7"/>
      <c r="AU1789" s="7"/>
      <c r="AV1789" s="4" t="s">
        <v>100</v>
      </c>
      <c r="AW1789" s="8" t="s">
        <v>100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/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/>
      <c r="BJ1789" s="4">
        <v>2</v>
      </c>
      <c r="BK1789" s="8">
        <v>220.8</v>
      </c>
      <c r="BL1789" s="2" t="s">
        <v>625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109</v>
      </c>
      <c r="BV1789" s="2" t="s">
        <v>97</v>
      </c>
      <c r="BW1789" s="2" t="s">
        <v>4305</v>
      </c>
      <c r="BX1789" s="2" t="s">
        <v>100</v>
      </c>
      <c r="BY1789" s="2" t="s">
        <v>112</v>
      </c>
      <c r="BZ1789" s="2" t="s">
        <v>100</v>
      </c>
    </row>
    <row r="1790">
      <c r="A1790" s="2" t="s">
        <v>5239</v>
      </c>
      <c r="B1790" s="2" t="s">
        <v>87</v>
      </c>
      <c r="C1790" s="2" t="s">
        <v>5155</v>
      </c>
      <c r="D1790" s="2" t="s">
        <v>89</v>
      </c>
      <c r="E1790" s="2" t="s">
        <v>90</v>
      </c>
      <c r="F1790" s="2" t="s">
        <v>5234</v>
      </c>
      <c r="G1790" s="2" t="s">
        <v>5234</v>
      </c>
      <c r="H1790" s="2" t="s">
        <v>5234</v>
      </c>
      <c r="I1790" s="2" t="s">
        <v>5235</v>
      </c>
      <c r="J1790" s="2" t="s">
        <v>120</v>
      </c>
      <c r="K1790" s="2" t="s">
        <v>253</v>
      </c>
      <c r="L1790" s="3">
        <v>105.6</v>
      </c>
      <c r="M1790" s="3">
        <v>110.88</v>
      </c>
      <c r="N1790" s="3">
        <v>219.99</v>
      </c>
      <c r="O1790" s="2" t="s">
        <v>97</v>
      </c>
      <c r="P1790" s="2" t="s">
        <v>98</v>
      </c>
      <c r="Q1790" s="2" t="s">
        <v>99</v>
      </c>
      <c r="R1790" s="2" t="s">
        <v>100</v>
      </c>
      <c r="S1790" s="2" t="s">
        <v>5236</v>
      </c>
      <c r="T1790" s="2" t="s">
        <v>359</v>
      </c>
      <c r="U1790" s="2" t="s">
        <v>676</v>
      </c>
      <c r="V1790" s="2" t="s">
        <v>551</v>
      </c>
      <c r="W1790" s="2" t="s">
        <v>551</v>
      </c>
      <c r="X1790" s="2" t="s">
        <v>976</v>
      </c>
      <c r="Y1790" s="2" t="s">
        <v>5237</v>
      </c>
      <c r="Z1790" s="4"/>
      <c r="AA1790" s="4">
        <f>=ROUNDDOWN({0},0)</f>
      </c>
      <c r="AB1790" s="5">
        <v>8</v>
      </c>
      <c r="AC1790" s="2" t="s">
        <v>553</v>
      </c>
      <c r="AD1790" s="4">
        <v>120</v>
      </c>
      <c r="AE1790" s="4">
        <v>310</v>
      </c>
      <c r="AF1790" s="6">
        <v>70</v>
      </c>
      <c r="AG1790" s="6"/>
      <c r="AH1790" s="7">
        <v>0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>
        <v>0</v>
      </c>
      <c r="AP1790" s="4"/>
      <c r="AQ1790" s="8"/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/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/>
      <c r="BJ1790" s="4">
        <v>1</v>
      </c>
      <c r="BK1790" s="8">
        <v>121.44</v>
      </c>
      <c r="BL1790" s="2" t="s">
        <v>625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109</v>
      </c>
      <c r="BV1790" s="2" t="s">
        <v>97</v>
      </c>
      <c r="BW1790" s="2" t="s">
        <v>4305</v>
      </c>
      <c r="BX1790" s="2" t="s">
        <v>100</v>
      </c>
      <c r="BY1790" s="2" t="s">
        <v>112</v>
      </c>
      <c r="BZ1790" s="2" t="s">
        <v>100</v>
      </c>
    </row>
    <row r="1791">
      <c r="A1791" s="2" t="s">
        <v>5240</v>
      </c>
      <c r="B1791" s="2" t="s">
        <v>87</v>
      </c>
      <c r="C1791" s="2" t="s">
        <v>5155</v>
      </c>
      <c r="D1791" s="2" t="s">
        <v>89</v>
      </c>
      <c r="E1791" s="2" t="s">
        <v>90</v>
      </c>
      <c r="F1791" s="2" t="s">
        <v>5234</v>
      </c>
      <c r="G1791" s="2" t="s">
        <v>5234</v>
      </c>
      <c r="H1791" s="2" t="s">
        <v>5234</v>
      </c>
      <c r="I1791" s="2" t="s">
        <v>5235</v>
      </c>
      <c r="J1791" s="2" t="s">
        <v>124</v>
      </c>
      <c r="K1791" s="2" t="s">
        <v>253</v>
      </c>
      <c r="L1791" s="3">
        <v>105.6</v>
      </c>
      <c r="M1791" s="3">
        <v>110.88</v>
      </c>
      <c r="N1791" s="3">
        <v>219.99</v>
      </c>
      <c r="O1791" s="2" t="s">
        <v>97</v>
      </c>
      <c r="P1791" s="2" t="s">
        <v>98</v>
      </c>
      <c r="Q1791" s="2" t="s">
        <v>99</v>
      </c>
      <c r="R1791" s="2" t="s">
        <v>100</v>
      </c>
      <c r="S1791" s="2" t="s">
        <v>5236</v>
      </c>
      <c r="T1791" s="2" t="s">
        <v>359</v>
      </c>
      <c r="U1791" s="2" t="s">
        <v>676</v>
      </c>
      <c r="V1791" s="2" t="s">
        <v>551</v>
      </c>
      <c r="W1791" s="2" t="s">
        <v>551</v>
      </c>
      <c r="X1791" s="2" t="s">
        <v>976</v>
      </c>
      <c r="Y1791" s="2" t="s">
        <v>5237</v>
      </c>
      <c r="Z1791" s="4"/>
      <c r="AA1791" s="4">
        <f>=ROUNDDOWN({0},0)</f>
      </c>
      <c r="AB1791" s="5">
        <v>4.8</v>
      </c>
      <c r="AC1791" s="2" t="s">
        <v>553</v>
      </c>
      <c r="AD1791" s="4">
        <v>40</v>
      </c>
      <c r="AE1791" s="4">
        <v>135</v>
      </c>
      <c r="AF1791" s="6">
        <v>70</v>
      </c>
      <c r="AG1791" s="6"/>
      <c r="AH1791" s="7">
        <v>0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>
        <v>0</v>
      </c>
      <c r="AP1791" s="4"/>
      <c r="AQ1791" s="8"/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/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/>
      <c r="BJ1791" s="4"/>
      <c r="BK1791" s="8"/>
      <c r="BL1791" s="2" t="s">
        <v>100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109</v>
      </c>
      <c r="BV1791" s="2" t="s">
        <v>97</v>
      </c>
      <c r="BW1791" s="2" t="s">
        <v>4305</v>
      </c>
      <c r="BX1791" s="2" t="s">
        <v>4644</v>
      </c>
      <c r="BY1791" s="2" t="s">
        <v>112</v>
      </c>
      <c r="BZ1791" s="2" t="s">
        <v>100</v>
      </c>
    </row>
    <row r="1792">
      <c r="A1792" s="2" t="s">
        <v>5241</v>
      </c>
      <c r="B1792" s="2" t="s">
        <v>87</v>
      </c>
      <c r="C1792" s="2" t="s">
        <v>5155</v>
      </c>
      <c r="D1792" s="2" t="s">
        <v>89</v>
      </c>
      <c r="E1792" s="2" t="s">
        <v>90</v>
      </c>
      <c r="F1792" s="2" t="s">
        <v>5242</v>
      </c>
      <c r="G1792" s="2" t="s">
        <v>5242</v>
      </c>
      <c r="H1792" s="2" t="s">
        <v>5242</v>
      </c>
      <c r="I1792" s="2" t="s">
        <v>5165</v>
      </c>
      <c r="J1792" s="2" t="s">
        <v>95</v>
      </c>
      <c r="K1792" s="2" t="s">
        <v>1659</v>
      </c>
      <c r="L1792" s="3">
        <v>86.4</v>
      </c>
      <c r="M1792" s="3">
        <v>90.71</v>
      </c>
      <c r="N1792" s="3">
        <v>179.99</v>
      </c>
      <c r="O1792" s="2" t="s">
        <v>97</v>
      </c>
      <c r="P1792" s="2" t="s">
        <v>383</v>
      </c>
      <c r="Q1792" s="2" t="s">
        <v>99</v>
      </c>
      <c r="R1792" s="2" t="s">
        <v>100</v>
      </c>
      <c r="S1792" s="2" t="s">
        <v>5243</v>
      </c>
      <c r="T1792" s="2" t="s">
        <v>359</v>
      </c>
      <c r="U1792" s="2" t="s">
        <v>676</v>
      </c>
      <c r="V1792" s="2" t="s">
        <v>663</v>
      </c>
      <c r="W1792" s="2" t="s">
        <v>345</v>
      </c>
      <c r="X1792" s="2" t="s">
        <v>3803</v>
      </c>
      <c r="Y1792" s="2" t="s">
        <v>5244</v>
      </c>
      <c r="Z1792" s="4">
        <v>67</v>
      </c>
      <c r="AA1792" s="4">
        <f>=ROUNDDOWN(22.3333333333333,0)</f>
      </c>
      <c r="AB1792" s="5">
        <v>3</v>
      </c>
      <c r="AC1792" s="2" t="s">
        <v>2552</v>
      </c>
      <c r="AD1792" s="4">
        <v>30</v>
      </c>
      <c r="AE1792" s="4">
        <v>40</v>
      </c>
      <c r="AF1792" s="6">
        <v>66</v>
      </c>
      <c r="AG1792" s="6"/>
      <c r="AH1792" s="7">
        <v>1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/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/>
      <c r="BJ1792" s="4">
        <v>2</v>
      </c>
      <c r="BK1792" s="8">
        <v>160.64</v>
      </c>
      <c r="BL1792" s="2" t="s">
        <v>133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109</v>
      </c>
      <c r="BV1792" s="2" t="s">
        <v>97</v>
      </c>
      <c r="BW1792" s="2" t="s">
        <v>266</v>
      </c>
      <c r="BX1792" s="2" t="s">
        <v>4034</v>
      </c>
      <c r="BY1792" s="2" t="s">
        <v>112</v>
      </c>
      <c r="BZ1792" s="2" t="s">
        <v>100</v>
      </c>
    </row>
    <row r="1793">
      <c r="A1793" s="2" t="s">
        <v>5245</v>
      </c>
      <c r="B1793" s="2" t="s">
        <v>87</v>
      </c>
      <c r="C1793" s="2" t="s">
        <v>5155</v>
      </c>
      <c r="D1793" s="2" t="s">
        <v>89</v>
      </c>
      <c r="E1793" s="2" t="s">
        <v>90</v>
      </c>
      <c r="F1793" s="2" t="s">
        <v>5242</v>
      </c>
      <c r="G1793" s="2" t="s">
        <v>5242</v>
      </c>
      <c r="H1793" s="2" t="s">
        <v>5242</v>
      </c>
      <c r="I1793" s="2" t="s">
        <v>5165</v>
      </c>
      <c r="J1793" s="2" t="s">
        <v>114</v>
      </c>
      <c r="K1793" s="2" t="s">
        <v>1659</v>
      </c>
      <c r="L1793" s="3">
        <v>96</v>
      </c>
      <c r="M1793" s="3">
        <v>100.79</v>
      </c>
      <c r="N1793" s="3">
        <v>199.99</v>
      </c>
      <c r="O1793" s="2" t="s">
        <v>97</v>
      </c>
      <c r="P1793" s="2" t="s">
        <v>383</v>
      </c>
      <c r="Q1793" s="2" t="s">
        <v>99</v>
      </c>
      <c r="R1793" s="2" t="s">
        <v>100</v>
      </c>
      <c r="S1793" s="2" t="s">
        <v>5243</v>
      </c>
      <c r="T1793" s="2" t="s">
        <v>359</v>
      </c>
      <c r="U1793" s="2" t="s">
        <v>676</v>
      </c>
      <c r="V1793" s="2" t="s">
        <v>663</v>
      </c>
      <c r="W1793" s="2" t="s">
        <v>345</v>
      </c>
      <c r="X1793" s="2" t="s">
        <v>3803</v>
      </c>
      <c r="Y1793" s="2" t="s">
        <v>5244</v>
      </c>
      <c r="Z1793" s="4">
        <v>163</v>
      </c>
      <c r="AA1793" s="4">
        <f>=ROUNDDOWN(20.375,0)</f>
      </c>
      <c r="AB1793" s="5">
        <v>8</v>
      </c>
      <c r="AC1793" s="2" t="s">
        <v>2552</v>
      </c>
      <c r="AD1793" s="4">
        <v>20</v>
      </c>
      <c r="AE1793" s="4">
        <v>100</v>
      </c>
      <c r="AF1793" s="6">
        <v>66</v>
      </c>
      <c r="AG1793" s="6"/>
      <c r="AH1793" s="7">
        <v>1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>
        <v>0</v>
      </c>
      <c r="AP1793" s="4"/>
      <c r="AQ1793" s="8"/>
      <c r="AR1793" s="4"/>
      <c r="AS1793" s="8"/>
      <c r="AT1793" s="7"/>
      <c r="AU1793" s="7"/>
      <c r="AV1793" s="4" t="s">
        <v>100</v>
      </c>
      <c r="AW1793" s="8" t="s">
        <v>100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/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/>
      <c r="BJ1793" s="4">
        <v>5</v>
      </c>
      <c r="BK1793" s="8">
        <v>526.33</v>
      </c>
      <c r="BL1793" s="2" t="s">
        <v>5246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109</v>
      </c>
      <c r="BV1793" s="2" t="s">
        <v>97</v>
      </c>
      <c r="BW1793" s="2" t="s">
        <v>266</v>
      </c>
      <c r="BX1793" s="2" t="s">
        <v>389</v>
      </c>
      <c r="BY1793" s="2" t="s">
        <v>112</v>
      </c>
      <c r="BZ1793" s="2" t="s">
        <v>100</v>
      </c>
    </row>
    <row r="1794">
      <c r="A1794" s="2" t="s">
        <v>5247</v>
      </c>
      <c r="B1794" s="2" t="s">
        <v>87</v>
      </c>
      <c r="C1794" s="2" t="s">
        <v>5155</v>
      </c>
      <c r="D1794" s="2" t="s">
        <v>89</v>
      </c>
      <c r="E1794" s="2" t="s">
        <v>90</v>
      </c>
      <c r="F1794" s="2" t="s">
        <v>5242</v>
      </c>
      <c r="G1794" s="2" t="s">
        <v>5242</v>
      </c>
      <c r="H1794" s="2" t="s">
        <v>5242</v>
      </c>
      <c r="I1794" s="2" t="s">
        <v>5165</v>
      </c>
      <c r="J1794" s="2" t="s">
        <v>120</v>
      </c>
      <c r="K1794" s="2" t="s">
        <v>1659</v>
      </c>
      <c r="L1794" s="3">
        <v>105.6</v>
      </c>
      <c r="M1794" s="3">
        <v>110.87</v>
      </c>
      <c r="N1794" s="3">
        <v>219.99</v>
      </c>
      <c r="O1794" s="2" t="s">
        <v>97</v>
      </c>
      <c r="P1794" s="2" t="s">
        <v>383</v>
      </c>
      <c r="Q1794" s="2" t="s">
        <v>99</v>
      </c>
      <c r="R1794" s="2" t="s">
        <v>100</v>
      </c>
      <c r="S1794" s="2" t="s">
        <v>5243</v>
      </c>
      <c r="T1794" s="2" t="s">
        <v>359</v>
      </c>
      <c r="U1794" s="2" t="s">
        <v>676</v>
      </c>
      <c r="V1794" s="2" t="s">
        <v>663</v>
      </c>
      <c r="W1794" s="2" t="s">
        <v>345</v>
      </c>
      <c r="X1794" s="2" t="s">
        <v>3803</v>
      </c>
      <c r="Y1794" s="2" t="s">
        <v>5244</v>
      </c>
      <c r="Z1794" s="4">
        <v>103</v>
      </c>
      <c r="AA1794" s="4">
        <f>=ROUNDDOWN(35.5172413793103,0)</f>
      </c>
      <c r="AB1794" s="5">
        <v>2.9</v>
      </c>
      <c r="AC1794" s="2" t="s">
        <v>2552</v>
      </c>
      <c r="AD1794" s="4">
        <v>95</v>
      </c>
      <c r="AE1794" s="4">
        <v>160</v>
      </c>
      <c r="AF1794" s="6">
        <v>66</v>
      </c>
      <c r="AG1794" s="6"/>
      <c r="AH1794" s="7">
        <v>1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>
        <v>0</v>
      </c>
      <c r="AP1794" s="4"/>
      <c r="AQ1794" s="8"/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/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/>
      <c r="BJ1794" s="4">
        <v>2</v>
      </c>
      <c r="BK1794" s="8">
        <v>216.81</v>
      </c>
      <c r="BL1794" s="2" t="s">
        <v>741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109</v>
      </c>
      <c r="BV1794" s="2" t="s">
        <v>97</v>
      </c>
      <c r="BW1794" s="2" t="s">
        <v>266</v>
      </c>
      <c r="BX1794" s="2" t="s">
        <v>392</v>
      </c>
      <c r="BY1794" s="2" t="s">
        <v>112</v>
      </c>
      <c r="BZ1794" s="2" t="s">
        <v>100</v>
      </c>
    </row>
    <row r="1795">
      <c r="A1795" s="2" t="s">
        <v>5248</v>
      </c>
      <c r="B1795" s="2" t="s">
        <v>87</v>
      </c>
      <c r="C1795" s="2" t="s">
        <v>5155</v>
      </c>
      <c r="D1795" s="2" t="s">
        <v>89</v>
      </c>
      <c r="E1795" s="2" t="s">
        <v>90</v>
      </c>
      <c r="F1795" s="2" t="s">
        <v>5242</v>
      </c>
      <c r="G1795" s="2" t="s">
        <v>5242</v>
      </c>
      <c r="H1795" s="2" t="s">
        <v>5242</v>
      </c>
      <c r="I1795" s="2" t="s">
        <v>5165</v>
      </c>
      <c r="J1795" s="2" t="s">
        <v>124</v>
      </c>
      <c r="K1795" s="2" t="s">
        <v>1659</v>
      </c>
      <c r="L1795" s="3">
        <v>105.6</v>
      </c>
      <c r="M1795" s="3">
        <v>110.87</v>
      </c>
      <c r="N1795" s="3">
        <v>219.99</v>
      </c>
      <c r="O1795" s="2" t="s">
        <v>97</v>
      </c>
      <c r="P1795" s="2" t="s">
        <v>383</v>
      </c>
      <c r="Q1795" s="2" t="s">
        <v>99</v>
      </c>
      <c r="R1795" s="2" t="s">
        <v>100</v>
      </c>
      <c r="S1795" s="2" t="s">
        <v>5243</v>
      </c>
      <c r="T1795" s="2" t="s">
        <v>359</v>
      </c>
      <c r="U1795" s="2" t="s">
        <v>676</v>
      </c>
      <c r="V1795" s="2" t="s">
        <v>663</v>
      </c>
      <c r="W1795" s="2" t="s">
        <v>345</v>
      </c>
      <c r="X1795" s="2" t="s">
        <v>3803</v>
      </c>
      <c r="Y1795" s="2" t="s">
        <v>5244</v>
      </c>
      <c r="Z1795" s="4">
        <v>53</v>
      </c>
      <c r="AA1795" s="4">
        <f>=ROUNDDOWN(17.6666666666667,0)</f>
      </c>
      <c r="AB1795" s="5">
        <v>3</v>
      </c>
      <c r="AC1795" s="2" t="s">
        <v>2552</v>
      </c>
      <c r="AD1795" s="4">
        <v>20</v>
      </c>
      <c r="AE1795" s="4">
        <v>65</v>
      </c>
      <c r="AF1795" s="6">
        <v>66</v>
      </c>
      <c r="AG1795" s="6"/>
      <c r="AH1795" s="7">
        <v>1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>
        <v>0</v>
      </c>
      <c r="AP1795" s="4"/>
      <c r="AQ1795" s="8"/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/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/>
      <c r="BJ1795" s="4">
        <v>4</v>
      </c>
      <c r="BK1795" s="8">
        <v>453.36</v>
      </c>
      <c r="BL1795" s="2" t="s">
        <v>204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109</v>
      </c>
      <c r="BV1795" s="2" t="s">
        <v>97</v>
      </c>
      <c r="BW1795" s="2" t="s">
        <v>266</v>
      </c>
      <c r="BX1795" s="2" t="s">
        <v>2955</v>
      </c>
      <c r="BY1795" s="2" t="s">
        <v>112</v>
      </c>
      <c r="BZ1795" s="2" t="s">
        <v>100</v>
      </c>
    </row>
    <row r="1796">
      <c r="A1796" s="2" t="s">
        <v>5249</v>
      </c>
      <c r="B1796" s="2" t="s">
        <v>87</v>
      </c>
      <c r="C1796" s="2" t="s">
        <v>5155</v>
      </c>
      <c r="D1796" s="2" t="s">
        <v>89</v>
      </c>
      <c r="E1796" s="2" t="s">
        <v>90</v>
      </c>
      <c r="F1796" s="2" t="s">
        <v>5250</v>
      </c>
      <c r="G1796" s="2" t="s">
        <v>5250</v>
      </c>
      <c r="H1796" s="2" t="s">
        <v>5250</v>
      </c>
      <c r="I1796" s="2" t="s">
        <v>1860</v>
      </c>
      <c r="J1796" s="2" t="s">
        <v>95</v>
      </c>
      <c r="K1796" s="2" t="s">
        <v>213</v>
      </c>
      <c r="L1796" s="3">
        <v>110</v>
      </c>
      <c r="M1796" s="3">
        <v>115.49</v>
      </c>
      <c r="N1796" s="3">
        <v>229.99</v>
      </c>
      <c r="O1796" s="2" t="s">
        <v>97</v>
      </c>
      <c r="P1796" s="2" t="s">
        <v>383</v>
      </c>
      <c r="Q1796" s="2" t="s">
        <v>99</v>
      </c>
      <c r="R1796" s="2" t="s">
        <v>100</v>
      </c>
      <c r="S1796" s="2" t="s">
        <v>5251</v>
      </c>
      <c r="T1796" s="2" t="s">
        <v>100</v>
      </c>
      <c r="U1796" s="2" t="s">
        <v>1459</v>
      </c>
      <c r="V1796" s="2" t="s">
        <v>551</v>
      </c>
      <c r="W1796" s="2" t="s">
        <v>551</v>
      </c>
      <c r="X1796" s="2" t="s">
        <v>244</v>
      </c>
      <c r="Y1796" s="2" t="s">
        <v>131</v>
      </c>
      <c r="Z1796" s="4">
        <v>65</v>
      </c>
      <c r="AA1796" s="4">
        <f>=ROUNDDOWN(21.6666666666667,0)</f>
      </c>
      <c r="AB1796" s="5">
        <v>3</v>
      </c>
      <c r="AC1796" s="2" t="s">
        <v>429</v>
      </c>
      <c r="AD1796" s="4">
        <v>80</v>
      </c>
      <c r="AE1796" s="4">
        <v>80</v>
      </c>
      <c r="AF1796" s="6">
        <v>66</v>
      </c>
      <c r="AG1796" s="6"/>
      <c r="AH1796" s="7">
        <v>1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>
        <v>0</v>
      </c>
      <c r="AP1796" s="4"/>
      <c r="AQ1796" s="8"/>
      <c r="AR1796" s="4"/>
      <c r="AS1796" s="8"/>
      <c r="AT1796" s="7"/>
      <c r="AU1796" s="7"/>
      <c r="AV1796" s="4" t="s">
        <v>100</v>
      </c>
      <c r="AW1796" s="8" t="s">
        <v>100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/>
      <c r="BC1796" s="4" t="s">
        <v>100</v>
      </c>
      <c r="BD1796" s="8" t="s">
        <v>100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/>
      <c r="BJ1796" s="4"/>
      <c r="BK1796" s="8"/>
      <c r="BL1796" s="2" t="s">
        <v>100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109</v>
      </c>
      <c r="BV1796" s="2" t="s">
        <v>97</v>
      </c>
      <c r="BW1796" s="2" t="s">
        <v>4114</v>
      </c>
      <c r="BX1796" s="2" t="s">
        <v>5252</v>
      </c>
      <c r="BY1796" s="2" t="s">
        <v>112</v>
      </c>
      <c r="BZ1796" s="2" t="s">
        <v>100</v>
      </c>
    </row>
    <row r="1797">
      <c r="A1797" s="2" t="s">
        <v>5253</v>
      </c>
      <c r="B1797" s="2" t="s">
        <v>87</v>
      </c>
      <c r="C1797" s="2" t="s">
        <v>5155</v>
      </c>
      <c r="D1797" s="2" t="s">
        <v>89</v>
      </c>
      <c r="E1797" s="2" t="s">
        <v>90</v>
      </c>
      <c r="F1797" s="2" t="s">
        <v>5250</v>
      </c>
      <c r="G1797" s="2" t="s">
        <v>5250</v>
      </c>
      <c r="H1797" s="2" t="s">
        <v>5250</v>
      </c>
      <c r="I1797" s="2" t="s">
        <v>1860</v>
      </c>
      <c r="J1797" s="2" t="s">
        <v>114</v>
      </c>
      <c r="K1797" s="2" t="s">
        <v>213</v>
      </c>
      <c r="L1797" s="3">
        <v>125</v>
      </c>
      <c r="M1797" s="3">
        <v>131.24</v>
      </c>
      <c r="N1797" s="3">
        <v>259.99</v>
      </c>
      <c r="O1797" s="2" t="s">
        <v>97</v>
      </c>
      <c r="P1797" s="2" t="s">
        <v>383</v>
      </c>
      <c r="Q1797" s="2" t="s">
        <v>99</v>
      </c>
      <c r="R1797" s="2" t="s">
        <v>100</v>
      </c>
      <c r="S1797" s="2" t="s">
        <v>5251</v>
      </c>
      <c r="T1797" s="2" t="s">
        <v>100</v>
      </c>
      <c r="U1797" s="2" t="s">
        <v>100</v>
      </c>
      <c r="V1797" s="2" t="s">
        <v>551</v>
      </c>
      <c r="W1797" s="2" t="s">
        <v>551</v>
      </c>
      <c r="X1797" s="2" t="s">
        <v>244</v>
      </c>
      <c r="Y1797" s="2" t="s">
        <v>131</v>
      </c>
      <c r="Z1797" s="4">
        <v>281</v>
      </c>
      <c r="AA1797" s="4">
        <f>=ROUNDDOWN(46.8333333333333,0)</f>
      </c>
      <c r="AB1797" s="5">
        <v>6</v>
      </c>
      <c r="AC1797" s="2" t="s">
        <v>429</v>
      </c>
      <c r="AD1797" s="4">
        <v>37</v>
      </c>
      <c r="AE1797" s="4">
        <v>37</v>
      </c>
      <c r="AF1797" s="6">
        <v>66</v>
      </c>
      <c r="AG1797" s="6"/>
      <c r="AH1797" s="7">
        <v>1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>
        <v>0</v>
      </c>
      <c r="AP1797" s="4"/>
      <c r="AQ1797" s="8"/>
      <c r="AR1797" s="4"/>
      <c r="AS1797" s="8"/>
      <c r="AT1797" s="7"/>
      <c r="AU1797" s="7"/>
      <c r="AV1797" s="4" t="s">
        <v>100</v>
      </c>
      <c r="AW1797" s="8" t="s">
        <v>100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/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/>
      <c r="BJ1797" s="4">
        <v>3</v>
      </c>
      <c r="BK1797" s="8">
        <v>351.41</v>
      </c>
      <c r="BL1797" s="2" t="s">
        <v>741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109</v>
      </c>
      <c r="BV1797" s="2" t="s">
        <v>97</v>
      </c>
      <c r="BW1797" s="2" t="s">
        <v>4114</v>
      </c>
      <c r="BX1797" s="2" t="s">
        <v>3327</v>
      </c>
      <c r="BY1797" s="2" t="s">
        <v>112</v>
      </c>
      <c r="BZ1797" s="2" t="s">
        <v>100</v>
      </c>
    </row>
    <row r="1798">
      <c r="A1798" s="2" t="s">
        <v>5254</v>
      </c>
      <c r="B1798" s="2" t="s">
        <v>87</v>
      </c>
      <c r="C1798" s="2" t="s">
        <v>5155</v>
      </c>
      <c r="D1798" s="2" t="s">
        <v>89</v>
      </c>
      <c r="E1798" s="2" t="s">
        <v>90</v>
      </c>
      <c r="F1798" s="2" t="s">
        <v>5250</v>
      </c>
      <c r="G1798" s="2" t="s">
        <v>5250</v>
      </c>
      <c r="H1798" s="2" t="s">
        <v>5250</v>
      </c>
      <c r="I1798" s="2" t="s">
        <v>1860</v>
      </c>
      <c r="J1798" s="2" t="s">
        <v>120</v>
      </c>
      <c r="K1798" s="2" t="s">
        <v>213</v>
      </c>
      <c r="L1798" s="3">
        <v>135</v>
      </c>
      <c r="M1798" s="3">
        <v>141.74</v>
      </c>
      <c r="N1798" s="3">
        <v>279.99</v>
      </c>
      <c r="O1798" s="2" t="s">
        <v>97</v>
      </c>
      <c r="P1798" s="2" t="s">
        <v>383</v>
      </c>
      <c r="Q1798" s="2" t="s">
        <v>99</v>
      </c>
      <c r="R1798" s="2" t="s">
        <v>100</v>
      </c>
      <c r="S1798" s="2" t="s">
        <v>5251</v>
      </c>
      <c r="T1798" s="2" t="s">
        <v>100</v>
      </c>
      <c r="U1798" s="2" t="s">
        <v>1459</v>
      </c>
      <c r="V1798" s="2" t="s">
        <v>551</v>
      </c>
      <c r="W1798" s="2" t="s">
        <v>551</v>
      </c>
      <c r="X1798" s="2" t="s">
        <v>244</v>
      </c>
      <c r="Y1798" s="2" t="s">
        <v>131</v>
      </c>
      <c r="Z1798" s="4">
        <v>252</v>
      </c>
      <c r="AA1798" s="4">
        <f>=ROUNDDOWN(36,0)</f>
      </c>
      <c r="AB1798" s="5">
        <v>7</v>
      </c>
      <c r="AC1798" s="2" t="s">
        <v>100</v>
      </c>
      <c r="AD1798" s="4"/>
      <c r="AE1798" s="4"/>
      <c r="AF1798" s="6">
        <v>66</v>
      </c>
      <c r="AG1798" s="6"/>
      <c r="AH1798" s="7">
        <v>1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100</v>
      </c>
      <c r="AW1798" s="8" t="s">
        <v>100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/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/>
      <c r="BJ1798" s="4">
        <v>7</v>
      </c>
      <c r="BK1798" s="8">
        <v>1022.53</v>
      </c>
      <c r="BL1798" s="2" t="s">
        <v>5255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109</v>
      </c>
      <c r="BV1798" s="2" t="s">
        <v>97</v>
      </c>
      <c r="BW1798" s="2" t="s">
        <v>4114</v>
      </c>
      <c r="BX1798" s="2" t="s">
        <v>106</v>
      </c>
      <c r="BY1798" s="2" t="s">
        <v>112</v>
      </c>
      <c r="BZ1798" s="2" t="s">
        <v>100</v>
      </c>
    </row>
    <row r="1799">
      <c r="A1799" s="2" t="s">
        <v>5256</v>
      </c>
      <c r="B1799" s="2" t="s">
        <v>87</v>
      </c>
      <c r="C1799" s="2" t="s">
        <v>5155</v>
      </c>
      <c r="D1799" s="2" t="s">
        <v>89</v>
      </c>
      <c r="E1799" s="2" t="s">
        <v>90</v>
      </c>
      <c r="F1799" s="2" t="s">
        <v>5250</v>
      </c>
      <c r="G1799" s="2" t="s">
        <v>5250</v>
      </c>
      <c r="H1799" s="2" t="s">
        <v>5250</v>
      </c>
      <c r="I1799" s="2" t="s">
        <v>1860</v>
      </c>
      <c r="J1799" s="2" t="s">
        <v>124</v>
      </c>
      <c r="K1799" s="2" t="s">
        <v>213</v>
      </c>
      <c r="L1799" s="3">
        <v>135</v>
      </c>
      <c r="M1799" s="3">
        <v>141.74</v>
      </c>
      <c r="N1799" s="3">
        <v>279.99</v>
      </c>
      <c r="O1799" s="2" t="s">
        <v>97</v>
      </c>
      <c r="P1799" s="2" t="s">
        <v>383</v>
      </c>
      <c r="Q1799" s="2" t="s">
        <v>99</v>
      </c>
      <c r="R1799" s="2" t="s">
        <v>100</v>
      </c>
      <c r="S1799" s="2" t="s">
        <v>5251</v>
      </c>
      <c r="T1799" s="2" t="s">
        <v>100</v>
      </c>
      <c r="U1799" s="2" t="s">
        <v>1459</v>
      </c>
      <c r="V1799" s="2" t="s">
        <v>551</v>
      </c>
      <c r="W1799" s="2" t="s">
        <v>551</v>
      </c>
      <c r="X1799" s="2" t="s">
        <v>244</v>
      </c>
      <c r="Y1799" s="2" t="s">
        <v>131</v>
      </c>
      <c r="Z1799" s="4">
        <v>65</v>
      </c>
      <c r="AA1799" s="4">
        <f>=ROUNDDOWN(32.5,0)</f>
      </c>
      <c r="AB1799" s="5">
        <v>2</v>
      </c>
      <c r="AC1799" s="2" t="s">
        <v>429</v>
      </c>
      <c r="AD1799" s="4">
        <v>24</v>
      </c>
      <c r="AE1799" s="4">
        <v>24</v>
      </c>
      <c r="AF1799" s="6">
        <v>66</v>
      </c>
      <c r="AG1799" s="6"/>
      <c r="AH1799" s="7">
        <v>1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>
        <v>0</v>
      </c>
      <c r="AP1799" s="4"/>
      <c r="AQ1799" s="8"/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/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/>
      <c r="BJ1799" s="4"/>
      <c r="BK1799" s="8"/>
      <c r="BL1799" s="2" t="s">
        <v>100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109</v>
      </c>
      <c r="BV1799" s="2" t="s">
        <v>97</v>
      </c>
      <c r="BW1799" s="2" t="s">
        <v>4114</v>
      </c>
      <c r="BX1799" s="2" t="s">
        <v>1311</v>
      </c>
      <c r="BY1799" s="2" t="s">
        <v>112</v>
      </c>
      <c r="BZ1799" s="2" t="s">
        <v>100</v>
      </c>
    </row>
    <row r="1800">
      <c r="A1800" s="2" t="s">
        <v>5257</v>
      </c>
      <c r="B1800" s="2" t="s">
        <v>87</v>
      </c>
      <c r="C1800" s="2" t="s">
        <v>5155</v>
      </c>
      <c r="D1800" s="2" t="s">
        <v>89</v>
      </c>
      <c r="E1800" s="2" t="s">
        <v>90</v>
      </c>
      <c r="F1800" s="2" t="s">
        <v>5258</v>
      </c>
      <c r="G1800" s="2" t="s">
        <v>5258</v>
      </c>
      <c r="H1800" s="2" t="s">
        <v>5258</v>
      </c>
      <c r="I1800" s="2" t="s">
        <v>5259</v>
      </c>
      <c r="J1800" s="2" t="s">
        <v>785</v>
      </c>
      <c r="K1800" s="2" t="s">
        <v>357</v>
      </c>
      <c r="L1800" s="3">
        <v>95.03</v>
      </c>
      <c r="M1800" s="3">
        <v>99.78</v>
      </c>
      <c r="N1800" s="3">
        <v>204.99</v>
      </c>
      <c r="O1800" s="2" t="s">
        <v>97</v>
      </c>
      <c r="P1800" s="2" t="s">
        <v>587</v>
      </c>
      <c r="Q1800" s="2" t="s">
        <v>99</v>
      </c>
      <c r="R1800" s="2" t="s">
        <v>100</v>
      </c>
      <c r="S1800" s="2" t="s">
        <v>5260</v>
      </c>
      <c r="T1800" s="2" t="s">
        <v>359</v>
      </c>
      <c r="U1800" s="2" t="s">
        <v>644</v>
      </c>
      <c r="V1800" s="2" t="s">
        <v>663</v>
      </c>
      <c r="W1800" s="2" t="s">
        <v>104</v>
      </c>
      <c r="X1800" s="2" t="s">
        <v>788</v>
      </c>
      <c r="Y1800" s="2" t="s">
        <v>299</v>
      </c>
      <c r="Z1800" s="4">
        <v>324</v>
      </c>
      <c r="AA1800" s="4">
        <f>=ROUNDDOWN(60,0)</f>
      </c>
      <c r="AB1800" s="5">
        <v>5.4</v>
      </c>
      <c r="AC1800" s="2" t="s">
        <v>100</v>
      </c>
      <c r="AD1800" s="4"/>
      <c r="AE1800" s="4"/>
      <c r="AF1800" s="6">
        <v>66</v>
      </c>
      <c r="AG1800" s="6"/>
      <c r="AH1800" s="7">
        <v>1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>
        <v>0</v>
      </c>
      <c r="AP1800" s="4"/>
      <c r="AQ1800" s="8"/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/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/>
      <c r="BJ1800" s="4">
        <v>7</v>
      </c>
      <c r="BK1800" s="8">
        <v>690.25</v>
      </c>
      <c r="BL1800" s="2" t="s">
        <v>917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109</v>
      </c>
      <c r="BV1800" s="2" t="s">
        <v>97</v>
      </c>
      <c r="BW1800" s="2" t="s">
        <v>266</v>
      </c>
      <c r="BX1800" s="2" t="s">
        <v>5261</v>
      </c>
      <c r="BY1800" s="2" t="s">
        <v>112</v>
      </c>
      <c r="BZ1800" s="2" t="s">
        <v>100</v>
      </c>
    </row>
    <row r="1801">
      <c r="A1801" s="2" t="s">
        <v>5262</v>
      </c>
      <c r="B1801" s="2" t="s">
        <v>87</v>
      </c>
      <c r="C1801" s="2" t="s">
        <v>5155</v>
      </c>
      <c r="D1801" s="2" t="s">
        <v>89</v>
      </c>
      <c r="E1801" s="2" t="s">
        <v>90</v>
      </c>
      <c r="F1801" s="2" t="s">
        <v>5258</v>
      </c>
      <c r="G1801" s="2" t="s">
        <v>5258</v>
      </c>
      <c r="H1801" s="2" t="s">
        <v>5258</v>
      </c>
      <c r="I1801" s="2" t="s">
        <v>5259</v>
      </c>
      <c r="J1801" s="2" t="s">
        <v>795</v>
      </c>
      <c r="K1801" s="2" t="s">
        <v>357</v>
      </c>
      <c r="L1801" s="3">
        <v>105.59</v>
      </c>
      <c r="M1801" s="3">
        <v>110.87</v>
      </c>
      <c r="N1801" s="3">
        <v>224.99</v>
      </c>
      <c r="O1801" s="2" t="s">
        <v>97</v>
      </c>
      <c r="P1801" s="2" t="s">
        <v>587</v>
      </c>
      <c r="Q1801" s="2" t="s">
        <v>99</v>
      </c>
      <c r="R1801" s="2" t="s">
        <v>100</v>
      </c>
      <c r="S1801" s="2" t="s">
        <v>5260</v>
      </c>
      <c r="T1801" s="2" t="s">
        <v>359</v>
      </c>
      <c r="U1801" s="2" t="s">
        <v>644</v>
      </c>
      <c r="V1801" s="2" t="s">
        <v>663</v>
      </c>
      <c r="W1801" s="2" t="s">
        <v>104</v>
      </c>
      <c r="X1801" s="2" t="s">
        <v>788</v>
      </c>
      <c r="Y1801" s="2" t="s">
        <v>299</v>
      </c>
      <c r="Z1801" s="4">
        <v>302</v>
      </c>
      <c r="AA1801" s="4">
        <f>=ROUNDDOWN(59.2156862745098,0)</f>
      </c>
      <c r="AB1801" s="5">
        <v>5.1</v>
      </c>
      <c r="AC1801" s="2" t="s">
        <v>100</v>
      </c>
      <c r="AD1801" s="4"/>
      <c r="AE1801" s="4"/>
      <c r="AF1801" s="6">
        <v>66</v>
      </c>
      <c r="AG1801" s="6"/>
      <c r="AH1801" s="7">
        <v>1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>
        <v>0</v>
      </c>
      <c r="AP1801" s="4"/>
      <c r="AQ1801" s="8"/>
      <c r="AR1801" s="4"/>
      <c r="AS1801" s="8"/>
      <c r="AT1801" s="7"/>
      <c r="AU1801" s="7"/>
      <c r="AV1801" s="4" t="s">
        <v>100</v>
      </c>
      <c r="AW1801" s="8" t="s">
        <v>100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/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/>
      <c r="BJ1801" s="4">
        <v>4</v>
      </c>
      <c r="BK1801" s="8">
        <v>451</v>
      </c>
      <c r="BL1801" s="2" t="s">
        <v>4961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109</v>
      </c>
      <c r="BV1801" s="2" t="s">
        <v>97</v>
      </c>
      <c r="BW1801" s="2" t="s">
        <v>266</v>
      </c>
      <c r="BX1801" s="2" t="s">
        <v>905</v>
      </c>
      <c r="BY1801" s="2" t="s">
        <v>112</v>
      </c>
      <c r="BZ1801" s="2" t="s">
        <v>100</v>
      </c>
    </row>
    <row r="1802">
      <c r="A1802" s="2" t="s">
        <v>5263</v>
      </c>
      <c r="B1802" s="2" t="s">
        <v>87</v>
      </c>
      <c r="C1802" s="2" t="s">
        <v>5155</v>
      </c>
      <c r="D1802" s="2" t="s">
        <v>89</v>
      </c>
      <c r="E1802" s="2" t="s">
        <v>90</v>
      </c>
      <c r="F1802" s="2" t="s">
        <v>5264</v>
      </c>
      <c r="G1802" s="2" t="s">
        <v>5264</v>
      </c>
      <c r="H1802" s="2" t="s">
        <v>5264</v>
      </c>
      <c r="I1802" s="2" t="s">
        <v>5265</v>
      </c>
      <c r="J1802" s="2" t="s">
        <v>95</v>
      </c>
      <c r="K1802" s="2" t="s">
        <v>5192</v>
      </c>
      <c r="L1802" s="3">
        <v>91.2</v>
      </c>
      <c r="M1802" s="3">
        <v>95.76</v>
      </c>
      <c r="N1802" s="3">
        <v>189.99</v>
      </c>
      <c r="O1802" s="2" t="s">
        <v>97</v>
      </c>
      <c r="P1802" s="2" t="s">
        <v>1216</v>
      </c>
      <c r="Q1802" s="2" t="s">
        <v>99</v>
      </c>
      <c r="R1802" s="2" t="s">
        <v>100</v>
      </c>
      <c r="S1802" s="2" t="s">
        <v>5266</v>
      </c>
      <c r="T1802" s="2" t="s">
        <v>359</v>
      </c>
      <c r="U1802" s="2" t="s">
        <v>676</v>
      </c>
      <c r="V1802" s="2" t="s">
        <v>805</v>
      </c>
      <c r="W1802" s="2" t="s">
        <v>345</v>
      </c>
      <c r="X1802" s="2" t="s">
        <v>5267</v>
      </c>
      <c r="Y1802" s="2" t="s">
        <v>5268</v>
      </c>
      <c r="Z1802" s="4">
        <v>13</v>
      </c>
      <c r="AA1802" s="4">
        <f>=ROUNDDOWN(2.6,0)</f>
      </c>
      <c r="AB1802" s="5">
        <v>5</v>
      </c>
      <c r="AC1802" s="2" t="s">
        <v>429</v>
      </c>
      <c r="AD1802" s="4">
        <v>170</v>
      </c>
      <c r="AE1802" s="4">
        <v>170</v>
      </c>
      <c r="AF1802" s="6">
        <v>65</v>
      </c>
      <c r="AG1802" s="6"/>
      <c r="AH1802" s="7">
        <v>1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>
        <v>0</v>
      </c>
      <c r="AP1802" s="4"/>
      <c r="AQ1802" s="8"/>
      <c r="AR1802" s="4"/>
      <c r="AS1802" s="8"/>
      <c r="AT1802" s="7"/>
      <c r="AU1802" s="7"/>
      <c r="AV1802" s="4" t="s">
        <v>100</v>
      </c>
      <c r="AW1802" s="8" t="s">
        <v>100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/>
      <c r="BC1802" s="4" t="s">
        <v>100</v>
      </c>
      <c r="BD1802" s="8" t="s">
        <v>100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/>
      <c r="BJ1802" s="4">
        <v>5</v>
      </c>
      <c r="BK1802" s="8">
        <v>500.37</v>
      </c>
      <c r="BL1802" s="2" t="s">
        <v>300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109</v>
      </c>
      <c r="BV1802" s="2" t="s">
        <v>97</v>
      </c>
      <c r="BW1802" s="2" t="s">
        <v>1221</v>
      </c>
      <c r="BX1802" s="2" t="s">
        <v>100</v>
      </c>
      <c r="BY1802" s="2" t="s">
        <v>112</v>
      </c>
      <c r="BZ1802" s="2" t="s">
        <v>100</v>
      </c>
    </row>
    <row r="1803">
      <c r="A1803" s="2" t="s">
        <v>5269</v>
      </c>
      <c r="B1803" s="2" t="s">
        <v>87</v>
      </c>
      <c r="C1803" s="2" t="s">
        <v>5155</v>
      </c>
      <c r="D1803" s="2" t="s">
        <v>89</v>
      </c>
      <c r="E1803" s="2" t="s">
        <v>90</v>
      </c>
      <c r="F1803" s="2" t="s">
        <v>5264</v>
      </c>
      <c r="G1803" s="2" t="s">
        <v>5264</v>
      </c>
      <c r="H1803" s="2" t="s">
        <v>5264</v>
      </c>
      <c r="I1803" s="2" t="s">
        <v>5265</v>
      </c>
      <c r="J1803" s="2" t="s">
        <v>114</v>
      </c>
      <c r="K1803" s="2" t="s">
        <v>5192</v>
      </c>
      <c r="L1803" s="3">
        <v>100.8</v>
      </c>
      <c r="M1803" s="3">
        <v>105.84</v>
      </c>
      <c r="N1803" s="3">
        <v>209.99</v>
      </c>
      <c r="O1803" s="2" t="s">
        <v>97</v>
      </c>
      <c r="P1803" s="2" t="s">
        <v>1216</v>
      </c>
      <c r="Q1803" s="2" t="s">
        <v>99</v>
      </c>
      <c r="R1803" s="2" t="s">
        <v>100</v>
      </c>
      <c r="S1803" s="2" t="s">
        <v>5266</v>
      </c>
      <c r="T1803" s="2" t="s">
        <v>359</v>
      </c>
      <c r="U1803" s="2" t="s">
        <v>676</v>
      </c>
      <c r="V1803" s="2" t="s">
        <v>805</v>
      </c>
      <c r="W1803" s="2" t="s">
        <v>345</v>
      </c>
      <c r="X1803" s="2" t="s">
        <v>5267</v>
      </c>
      <c r="Y1803" s="2" t="s">
        <v>5268</v>
      </c>
      <c r="Z1803" s="4">
        <v>153</v>
      </c>
      <c r="AA1803" s="4">
        <f>=ROUNDDOWN(38.25,0)</f>
      </c>
      <c r="AB1803" s="5">
        <v>4</v>
      </c>
      <c r="AC1803" s="2" t="s">
        <v>429</v>
      </c>
      <c r="AD1803" s="4">
        <v>130</v>
      </c>
      <c r="AE1803" s="4">
        <v>130</v>
      </c>
      <c r="AF1803" s="6">
        <v>65</v>
      </c>
      <c r="AG1803" s="6"/>
      <c r="AH1803" s="7">
        <v>1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>
        <v>0</v>
      </c>
      <c r="AP1803" s="4"/>
      <c r="AQ1803" s="8"/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/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/>
      <c r="BJ1803" s="4">
        <v>2</v>
      </c>
      <c r="BK1803" s="8">
        <v>225.44</v>
      </c>
      <c r="BL1803" s="2" t="s">
        <v>1490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109</v>
      </c>
      <c r="BV1803" s="2" t="s">
        <v>97</v>
      </c>
      <c r="BW1803" s="2" t="s">
        <v>1221</v>
      </c>
      <c r="BX1803" s="2" t="s">
        <v>100</v>
      </c>
      <c r="BY1803" s="2" t="s">
        <v>112</v>
      </c>
      <c r="BZ1803" s="2" t="s">
        <v>100</v>
      </c>
    </row>
    <row r="1804">
      <c r="A1804" s="2" t="s">
        <v>5270</v>
      </c>
      <c r="B1804" s="2" t="s">
        <v>87</v>
      </c>
      <c r="C1804" s="2" t="s">
        <v>5155</v>
      </c>
      <c r="D1804" s="2" t="s">
        <v>89</v>
      </c>
      <c r="E1804" s="2" t="s">
        <v>90</v>
      </c>
      <c r="F1804" s="2" t="s">
        <v>5264</v>
      </c>
      <c r="G1804" s="2" t="s">
        <v>5264</v>
      </c>
      <c r="H1804" s="2" t="s">
        <v>5264</v>
      </c>
      <c r="I1804" s="2" t="s">
        <v>5265</v>
      </c>
      <c r="J1804" s="2" t="s">
        <v>120</v>
      </c>
      <c r="K1804" s="2" t="s">
        <v>5192</v>
      </c>
      <c r="L1804" s="3">
        <v>110.4</v>
      </c>
      <c r="M1804" s="3">
        <v>115.92</v>
      </c>
      <c r="N1804" s="3">
        <v>229.99</v>
      </c>
      <c r="O1804" s="2" t="s">
        <v>97</v>
      </c>
      <c r="P1804" s="2" t="s">
        <v>1216</v>
      </c>
      <c r="Q1804" s="2" t="s">
        <v>99</v>
      </c>
      <c r="R1804" s="2" t="s">
        <v>100</v>
      </c>
      <c r="S1804" s="2" t="s">
        <v>5266</v>
      </c>
      <c r="T1804" s="2" t="s">
        <v>359</v>
      </c>
      <c r="U1804" s="2" t="s">
        <v>676</v>
      </c>
      <c r="V1804" s="2" t="s">
        <v>805</v>
      </c>
      <c r="W1804" s="2" t="s">
        <v>345</v>
      </c>
      <c r="X1804" s="2" t="s">
        <v>5267</v>
      </c>
      <c r="Y1804" s="2" t="s">
        <v>5268</v>
      </c>
      <c r="Z1804" s="4">
        <v>162</v>
      </c>
      <c r="AA1804" s="4">
        <f>=ROUNDDOWN(32.4,0)</f>
      </c>
      <c r="AB1804" s="5">
        <v>5</v>
      </c>
      <c r="AC1804" s="2" t="s">
        <v>429</v>
      </c>
      <c r="AD1804" s="4">
        <v>180</v>
      </c>
      <c r="AE1804" s="4">
        <v>180</v>
      </c>
      <c r="AF1804" s="6">
        <v>65</v>
      </c>
      <c r="AG1804" s="6"/>
      <c r="AH1804" s="7">
        <v>1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>
        <v>0</v>
      </c>
      <c r="AP1804" s="4"/>
      <c r="AQ1804" s="8"/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/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/>
      <c r="BJ1804" s="4"/>
      <c r="BK1804" s="8"/>
      <c r="BL1804" s="2" t="s">
        <v>100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109</v>
      </c>
      <c r="BV1804" s="2" t="s">
        <v>97</v>
      </c>
      <c r="BW1804" s="2" t="s">
        <v>1221</v>
      </c>
      <c r="BX1804" s="2" t="s">
        <v>100</v>
      </c>
      <c r="BY1804" s="2" t="s">
        <v>112</v>
      </c>
      <c r="BZ1804" s="2" t="s">
        <v>100</v>
      </c>
    </row>
    <row r="1805">
      <c r="A1805" s="2" t="s">
        <v>5271</v>
      </c>
      <c r="B1805" s="2" t="s">
        <v>87</v>
      </c>
      <c r="C1805" s="2" t="s">
        <v>5155</v>
      </c>
      <c r="D1805" s="2" t="s">
        <v>89</v>
      </c>
      <c r="E1805" s="2" t="s">
        <v>90</v>
      </c>
      <c r="F1805" s="2" t="s">
        <v>5264</v>
      </c>
      <c r="G1805" s="2" t="s">
        <v>5264</v>
      </c>
      <c r="H1805" s="2" t="s">
        <v>5264</v>
      </c>
      <c r="I1805" s="2" t="s">
        <v>5265</v>
      </c>
      <c r="J1805" s="2" t="s">
        <v>124</v>
      </c>
      <c r="K1805" s="2" t="s">
        <v>5192</v>
      </c>
      <c r="L1805" s="3">
        <v>110.4</v>
      </c>
      <c r="M1805" s="3">
        <v>115.92</v>
      </c>
      <c r="N1805" s="3">
        <v>229.99</v>
      </c>
      <c r="O1805" s="2" t="s">
        <v>97</v>
      </c>
      <c r="P1805" s="2" t="s">
        <v>1216</v>
      </c>
      <c r="Q1805" s="2" t="s">
        <v>99</v>
      </c>
      <c r="R1805" s="2" t="s">
        <v>100</v>
      </c>
      <c r="S1805" s="2" t="s">
        <v>5266</v>
      </c>
      <c r="T1805" s="2" t="s">
        <v>359</v>
      </c>
      <c r="U1805" s="2" t="s">
        <v>676</v>
      </c>
      <c r="V1805" s="2" t="s">
        <v>805</v>
      </c>
      <c r="W1805" s="2" t="s">
        <v>345</v>
      </c>
      <c r="X1805" s="2" t="s">
        <v>5267</v>
      </c>
      <c r="Y1805" s="2" t="s">
        <v>5268</v>
      </c>
      <c r="Z1805" s="4">
        <v>68</v>
      </c>
      <c r="AA1805" s="4">
        <f>=ROUNDDOWN(34,0)</f>
      </c>
      <c r="AB1805" s="5">
        <v>2</v>
      </c>
      <c r="AC1805" s="2" t="s">
        <v>429</v>
      </c>
      <c r="AD1805" s="4">
        <v>80</v>
      </c>
      <c r="AE1805" s="4">
        <v>80</v>
      </c>
      <c r="AF1805" s="6">
        <v>65</v>
      </c>
      <c r="AG1805" s="6"/>
      <c r="AH1805" s="7">
        <v>1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>
        <v>0</v>
      </c>
      <c r="AP1805" s="4"/>
      <c r="AQ1805" s="8"/>
      <c r="AR1805" s="4"/>
      <c r="AS1805" s="8"/>
      <c r="AT1805" s="7"/>
      <c r="AU1805" s="7"/>
      <c r="AV1805" s="4" t="s">
        <v>100</v>
      </c>
      <c r="AW1805" s="8" t="s">
        <v>100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/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/>
      <c r="BJ1805" s="4">
        <v>1</v>
      </c>
      <c r="BK1805" s="8">
        <v>125.19</v>
      </c>
      <c r="BL1805" s="2" t="s">
        <v>2115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109</v>
      </c>
      <c r="BV1805" s="2" t="s">
        <v>97</v>
      </c>
      <c r="BW1805" s="2" t="s">
        <v>1221</v>
      </c>
      <c r="BX1805" s="2" t="s">
        <v>100</v>
      </c>
      <c r="BY1805" s="2" t="s">
        <v>112</v>
      </c>
      <c r="BZ1805" s="2" t="s">
        <v>100</v>
      </c>
    </row>
    <row r="1806">
      <c r="A1806" s="2" t="s">
        <v>5272</v>
      </c>
      <c r="B1806" s="2" t="s">
        <v>87</v>
      </c>
      <c r="C1806" s="2" t="s">
        <v>5155</v>
      </c>
      <c r="D1806" s="2" t="s">
        <v>89</v>
      </c>
      <c r="E1806" s="2" t="s">
        <v>90</v>
      </c>
      <c r="F1806" s="2" t="s">
        <v>5264</v>
      </c>
      <c r="G1806" s="2" t="s">
        <v>5264</v>
      </c>
      <c r="H1806" s="2" t="s">
        <v>5264</v>
      </c>
      <c r="I1806" s="2" t="s">
        <v>5265</v>
      </c>
      <c r="J1806" s="2" t="s">
        <v>95</v>
      </c>
      <c r="K1806" s="2" t="s">
        <v>5273</v>
      </c>
      <c r="L1806" s="3">
        <v>91.2</v>
      </c>
      <c r="M1806" s="3">
        <v>95.76</v>
      </c>
      <c r="N1806" s="3">
        <v>189.99</v>
      </c>
      <c r="O1806" s="2" t="s">
        <v>97</v>
      </c>
      <c r="P1806" s="2" t="s">
        <v>281</v>
      </c>
      <c r="Q1806" s="2" t="s">
        <v>99</v>
      </c>
      <c r="R1806" s="2" t="s">
        <v>100</v>
      </c>
      <c r="S1806" s="2" t="s">
        <v>5274</v>
      </c>
      <c r="T1806" s="2" t="s">
        <v>359</v>
      </c>
      <c r="U1806" s="2" t="s">
        <v>676</v>
      </c>
      <c r="V1806" s="2" t="s">
        <v>805</v>
      </c>
      <c r="W1806" s="2" t="s">
        <v>345</v>
      </c>
      <c r="X1806" s="2" t="s">
        <v>5267</v>
      </c>
      <c r="Y1806" s="2" t="s">
        <v>5194</v>
      </c>
      <c r="Z1806" s="4">
        <v>77</v>
      </c>
      <c r="AA1806" s="4">
        <f>=ROUNDDOWN(15.4,0)</f>
      </c>
      <c r="AB1806" s="5">
        <v>5</v>
      </c>
      <c r="AC1806" s="2" t="s">
        <v>287</v>
      </c>
      <c r="AD1806" s="4">
        <v>40</v>
      </c>
      <c r="AE1806" s="4">
        <v>200</v>
      </c>
      <c r="AF1806" s="6">
        <v>65</v>
      </c>
      <c r="AG1806" s="6"/>
      <c r="AH1806" s="7">
        <v>1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>
        <v>0</v>
      </c>
      <c r="AP1806" s="4"/>
      <c r="AQ1806" s="8"/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/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/>
      <c r="BJ1806" s="4">
        <v>1</v>
      </c>
      <c r="BK1806" s="8">
        <v>103.42</v>
      </c>
      <c r="BL1806" s="2" t="s">
        <v>2115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109</v>
      </c>
      <c r="BV1806" s="2" t="s">
        <v>97</v>
      </c>
      <c r="BW1806" s="2" t="s">
        <v>4305</v>
      </c>
      <c r="BX1806" s="2" t="s">
        <v>100</v>
      </c>
      <c r="BY1806" s="2" t="s">
        <v>112</v>
      </c>
      <c r="BZ1806" s="2" t="s">
        <v>100</v>
      </c>
    </row>
    <row r="1807">
      <c r="A1807" s="2" t="s">
        <v>5275</v>
      </c>
      <c r="B1807" s="2" t="s">
        <v>87</v>
      </c>
      <c r="C1807" s="2" t="s">
        <v>5155</v>
      </c>
      <c r="D1807" s="2" t="s">
        <v>89</v>
      </c>
      <c r="E1807" s="2" t="s">
        <v>90</v>
      </c>
      <c r="F1807" s="2" t="s">
        <v>5264</v>
      </c>
      <c r="G1807" s="2" t="s">
        <v>5264</v>
      </c>
      <c r="H1807" s="2" t="s">
        <v>5264</v>
      </c>
      <c r="I1807" s="2" t="s">
        <v>5265</v>
      </c>
      <c r="J1807" s="2" t="s">
        <v>114</v>
      </c>
      <c r="K1807" s="2" t="s">
        <v>5273</v>
      </c>
      <c r="L1807" s="3">
        <v>100.8</v>
      </c>
      <c r="M1807" s="3">
        <v>105.84</v>
      </c>
      <c r="N1807" s="3">
        <v>209.99</v>
      </c>
      <c r="O1807" s="2" t="s">
        <v>97</v>
      </c>
      <c r="P1807" s="2" t="s">
        <v>281</v>
      </c>
      <c r="Q1807" s="2" t="s">
        <v>99</v>
      </c>
      <c r="R1807" s="2" t="s">
        <v>100</v>
      </c>
      <c r="S1807" s="2" t="s">
        <v>5274</v>
      </c>
      <c r="T1807" s="2" t="s">
        <v>359</v>
      </c>
      <c r="U1807" s="2" t="s">
        <v>676</v>
      </c>
      <c r="V1807" s="2" t="s">
        <v>805</v>
      </c>
      <c r="W1807" s="2" t="s">
        <v>345</v>
      </c>
      <c r="X1807" s="2" t="s">
        <v>5267</v>
      </c>
      <c r="Y1807" s="2" t="s">
        <v>5194</v>
      </c>
      <c r="Z1807" s="4">
        <v>168</v>
      </c>
      <c r="AA1807" s="4">
        <f>=ROUNDDOWN(21,0)</f>
      </c>
      <c r="AB1807" s="5">
        <v>8</v>
      </c>
      <c r="AC1807" s="2" t="s">
        <v>2009</v>
      </c>
      <c r="AD1807" s="4">
        <v>11</v>
      </c>
      <c r="AE1807" s="4">
        <v>290</v>
      </c>
      <c r="AF1807" s="6">
        <v>65</v>
      </c>
      <c r="AG1807" s="6"/>
      <c r="AH1807" s="7">
        <v>1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>
        <v>0</v>
      </c>
      <c r="AP1807" s="4"/>
      <c r="AQ1807" s="8"/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/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/>
      <c r="BJ1807" s="4">
        <v>3</v>
      </c>
      <c r="BK1807" s="8">
        <v>325.99</v>
      </c>
      <c r="BL1807" s="2" t="s">
        <v>5276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109</v>
      </c>
      <c r="BV1807" s="2" t="s">
        <v>97</v>
      </c>
      <c r="BW1807" s="2" t="s">
        <v>4305</v>
      </c>
      <c r="BX1807" s="2" t="s">
        <v>1168</v>
      </c>
      <c r="BY1807" s="2" t="s">
        <v>112</v>
      </c>
      <c r="BZ1807" s="2" t="s">
        <v>100</v>
      </c>
    </row>
    <row r="1808">
      <c r="A1808" s="2" t="s">
        <v>5277</v>
      </c>
      <c r="B1808" s="2" t="s">
        <v>87</v>
      </c>
      <c r="C1808" s="2" t="s">
        <v>5155</v>
      </c>
      <c r="D1808" s="2" t="s">
        <v>89</v>
      </c>
      <c r="E1808" s="2" t="s">
        <v>90</v>
      </c>
      <c r="F1808" s="2" t="s">
        <v>5264</v>
      </c>
      <c r="G1808" s="2" t="s">
        <v>5264</v>
      </c>
      <c r="H1808" s="2" t="s">
        <v>5264</v>
      </c>
      <c r="I1808" s="2" t="s">
        <v>5265</v>
      </c>
      <c r="J1808" s="2" t="s">
        <v>120</v>
      </c>
      <c r="K1808" s="2" t="s">
        <v>5273</v>
      </c>
      <c r="L1808" s="3">
        <v>110.4</v>
      </c>
      <c r="M1808" s="3">
        <v>115.92</v>
      </c>
      <c r="N1808" s="3">
        <v>229.99</v>
      </c>
      <c r="O1808" s="2" t="s">
        <v>97</v>
      </c>
      <c r="P1808" s="2" t="s">
        <v>281</v>
      </c>
      <c r="Q1808" s="2" t="s">
        <v>99</v>
      </c>
      <c r="R1808" s="2" t="s">
        <v>100</v>
      </c>
      <c r="S1808" s="2" t="s">
        <v>5274</v>
      </c>
      <c r="T1808" s="2" t="s">
        <v>359</v>
      </c>
      <c r="U1808" s="2" t="s">
        <v>676</v>
      </c>
      <c r="V1808" s="2" t="s">
        <v>805</v>
      </c>
      <c r="W1808" s="2" t="s">
        <v>345</v>
      </c>
      <c r="X1808" s="2" t="s">
        <v>5267</v>
      </c>
      <c r="Y1808" s="2" t="s">
        <v>5194</v>
      </c>
      <c r="Z1808" s="4">
        <v>221</v>
      </c>
      <c r="AA1808" s="4">
        <f>=ROUNDDOWN(24.5555555555556,0)</f>
      </c>
      <c r="AB1808" s="5">
        <v>9</v>
      </c>
      <c r="AC1808" s="2" t="s">
        <v>287</v>
      </c>
      <c r="AD1808" s="4">
        <v>85</v>
      </c>
      <c r="AE1808" s="4">
        <v>279</v>
      </c>
      <c r="AF1808" s="6">
        <v>65</v>
      </c>
      <c r="AG1808" s="6"/>
      <c r="AH1808" s="7">
        <v>1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>
        <v>0</v>
      </c>
      <c r="AP1808" s="4"/>
      <c r="AQ1808" s="8"/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/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/>
      <c r="BJ1808" s="4">
        <v>5</v>
      </c>
      <c r="BK1808" s="8">
        <v>609.73</v>
      </c>
      <c r="BL1808" s="2" t="s">
        <v>5278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109</v>
      </c>
      <c r="BV1808" s="2" t="s">
        <v>97</v>
      </c>
      <c r="BW1808" s="2" t="s">
        <v>4305</v>
      </c>
      <c r="BX1808" s="2" t="s">
        <v>2008</v>
      </c>
      <c r="BY1808" s="2" t="s">
        <v>112</v>
      </c>
      <c r="BZ1808" s="2" t="s">
        <v>100</v>
      </c>
    </row>
    <row r="1809">
      <c r="A1809" s="2" t="s">
        <v>5279</v>
      </c>
      <c r="B1809" s="2" t="s">
        <v>87</v>
      </c>
      <c r="C1809" s="2" t="s">
        <v>5155</v>
      </c>
      <c r="D1809" s="2" t="s">
        <v>89</v>
      </c>
      <c r="E1809" s="2" t="s">
        <v>90</v>
      </c>
      <c r="F1809" s="2" t="s">
        <v>5264</v>
      </c>
      <c r="G1809" s="2" t="s">
        <v>5264</v>
      </c>
      <c r="H1809" s="2" t="s">
        <v>5264</v>
      </c>
      <c r="I1809" s="2" t="s">
        <v>5265</v>
      </c>
      <c r="J1809" s="2" t="s">
        <v>124</v>
      </c>
      <c r="K1809" s="2" t="s">
        <v>5273</v>
      </c>
      <c r="L1809" s="3">
        <v>110.4</v>
      </c>
      <c r="M1809" s="3">
        <v>115.92</v>
      </c>
      <c r="N1809" s="3">
        <v>229.99</v>
      </c>
      <c r="O1809" s="2" t="s">
        <v>97</v>
      </c>
      <c r="P1809" s="2" t="s">
        <v>281</v>
      </c>
      <c r="Q1809" s="2" t="s">
        <v>99</v>
      </c>
      <c r="R1809" s="2" t="s">
        <v>100</v>
      </c>
      <c r="S1809" s="2" t="s">
        <v>5274</v>
      </c>
      <c r="T1809" s="2" t="s">
        <v>359</v>
      </c>
      <c r="U1809" s="2" t="s">
        <v>676</v>
      </c>
      <c r="V1809" s="2" t="s">
        <v>805</v>
      </c>
      <c r="W1809" s="2" t="s">
        <v>345</v>
      </c>
      <c r="X1809" s="2" t="s">
        <v>5267</v>
      </c>
      <c r="Y1809" s="2" t="s">
        <v>5194</v>
      </c>
      <c r="Z1809" s="4">
        <v>105</v>
      </c>
      <c r="AA1809" s="4">
        <f>=ROUNDDOWN(21,0)</f>
      </c>
      <c r="AB1809" s="5">
        <v>5</v>
      </c>
      <c r="AC1809" s="2" t="s">
        <v>287</v>
      </c>
      <c r="AD1809" s="4">
        <v>60</v>
      </c>
      <c r="AE1809" s="4">
        <v>245</v>
      </c>
      <c r="AF1809" s="6">
        <v>65</v>
      </c>
      <c r="AG1809" s="6"/>
      <c r="AH1809" s="7">
        <v>1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>
        <v>0</v>
      </c>
      <c r="AP1809" s="4"/>
      <c r="AQ1809" s="8"/>
      <c r="AR1809" s="4"/>
      <c r="AS1809" s="8"/>
      <c r="AT1809" s="7"/>
      <c r="AU1809" s="7"/>
      <c r="AV1809" s="4" t="s">
        <v>100</v>
      </c>
      <c r="AW1809" s="8" t="s">
        <v>100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/>
      <c r="BC1809" s="4" t="s">
        <v>100</v>
      </c>
      <c r="BD1809" s="8" t="s">
        <v>100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/>
      <c r="BJ1809" s="4">
        <v>2</v>
      </c>
      <c r="BK1809" s="8">
        <v>233</v>
      </c>
      <c r="BL1809" s="2" t="s">
        <v>887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109</v>
      </c>
      <c r="BV1809" s="2" t="s">
        <v>97</v>
      </c>
      <c r="BW1809" s="2" t="s">
        <v>4305</v>
      </c>
      <c r="BX1809" s="2" t="s">
        <v>1462</v>
      </c>
      <c r="BY1809" s="2" t="s">
        <v>112</v>
      </c>
      <c r="BZ1809" s="2" t="s">
        <v>100</v>
      </c>
    </row>
    <row r="1810">
      <c r="A1810" s="2" t="s">
        <v>5280</v>
      </c>
      <c r="B1810" s="2" t="s">
        <v>87</v>
      </c>
      <c r="C1810" s="2" t="s">
        <v>5155</v>
      </c>
      <c r="D1810" s="2" t="s">
        <v>89</v>
      </c>
      <c r="E1810" s="2" t="s">
        <v>90</v>
      </c>
      <c r="F1810" s="2" t="s">
        <v>5281</v>
      </c>
      <c r="G1810" s="2" t="s">
        <v>5281</v>
      </c>
      <c r="H1810" s="2" t="s">
        <v>5281</v>
      </c>
      <c r="I1810" s="2" t="s">
        <v>5282</v>
      </c>
      <c r="J1810" s="2" t="s">
        <v>95</v>
      </c>
      <c r="K1810" s="2" t="s">
        <v>5283</v>
      </c>
      <c r="L1810" s="3">
        <v>86.4</v>
      </c>
      <c r="M1810" s="3">
        <v>90.72</v>
      </c>
      <c r="N1810" s="3">
        <v>179.99</v>
      </c>
      <c r="O1810" s="2" t="s">
        <v>97</v>
      </c>
      <c r="P1810" s="2" t="s">
        <v>383</v>
      </c>
      <c r="Q1810" s="2" t="s">
        <v>99</v>
      </c>
      <c r="R1810" s="2" t="s">
        <v>100</v>
      </c>
      <c r="S1810" s="2" t="s">
        <v>5284</v>
      </c>
      <c r="T1810" s="2" t="s">
        <v>359</v>
      </c>
      <c r="U1810" s="2" t="s">
        <v>676</v>
      </c>
      <c r="V1810" s="2" t="s">
        <v>551</v>
      </c>
      <c r="W1810" s="2" t="s">
        <v>551</v>
      </c>
      <c r="X1810" s="2" t="s">
        <v>100</v>
      </c>
      <c r="Y1810" s="2" t="s">
        <v>3777</v>
      </c>
      <c r="Z1810" s="4">
        <v>69</v>
      </c>
      <c r="AA1810" s="4">
        <f>=ROUNDDOWN(23,0)</f>
      </c>
      <c r="AB1810" s="5">
        <v>3</v>
      </c>
      <c r="AC1810" s="2" t="s">
        <v>100</v>
      </c>
      <c r="AD1810" s="4"/>
      <c r="AE1810" s="4"/>
      <c r="AF1810" s="6">
        <v>67</v>
      </c>
      <c r="AG1810" s="6"/>
      <c r="AH1810" s="7">
        <v>1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>
        <v>0</v>
      </c>
      <c r="AP1810" s="4"/>
      <c r="AQ1810" s="8"/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/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/>
      <c r="BJ1810" s="4">
        <v>2</v>
      </c>
      <c r="BK1810" s="8">
        <v>195.94</v>
      </c>
      <c r="BL1810" s="2" t="s">
        <v>813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109</v>
      </c>
      <c r="BV1810" s="2" t="s">
        <v>97</v>
      </c>
      <c r="BW1810" s="2" t="s">
        <v>1221</v>
      </c>
      <c r="BX1810" s="2" t="s">
        <v>4881</v>
      </c>
      <c r="BY1810" s="2" t="s">
        <v>112</v>
      </c>
      <c r="BZ1810" s="2" t="s">
        <v>100</v>
      </c>
    </row>
    <row r="1811">
      <c r="A1811" s="2" t="s">
        <v>5285</v>
      </c>
      <c r="B1811" s="2" t="s">
        <v>87</v>
      </c>
      <c r="C1811" s="2" t="s">
        <v>5155</v>
      </c>
      <c r="D1811" s="2" t="s">
        <v>89</v>
      </c>
      <c r="E1811" s="2" t="s">
        <v>90</v>
      </c>
      <c r="F1811" s="2" t="s">
        <v>5281</v>
      </c>
      <c r="G1811" s="2" t="s">
        <v>5281</v>
      </c>
      <c r="H1811" s="2" t="s">
        <v>5281</v>
      </c>
      <c r="I1811" s="2" t="s">
        <v>5282</v>
      </c>
      <c r="J1811" s="2" t="s">
        <v>114</v>
      </c>
      <c r="K1811" s="2" t="s">
        <v>5283</v>
      </c>
      <c r="L1811" s="3">
        <v>96</v>
      </c>
      <c r="M1811" s="3">
        <v>100.8</v>
      </c>
      <c r="N1811" s="3">
        <v>199.99</v>
      </c>
      <c r="O1811" s="2" t="s">
        <v>97</v>
      </c>
      <c r="P1811" s="2" t="s">
        <v>383</v>
      </c>
      <c r="Q1811" s="2" t="s">
        <v>99</v>
      </c>
      <c r="R1811" s="2" t="s">
        <v>100</v>
      </c>
      <c r="S1811" s="2" t="s">
        <v>5284</v>
      </c>
      <c r="T1811" s="2" t="s">
        <v>359</v>
      </c>
      <c r="U1811" s="2" t="s">
        <v>676</v>
      </c>
      <c r="V1811" s="2" t="s">
        <v>551</v>
      </c>
      <c r="W1811" s="2" t="s">
        <v>551</v>
      </c>
      <c r="X1811" s="2" t="s">
        <v>100</v>
      </c>
      <c r="Y1811" s="2" t="s">
        <v>3777</v>
      </c>
      <c r="Z1811" s="4">
        <v>4</v>
      </c>
      <c r="AA1811" s="4">
        <f>=ROUNDDOWN(0.363636363636364,0)</f>
      </c>
      <c r="AB1811" s="5">
        <v>11</v>
      </c>
      <c r="AC1811" s="2" t="s">
        <v>1962</v>
      </c>
      <c r="AD1811" s="4">
        <v>188</v>
      </c>
      <c r="AE1811" s="4">
        <v>188</v>
      </c>
      <c r="AF1811" s="6">
        <v>67</v>
      </c>
      <c r="AG1811" s="6"/>
      <c r="AH1811" s="7">
        <v>1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>
        <v>0</v>
      </c>
      <c r="AP1811" s="4"/>
      <c r="AQ1811" s="8"/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/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/>
      <c r="BJ1811" s="4">
        <v>10</v>
      </c>
      <c r="BK1811" s="8">
        <v>1087.64</v>
      </c>
      <c r="BL1811" s="2" t="s">
        <v>5286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109</v>
      </c>
      <c r="BV1811" s="2" t="s">
        <v>97</v>
      </c>
      <c r="BW1811" s="2" t="s">
        <v>1221</v>
      </c>
      <c r="BX1811" s="2" t="s">
        <v>100</v>
      </c>
      <c r="BY1811" s="2" t="s">
        <v>112</v>
      </c>
      <c r="BZ1811" s="2" t="s">
        <v>100</v>
      </c>
    </row>
    <row r="1812">
      <c r="A1812" s="2" t="s">
        <v>5287</v>
      </c>
      <c r="B1812" s="2" t="s">
        <v>87</v>
      </c>
      <c r="C1812" s="2" t="s">
        <v>5155</v>
      </c>
      <c r="D1812" s="2" t="s">
        <v>89</v>
      </c>
      <c r="E1812" s="2" t="s">
        <v>90</v>
      </c>
      <c r="F1812" s="2" t="s">
        <v>5281</v>
      </c>
      <c r="G1812" s="2" t="s">
        <v>5281</v>
      </c>
      <c r="H1812" s="2" t="s">
        <v>5281</v>
      </c>
      <c r="I1812" s="2" t="s">
        <v>5282</v>
      </c>
      <c r="J1812" s="2" t="s">
        <v>120</v>
      </c>
      <c r="K1812" s="2" t="s">
        <v>5283</v>
      </c>
      <c r="L1812" s="3">
        <v>105.6</v>
      </c>
      <c r="M1812" s="3">
        <v>110.88</v>
      </c>
      <c r="N1812" s="3">
        <v>219.99</v>
      </c>
      <c r="O1812" s="2" t="s">
        <v>97</v>
      </c>
      <c r="P1812" s="2" t="s">
        <v>383</v>
      </c>
      <c r="Q1812" s="2" t="s">
        <v>99</v>
      </c>
      <c r="R1812" s="2" t="s">
        <v>100</v>
      </c>
      <c r="S1812" s="2" t="s">
        <v>5284</v>
      </c>
      <c r="T1812" s="2" t="s">
        <v>359</v>
      </c>
      <c r="U1812" s="2" t="s">
        <v>676</v>
      </c>
      <c r="V1812" s="2" t="s">
        <v>551</v>
      </c>
      <c r="W1812" s="2" t="s">
        <v>551</v>
      </c>
      <c r="X1812" s="2" t="s">
        <v>100</v>
      </c>
      <c r="Y1812" s="2" t="s">
        <v>3777</v>
      </c>
      <c r="Z1812" s="4">
        <v>84</v>
      </c>
      <c r="AA1812" s="4">
        <f>=ROUNDDOWN(10.5,0)</f>
      </c>
      <c r="AB1812" s="5">
        <v>8</v>
      </c>
      <c r="AC1812" s="2" t="s">
        <v>1962</v>
      </c>
      <c r="AD1812" s="4">
        <v>111</v>
      </c>
      <c r="AE1812" s="4">
        <v>111</v>
      </c>
      <c r="AF1812" s="6">
        <v>67</v>
      </c>
      <c r="AG1812" s="6"/>
      <c r="AH1812" s="7">
        <v>1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>
        <v>0</v>
      </c>
      <c r="AP1812" s="4"/>
      <c r="AQ1812" s="8"/>
      <c r="AR1812" s="4"/>
      <c r="AS1812" s="8"/>
      <c r="AT1812" s="7"/>
      <c r="AU1812" s="7"/>
      <c r="AV1812" s="4" t="s">
        <v>100</v>
      </c>
      <c r="AW1812" s="8" t="s">
        <v>100</v>
      </c>
      <c r="AX1812" s="4" t="s">
        <v>100</v>
      </c>
      <c r="AY1812" s="8" t="s">
        <v>100</v>
      </c>
      <c r="AZ1812" s="7" t="s">
        <v>100</v>
      </c>
      <c r="BA1812" s="7" t="s">
        <v>100</v>
      </c>
      <c r="BB1812" s="7"/>
      <c r="BC1812" s="4" t="s">
        <v>100</v>
      </c>
      <c r="BD1812" s="8" t="s">
        <v>100</v>
      </c>
      <c r="BE1812" s="4" t="s">
        <v>100</v>
      </c>
      <c r="BF1812" s="8" t="s">
        <v>100</v>
      </c>
      <c r="BG1812" s="7" t="s">
        <v>100</v>
      </c>
      <c r="BH1812" s="7" t="s">
        <v>100</v>
      </c>
      <c r="BI1812" s="7"/>
      <c r="BJ1812" s="4">
        <v>6</v>
      </c>
      <c r="BK1812" s="8">
        <v>671.88</v>
      </c>
      <c r="BL1812" s="2" t="s">
        <v>919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109</v>
      </c>
      <c r="BV1812" s="2" t="s">
        <v>97</v>
      </c>
      <c r="BW1812" s="2" t="s">
        <v>1221</v>
      </c>
      <c r="BX1812" s="2" t="s">
        <v>100</v>
      </c>
      <c r="BY1812" s="2" t="s">
        <v>112</v>
      </c>
      <c r="BZ1812" s="2" t="s">
        <v>100</v>
      </c>
    </row>
    <row r="1813">
      <c r="A1813" s="2" t="s">
        <v>5288</v>
      </c>
      <c r="B1813" s="2" t="s">
        <v>87</v>
      </c>
      <c r="C1813" s="2" t="s">
        <v>5155</v>
      </c>
      <c r="D1813" s="2" t="s">
        <v>89</v>
      </c>
      <c r="E1813" s="2" t="s">
        <v>90</v>
      </c>
      <c r="F1813" s="2" t="s">
        <v>5281</v>
      </c>
      <c r="G1813" s="2" t="s">
        <v>5281</v>
      </c>
      <c r="H1813" s="2" t="s">
        <v>5281</v>
      </c>
      <c r="I1813" s="2" t="s">
        <v>5282</v>
      </c>
      <c r="J1813" s="2" t="s">
        <v>124</v>
      </c>
      <c r="K1813" s="2" t="s">
        <v>5283</v>
      </c>
      <c r="L1813" s="3">
        <v>105.6</v>
      </c>
      <c r="M1813" s="3">
        <v>110.88</v>
      </c>
      <c r="N1813" s="3">
        <v>219.99</v>
      </c>
      <c r="O1813" s="2" t="s">
        <v>97</v>
      </c>
      <c r="P1813" s="2" t="s">
        <v>383</v>
      </c>
      <c r="Q1813" s="2" t="s">
        <v>99</v>
      </c>
      <c r="R1813" s="2" t="s">
        <v>100</v>
      </c>
      <c r="S1813" s="2" t="s">
        <v>5284</v>
      </c>
      <c r="T1813" s="2" t="s">
        <v>359</v>
      </c>
      <c r="U1813" s="2" t="s">
        <v>676</v>
      </c>
      <c r="V1813" s="2" t="s">
        <v>551</v>
      </c>
      <c r="W1813" s="2" t="s">
        <v>551</v>
      </c>
      <c r="X1813" s="2" t="s">
        <v>100</v>
      </c>
      <c r="Y1813" s="2" t="s">
        <v>3777</v>
      </c>
      <c r="Z1813" s="4">
        <v>10</v>
      </c>
      <c r="AA1813" s="4">
        <f>=ROUNDDOWN(2.5,0)</f>
      </c>
      <c r="AB1813" s="5">
        <v>4</v>
      </c>
      <c r="AC1813" s="2" t="s">
        <v>1962</v>
      </c>
      <c r="AD1813" s="4">
        <v>80</v>
      </c>
      <c r="AE1813" s="4">
        <v>80</v>
      </c>
      <c r="AF1813" s="6">
        <v>67</v>
      </c>
      <c r="AG1813" s="6"/>
      <c r="AH1813" s="7">
        <v>1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>
        <v>0</v>
      </c>
      <c r="AP1813" s="4"/>
      <c r="AQ1813" s="8"/>
      <c r="AR1813" s="4"/>
      <c r="AS1813" s="8"/>
      <c r="AT1813" s="7"/>
      <c r="AU1813" s="7"/>
      <c r="AV1813" s="4" t="s">
        <v>100</v>
      </c>
      <c r="AW1813" s="8" t="s">
        <v>100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/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/>
      <c r="BJ1813" s="4">
        <v>4</v>
      </c>
      <c r="BK1813" s="8">
        <v>473.47</v>
      </c>
      <c r="BL1813" s="2" t="s">
        <v>492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109</v>
      </c>
      <c r="BV1813" s="2" t="s">
        <v>97</v>
      </c>
      <c r="BW1813" s="2" t="s">
        <v>1221</v>
      </c>
      <c r="BX1813" s="2" t="s">
        <v>100</v>
      </c>
      <c r="BY1813" s="2" t="s">
        <v>112</v>
      </c>
      <c r="BZ1813" s="2" t="s">
        <v>100</v>
      </c>
    </row>
    <row r="1814">
      <c r="A1814" s="2" t="s">
        <v>5289</v>
      </c>
      <c r="B1814" s="2" t="s">
        <v>87</v>
      </c>
      <c r="C1814" s="2" t="s">
        <v>5155</v>
      </c>
      <c r="D1814" s="2" t="s">
        <v>89</v>
      </c>
      <c r="E1814" s="2" t="s">
        <v>90</v>
      </c>
      <c r="F1814" s="2" t="s">
        <v>5290</v>
      </c>
      <c r="G1814" s="2" t="s">
        <v>100</v>
      </c>
      <c r="H1814" s="2" t="s">
        <v>100</v>
      </c>
      <c r="I1814" s="2" t="s">
        <v>5291</v>
      </c>
      <c r="J1814" s="2" t="s">
        <v>785</v>
      </c>
      <c r="K1814" s="2" t="s">
        <v>198</v>
      </c>
      <c r="L1814" s="3">
        <v>125</v>
      </c>
      <c r="M1814" s="3">
        <v>131.24</v>
      </c>
      <c r="N1814" s="3">
        <v>259.99</v>
      </c>
      <c r="O1814" s="2" t="s">
        <v>97</v>
      </c>
      <c r="P1814" s="2" t="s">
        <v>98</v>
      </c>
      <c r="Q1814" s="2" t="s">
        <v>99</v>
      </c>
      <c r="R1814" s="2" t="s">
        <v>100</v>
      </c>
      <c r="S1814" s="2" t="s">
        <v>5292</v>
      </c>
      <c r="T1814" s="2" t="s">
        <v>100</v>
      </c>
      <c r="U1814" s="2" t="s">
        <v>100</v>
      </c>
      <c r="V1814" s="2" t="s">
        <v>608</v>
      </c>
      <c r="W1814" s="2" t="s">
        <v>345</v>
      </c>
      <c r="X1814" s="2" t="s">
        <v>244</v>
      </c>
      <c r="Y1814" s="2" t="s">
        <v>131</v>
      </c>
      <c r="Z1814" s="4">
        <v>64</v>
      </c>
      <c r="AA1814" s="4">
        <f>=ROUNDDOWN(12.8,0)</f>
      </c>
      <c r="AB1814" s="5">
        <v>5</v>
      </c>
      <c r="AC1814" s="2" t="s">
        <v>100</v>
      </c>
      <c r="AD1814" s="4"/>
      <c r="AE1814" s="4"/>
      <c r="AF1814" s="6">
        <v>69</v>
      </c>
      <c r="AG1814" s="6"/>
      <c r="AH1814" s="7">
        <v>1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>
        <v>0</v>
      </c>
      <c r="AP1814" s="4"/>
      <c r="AQ1814" s="8"/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/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/>
      <c r="BJ1814" s="4">
        <v>4</v>
      </c>
      <c r="BK1814" s="8">
        <v>527.58</v>
      </c>
      <c r="BL1814" s="2" t="s">
        <v>5293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109</v>
      </c>
      <c r="BV1814" s="2" t="s">
        <v>97</v>
      </c>
      <c r="BW1814" s="2" t="s">
        <v>2513</v>
      </c>
      <c r="BX1814" s="2" t="s">
        <v>327</v>
      </c>
      <c r="BY1814" s="2" t="s">
        <v>112</v>
      </c>
      <c r="BZ1814" s="2" t="s">
        <v>100</v>
      </c>
    </row>
    <row r="1815">
      <c r="A1815" s="2" t="s">
        <v>5294</v>
      </c>
      <c r="B1815" s="2" t="s">
        <v>87</v>
      </c>
      <c r="C1815" s="2" t="s">
        <v>5155</v>
      </c>
      <c r="D1815" s="2" t="s">
        <v>89</v>
      </c>
      <c r="E1815" s="2" t="s">
        <v>90</v>
      </c>
      <c r="F1815" s="2" t="s">
        <v>5290</v>
      </c>
      <c r="G1815" s="2" t="s">
        <v>100</v>
      </c>
      <c r="H1815" s="2" t="s">
        <v>100</v>
      </c>
      <c r="I1815" s="2" t="s">
        <v>5291</v>
      </c>
      <c r="J1815" s="2" t="s">
        <v>120</v>
      </c>
      <c r="K1815" s="2" t="s">
        <v>198</v>
      </c>
      <c r="L1815" s="3">
        <v>135</v>
      </c>
      <c r="M1815" s="3">
        <v>141.74</v>
      </c>
      <c r="N1815" s="3">
        <v>279.99</v>
      </c>
      <c r="O1815" s="2" t="s">
        <v>97</v>
      </c>
      <c r="P1815" s="2" t="s">
        <v>98</v>
      </c>
      <c r="Q1815" s="2" t="s">
        <v>99</v>
      </c>
      <c r="R1815" s="2" t="s">
        <v>100</v>
      </c>
      <c r="S1815" s="2" t="s">
        <v>5292</v>
      </c>
      <c r="T1815" s="2" t="s">
        <v>100</v>
      </c>
      <c r="U1815" s="2" t="s">
        <v>100</v>
      </c>
      <c r="V1815" s="2" t="s">
        <v>608</v>
      </c>
      <c r="W1815" s="2" t="s">
        <v>345</v>
      </c>
      <c r="X1815" s="2" t="s">
        <v>244</v>
      </c>
      <c r="Y1815" s="2" t="s">
        <v>131</v>
      </c>
      <c r="Z1815" s="4">
        <v>57</v>
      </c>
      <c r="AA1815" s="4">
        <f>=ROUNDDOWN(8.14285714285714,0)</f>
      </c>
      <c r="AB1815" s="5">
        <v>7</v>
      </c>
      <c r="AC1815" s="2" t="s">
        <v>680</v>
      </c>
      <c r="AD1815" s="4">
        <v>113</v>
      </c>
      <c r="AE1815" s="4">
        <v>223</v>
      </c>
      <c r="AF1815" s="6">
        <v>69</v>
      </c>
      <c r="AG1815" s="6"/>
      <c r="AH1815" s="7">
        <v>1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>
        <v>0</v>
      </c>
      <c r="AP1815" s="4"/>
      <c r="AQ1815" s="8"/>
      <c r="AR1815" s="4"/>
      <c r="AS1815" s="8"/>
      <c r="AT1815" s="7"/>
      <c r="AU1815" s="7"/>
      <c r="AV1815" s="4" t="s">
        <v>100</v>
      </c>
      <c r="AW1815" s="8" t="s">
        <v>100</v>
      </c>
      <c r="AX1815" s="4" t="s">
        <v>100</v>
      </c>
      <c r="AY1815" s="8" t="s">
        <v>100</v>
      </c>
      <c r="AZ1815" s="7" t="s">
        <v>100</v>
      </c>
      <c r="BA1815" s="7" t="s">
        <v>100</v>
      </c>
      <c r="BB1815" s="7"/>
      <c r="BC1815" s="4" t="s">
        <v>100</v>
      </c>
      <c r="BD1815" s="8" t="s">
        <v>100</v>
      </c>
      <c r="BE1815" s="4" t="s">
        <v>100</v>
      </c>
      <c r="BF1815" s="8" t="s">
        <v>100</v>
      </c>
      <c r="BG1815" s="7" t="s">
        <v>100</v>
      </c>
      <c r="BH1815" s="7" t="s">
        <v>100</v>
      </c>
      <c r="BI1815" s="7"/>
      <c r="BJ1815" s="4">
        <v>5</v>
      </c>
      <c r="BK1815" s="8">
        <v>729.94</v>
      </c>
      <c r="BL1815" s="2" t="s">
        <v>5295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109</v>
      </c>
      <c r="BV1815" s="2" t="s">
        <v>97</v>
      </c>
      <c r="BW1815" s="2" t="s">
        <v>2513</v>
      </c>
      <c r="BX1815" s="2" t="s">
        <v>2288</v>
      </c>
      <c r="BY1815" s="2" t="s">
        <v>112</v>
      </c>
      <c r="BZ1815" s="2" t="s">
        <v>100</v>
      </c>
    </row>
    <row r="1816">
      <c r="A1816" s="2" t="s">
        <v>5296</v>
      </c>
      <c r="B1816" s="2" t="s">
        <v>87</v>
      </c>
      <c r="C1816" s="2" t="s">
        <v>5155</v>
      </c>
      <c r="D1816" s="2" t="s">
        <v>89</v>
      </c>
      <c r="E1816" s="2" t="s">
        <v>90</v>
      </c>
      <c r="F1816" s="2" t="s">
        <v>5290</v>
      </c>
      <c r="G1816" s="2" t="s">
        <v>100</v>
      </c>
      <c r="H1816" s="2" t="s">
        <v>100</v>
      </c>
      <c r="I1816" s="2" t="s">
        <v>4333</v>
      </c>
      <c r="J1816" s="2" t="s">
        <v>785</v>
      </c>
      <c r="K1816" s="2" t="s">
        <v>175</v>
      </c>
      <c r="L1816" s="3">
        <v>125</v>
      </c>
      <c r="M1816" s="3">
        <v>131.24</v>
      </c>
      <c r="N1816" s="3">
        <v>259.99</v>
      </c>
      <c r="O1816" s="2" t="s">
        <v>97</v>
      </c>
      <c r="P1816" s="2" t="s">
        <v>98</v>
      </c>
      <c r="Q1816" s="2" t="s">
        <v>99</v>
      </c>
      <c r="R1816" s="2" t="s">
        <v>100</v>
      </c>
      <c r="S1816" s="2" t="s">
        <v>5297</v>
      </c>
      <c r="T1816" s="2" t="s">
        <v>100</v>
      </c>
      <c r="U1816" s="2" t="s">
        <v>100</v>
      </c>
      <c r="V1816" s="2" t="s">
        <v>608</v>
      </c>
      <c r="W1816" s="2" t="s">
        <v>345</v>
      </c>
      <c r="X1816" s="2" t="s">
        <v>646</v>
      </c>
      <c r="Y1816" s="2" t="s">
        <v>5298</v>
      </c>
      <c r="Z1816" s="4">
        <v>63</v>
      </c>
      <c r="AA1816" s="4">
        <f>=ROUNDDOWN(12.6,0)</f>
      </c>
      <c r="AB1816" s="5">
        <v>5</v>
      </c>
      <c r="AC1816" s="2" t="s">
        <v>1372</v>
      </c>
      <c r="AD1816" s="4">
        <v>35</v>
      </c>
      <c r="AE1816" s="4">
        <v>140</v>
      </c>
      <c r="AF1816" s="6">
        <v>69</v>
      </c>
      <c r="AG1816" s="6"/>
      <c r="AH1816" s="7">
        <v>1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>
        <v>0</v>
      </c>
      <c r="AP1816" s="4"/>
      <c r="AQ1816" s="8"/>
      <c r="AR1816" s="4"/>
      <c r="AS1816" s="8"/>
      <c r="AT1816" s="7"/>
      <c r="AU1816" s="7"/>
      <c r="AV1816" s="4" t="s">
        <v>100</v>
      </c>
      <c r="AW1816" s="8" t="s">
        <v>100</v>
      </c>
      <c r="AX1816" s="4" t="s">
        <v>100</v>
      </c>
      <c r="AY1816" s="8" t="s">
        <v>100</v>
      </c>
      <c r="AZ1816" s="7" t="s">
        <v>100</v>
      </c>
      <c r="BA1816" s="7" t="s">
        <v>100</v>
      </c>
      <c r="BB1816" s="7"/>
      <c r="BC1816" s="4" t="s">
        <v>100</v>
      </c>
      <c r="BD1816" s="8" t="s">
        <v>100</v>
      </c>
      <c r="BE1816" s="4" t="s">
        <v>100</v>
      </c>
      <c r="BF1816" s="8" t="s">
        <v>100</v>
      </c>
      <c r="BG1816" s="7" t="s">
        <v>100</v>
      </c>
      <c r="BH1816" s="7" t="s">
        <v>100</v>
      </c>
      <c r="BI1816" s="7"/>
      <c r="BJ1816" s="4">
        <v>4</v>
      </c>
      <c r="BK1816" s="8">
        <v>578.78</v>
      </c>
      <c r="BL1816" s="2" t="s">
        <v>2228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109</v>
      </c>
      <c r="BV1816" s="2" t="s">
        <v>97</v>
      </c>
      <c r="BW1816" s="2" t="s">
        <v>2513</v>
      </c>
      <c r="BX1816" s="2" t="s">
        <v>3462</v>
      </c>
      <c r="BY1816" s="2" t="s">
        <v>112</v>
      </c>
      <c r="BZ1816" s="2" t="s">
        <v>100</v>
      </c>
    </row>
    <row r="1817">
      <c r="A1817" s="2" t="s">
        <v>5299</v>
      </c>
      <c r="B1817" s="2" t="s">
        <v>87</v>
      </c>
      <c r="C1817" s="2" t="s">
        <v>5155</v>
      </c>
      <c r="D1817" s="2" t="s">
        <v>89</v>
      </c>
      <c r="E1817" s="2" t="s">
        <v>90</v>
      </c>
      <c r="F1817" s="2" t="s">
        <v>5290</v>
      </c>
      <c r="G1817" s="2" t="s">
        <v>100</v>
      </c>
      <c r="H1817" s="2" t="s">
        <v>100</v>
      </c>
      <c r="I1817" s="2" t="s">
        <v>4333</v>
      </c>
      <c r="J1817" s="2" t="s">
        <v>120</v>
      </c>
      <c r="K1817" s="2" t="s">
        <v>175</v>
      </c>
      <c r="L1817" s="3">
        <v>135</v>
      </c>
      <c r="M1817" s="3">
        <v>141.74</v>
      </c>
      <c r="N1817" s="3">
        <v>279.99</v>
      </c>
      <c r="O1817" s="2" t="s">
        <v>97</v>
      </c>
      <c r="P1817" s="2" t="s">
        <v>98</v>
      </c>
      <c r="Q1817" s="2" t="s">
        <v>99</v>
      </c>
      <c r="R1817" s="2" t="s">
        <v>100</v>
      </c>
      <c r="S1817" s="2" t="s">
        <v>5297</v>
      </c>
      <c r="T1817" s="2" t="s">
        <v>100</v>
      </c>
      <c r="U1817" s="2" t="s">
        <v>100</v>
      </c>
      <c r="V1817" s="2" t="s">
        <v>608</v>
      </c>
      <c r="W1817" s="2" t="s">
        <v>345</v>
      </c>
      <c r="X1817" s="2" t="s">
        <v>646</v>
      </c>
      <c r="Y1817" s="2" t="s">
        <v>5298</v>
      </c>
      <c r="Z1817" s="4">
        <v>165</v>
      </c>
      <c r="AA1817" s="4">
        <f>=ROUNDDOWN(20.625,0)</f>
      </c>
      <c r="AB1817" s="5">
        <v>8</v>
      </c>
      <c r="AC1817" s="2" t="s">
        <v>1372</v>
      </c>
      <c r="AD1817" s="4">
        <v>140</v>
      </c>
      <c r="AE1817" s="4">
        <v>255</v>
      </c>
      <c r="AF1817" s="6">
        <v>69</v>
      </c>
      <c r="AG1817" s="6"/>
      <c r="AH1817" s="7">
        <v>1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>
        <v>0</v>
      </c>
      <c r="AP1817" s="4"/>
      <c r="AQ1817" s="8"/>
      <c r="AR1817" s="4"/>
      <c r="AS1817" s="8"/>
      <c r="AT1817" s="7"/>
      <c r="AU1817" s="7"/>
      <c r="AV1817" s="4" t="s">
        <v>100</v>
      </c>
      <c r="AW1817" s="8" t="s">
        <v>100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/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/>
      <c r="BJ1817" s="4">
        <v>14</v>
      </c>
      <c r="BK1817" s="8">
        <v>2038.48</v>
      </c>
      <c r="BL1817" s="2" t="s">
        <v>5300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109</v>
      </c>
      <c r="BV1817" s="2" t="s">
        <v>97</v>
      </c>
      <c r="BW1817" s="2" t="s">
        <v>5301</v>
      </c>
      <c r="BX1817" s="2" t="s">
        <v>5302</v>
      </c>
      <c r="BY1817" s="2" t="s">
        <v>112</v>
      </c>
      <c r="BZ1817" s="2" t="s">
        <v>100</v>
      </c>
    </row>
    <row r="1818">
      <c r="A1818" s="2" t="s">
        <v>5303</v>
      </c>
      <c r="B1818" s="2" t="s">
        <v>87</v>
      </c>
      <c r="C1818" s="2" t="s">
        <v>5155</v>
      </c>
      <c r="D1818" s="2" t="s">
        <v>3079</v>
      </c>
      <c r="E1818" s="2" t="s">
        <v>3080</v>
      </c>
      <c r="F1818" s="2" t="s">
        <v>5204</v>
      </c>
      <c r="G1818" s="2" t="s">
        <v>5204</v>
      </c>
      <c r="H1818" s="2" t="s">
        <v>5204</v>
      </c>
      <c r="I1818" s="2" t="s">
        <v>5304</v>
      </c>
      <c r="J1818" s="2" t="s">
        <v>785</v>
      </c>
      <c r="K1818" s="2" t="s">
        <v>1746</v>
      </c>
      <c r="L1818" s="3">
        <v>81.59</v>
      </c>
      <c r="M1818" s="3">
        <v>85.67</v>
      </c>
      <c r="N1818" s="3">
        <v>174.99</v>
      </c>
      <c r="O1818" s="2" t="s">
        <v>97</v>
      </c>
      <c r="P1818" s="2" t="s">
        <v>587</v>
      </c>
      <c r="Q1818" s="2" t="s">
        <v>99</v>
      </c>
      <c r="R1818" s="2" t="s">
        <v>100</v>
      </c>
      <c r="S1818" s="2" t="s">
        <v>5220</v>
      </c>
      <c r="T1818" s="2" t="s">
        <v>100</v>
      </c>
      <c r="U1818" s="2" t="s">
        <v>100</v>
      </c>
      <c r="V1818" s="2" t="s">
        <v>551</v>
      </c>
      <c r="W1818" s="2" t="s">
        <v>551</v>
      </c>
      <c r="X1818" s="2" t="s">
        <v>345</v>
      </c>
      <c r="Y1818" s="2" t="s">
        <v>131</v>
      </c>
      <c r="Z1818" s="4">
        <v>56</v>
      </c>
      <c r="AA1818" s="4">
        <f>=ROUNDDOWN(28,0)</f>
      </c>
      <c r="AB1818" s="5">
        <v>2</v>
      </c>
      <c r="AC1818" s="2" t="s">
        <v>100</v>
      </c>
      <c r="AD1818" s="4"/>
      <c r="AE1818" s="4"/>
      <c r="AF1818" s="6">
        <v>68</v>
      </c>
      <c r="AG1818" s="6"/>
      <c r="AH1818" s="7">
        <v>1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>
        <v>0</v>
      </c>
      <c r="AP1818" s="4">
        <v>2</v>
      </c>
      <c r="AQ1818" s="8">
        <v>179.9</v>
      </c>
      <c r="AR1818" s="4"/>
      <c r="AS1818" s="8"/>
      <c r="AT1818" s="7"/>
      <c r="AU1818" s="7"/>
      <c r="AV1818" s="4">
        <v>2</v>
      </c>
      <c r="AW1818" s="8">
        <v>179.9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>
        <v>1</v>
      </c>
      <c r="BC1818" s="4">
        <v>3</v>
      </c>
      <c r="BD1818" s="8">
        <v>264.23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>
        <v>0.6808</v>
      </c>
      <c r="BJ1818" s="4">
        <v>2</v>
      </c>
      <c r="BK1818" s="8">
        <v>179.9</v>
      </c>
      <c r="BL1818" s="2" t="s">
        <v>16</v>
      </c>
      <c r="BM1818" s="7">
        <v>1</v>
      </c>
      <c r="BN1818" s="7">
        <v>1</v>
      </c>
      <c r="BO1818" s="4">
        <v>2</v>
      </c>
      <c r="BP1818" s="8">
        <v>179.9</v>
      </c>
      <c r="BQ1818" s="4"/>
      <c r="BR1818" s="8"/>
      <c r="BS1818" s="7"/>
      <c r="BT1818" s="7"/>
      <c r="BU1818" s="2" t="s">
        <v>109</v>
      </c>
      <c r="BV1818" s="2" t="s">
        <v>97</v>
      </c>
      <c r="BW1818" s="2" t="s">
        <v>4114</v>
      </c>
      <c r="BX1818" s="2" t="s">
        <v>5305</v>
      </c>
      <c r="BY1818" s="2" t="s">
        <v>112</v>
      </c>
      <c r="BZ1818" s="2" t="s">
        <v>100</v>
      </c>
    </row>
    <row r="1819">
      <c r="A1819" s="2" t="s">
        <v>5306</v>
      </c>
      <c r="B1819" s="2" t="s">
        <v>87</v>
      </c>
      <c r="C1819" s="2" t="s">
        <v>5155</v>
      </c>
      <c r="D1819" s="2" t="s">
        <v>3079</v>
      </c>
      <c r="E1819" s="2" t="s">
        <v>3080</v>
      </c>
      <c r="F1819" s="2" t="s">
        <v>5204</v>
      </c>
      <c r="G1819" s="2" t="s">
        <v>5204</v>
      </c>
      <c r="H1819" s="2" t="s">
        <v>5204</v>
      </c>
      <c r="I1819" s="2" t="s">
        <v>5304</v>
      </c>
      <c r="J1819" s="2" t="s">
        <v>795</v>
      </c>
      <c r="K1819" s="2" t="s">
        <v>1746</v>
      </c>
      <c r="L1819" s="3">
        <v>96.89</v>
      </c>
      <c r="M1819" s="3">
        <v>101.74</v>
      </c>
      <c r="N1819" s="3">
        <v>204.99</v>
      </c>
      <c r="O1819" s="2" t="s">
        <v>97</v>
      </c>
      <c r="P1819" s="2" t="s">
        <v>587</v>
      </c>
      <c r="Q1819" s="2" t="s">
        <v>99</v>
      </c>
      <c r="R1819" s="2" t="s">
        <v>100</v>
      </c>
      <c r="S1819" s="2" t="s">
        <v>5220</v>
      </c>
      <c r="T1819" s="2" t="s">
        <v>100</v>
      </c>
      <c r="U1819" s="2" t="s">
        <v>100</v>
      </c>
      <c r="V1819" s="2" t="s">
        <v>551</v>
      </c>
      <c r="W1819" s="2" t="s">
        <v>551</v>
      </c>
      <c r="X1819" s="2" t="s">
        <v>345</v>
      </c>
      <c r="Y1819" s="2" t="s">
        <v>131</v>
      </c>
      <c r="Z1819" s="4">
        <v>49</v>
      </c>
      <c r="AA1819" s="4">
        <f>=ROUNDDOWN(24.5,0)</f>
      </c>
      <c r="AB1819" s="5">
        <v>2</v>
      </c>
      <c r="AC1819" s="2" t="s">
        <v>100</v>
      </c>
      <c r="AD1819" s="4"/>
      <c r="AE1819" s="4"/>
      <c r="AF1819" s="6">
        <v>68</v>
      </c>
      <c r="AG1819" s="6"/>
      <c r="AH1819" s="7">
        <v>1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/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 t="s">
        <v>100</v>
      </c>
      <c r="BJ1819" s="4">
        <v>2</v>
      </c>
      <c r="BK1819" s="8">
        <v>209.32</v>
      </c>
      <c r="BL1819" s="2" t="s">
        <v>200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109</v>
      </c>
      <c r="BV1819" s="2" t="s">
        <v>97</v>
      </c>
      <c r="BW1819" s="2" t="s">
        <v>4114</v>
      </c>
      <c r="BX1819" s="2" t="s">
        <v>4146</v>
      </c>
      <c r="BY1819" s="2" t="s">
        <v>112</v>
      </c>
      <c r="BZ1819" s="2" t="s">
        <v>100</v>
      </c>
    </row>
    <row r="1820">
      <c r="A1820" s="2" t="s">
        <v>5307</v>
      </c>
      <c r="B1820" s="2" t="s">
        <v>87</v>
      </c>
      <c r="C1820" s="2" t="s">
        <v>5155</v>
      </c>
      <c r="D1820" s="2" t="s">
        <v>3079</v>
      </c>
      <c r="E1820" s="2" t="s">
        <v>3080</v>
      </c>
      <c r="F1820" s="2" t="s">
        <v>5204</v>
      </c>
      <c r="G1820" s="2" t="s">
        <v>5204</v>
      </c>
      <c r="H1820" s="2" t="s">
        <v>5204</v>
      </c>
      <c r="I1820" s="2" t="s">
        <v>4398</v>
      </c>
      <c r="J1820" s="2" t="s">
        <v>785</v>
      </c>
      <c r="K1820" s="2" t="s">
        <v>340</v>
      </c>
      <c r="L1820" s="3">
        <v>76.49</v>
      </c>
      <c r="M1820" s="3">
        <v>80.32</v>
      </c>
      <c r="N1820" s="3">
        <v>174.99</v>
      </c>
      <c r="O1820" s="2" t="s">
        <v>97</v>
      </c>
      <c r="P1820" s="2" t="s">
        <v>383</v>
      </c>
      <c r="Q1820" s="2" t="s">
        <v>99</v>
      </c>
      <c r="R1820" s="2" t="s">
        <v>100</v>
      </c>
      <c r="S1820" s="2" t="s">
        <v>5206</v>
      </c>
      <c r="T1820" s="2" t="s">
        <v>100</v>
      </c>
      <c r="U1820" s="2" t="s">
        <v>100</v>
      </c>
      <c r="V1820" s="2" t="s">
        <v>551</v>
      </c>
      <c r="W1820" s="2" t="s">
        <v>551</v>
      </c>
      <c r="X1820" s="2" t="s">
        <v>345</v>
      </c>
      <c r="Y1820" s="2" t="s">
        <v>131</v>
      </c>
      <c r="Z1820" s="4">
        <v>24</v>
      </c>
      <c r="AA1820" s="4">
        <f>=ROUNDDOWN(6,0)</f>
      </c>
      <c r="AB1820" s="5">
        <v>4</v>
      </c>
      <c r="AC1820" s="2" t="s">
        <v>790</v>
      </c>
      <c r="AD1820" s="4">
        <v>40</v>
      </c>
      <c r="AE1820" s="4">
        <v>70</v>
      </c>
      <c r="AF1820" s="6">
        <v>68</v>
      </c>
      <c r="AG1820" s="6"/>
      <c r="AH1820" s="7">
        <v>1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>
        <v>0</v>
      </c>
      <c r="AP1820" s="4">
        <v>1</v>
      </c>
      <c r="AQ1820" s="8">
        <v>84.33</v>
      </c>
      <c r="AR1820" s="4"/>
      <c r="AS1820" s="8"/>
      <c r="AT1820" s="7"/>
      <c r="AU1820" s="7"/>
      <c r="AV1820" s="4">
        <v>1</v>
      </c>
      <c r="AW1820" s="8">
        <v>84.33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>
        <v>1</v>
      </c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>
        <v>0.3192</v>
      </c>
      <c r="BJ1820" s="4">
        <v>8</v>
      </c>
      <c r="BK1820" s="8">
        <v>621.43</v>
      </c>
      <c r="BL1820" s="2" t="s">
        <v>315</v>
      </c>
      <c r="BM1820" s="7">
        <v>0.125</v>
      </c>
      <c r="BN1820" s="7">
        <v>0.1357</v>
      </c>
      <c r="BO1820" s="4">
        <v>1</v>
      </c>
      <c r="BP1820" s="8">
        <v>84.33</v>
      </c>
      <c r="BQ1820" s="4"/>
      <c r="BR1820" s="8"/>
      <c r="BS1820" s="7"/>
      <c r="BT1820" s="7"/>
      <c r="BU1820" s="2" t="s">
        <v>109</v>
      </c>
      <c r="BV1820" s="2" t="s">
        <v>97</v>
      </c>
      <c r="BW1820" s="2" t="s">
        <v>4114</v>
      </c>
      <c r="BX1820" s="2" t="s">
        <v>5308</v>
      </c>
      <c r="BY1820" s="2" t="s">
        <v>112</v>
      </c>
      <c r="BZ1820" s="2" t="s">
        <v>100</v>
      </c>
    </row>
    <row r="1821">
      <c r="A1821" s="2" t="s">
        <v>5309</v>
      </c>
      <c r="B1821" s="2" t="s">
        <v>87</v>
      </c>
      <c r="C1821" s="2" t="s">
        <v>5155</v>
      </c>
      <c r="D1821" s="2" t="s">
        <v>3079</v>
      </c>
      <c r="E1821" s="2" t="s">
        <v>3080</v>
      </c>
      <c r="F1821" s="2" t="s">
        <v>5204</v>
      </c>
      <c r="G1821" s="2" t="s">
        <v>5204</v>
      </c>
      <c r="H1821" s="2" t="s">
        <v>5204</v>
      </c>
      <c r="I1821" s="2" t="s">
        <v>4398</v>
      </c>
      <c r="J1821" s="2" t="s">
        <v>795</v>
      </c>
      <c r="K1821" s="2" t="s">
        <v>340</v>
      </c>
      <c r="L1821" s="3">
        <v>86.69</v>
      </c>
      <c r="M1821" s="3">
        <v>91.03</v>
      </c>
      <c r="N1821" s="3">
        <v>194.99</v>
      </c>
      <c r="O1821" s="2" t="s">
        <v>97</v>
      </c>
      <c r="P1821" s="2" t="s">
        <v>383</v>
      </c>
      <c r="Q1821" s="2" t="s">
        <v>99</v>
      </c>
      <c r="R1821" s="2" t="s">
        <v>100</v>
      </c>
      <c r="S1821" s="2" t="s">
        <v>5206</v>
      </c>
      <c r="T1821" s="2" t="s">
        <v>100</v>
      </c>
      <c r="U1821" s="2" t="s">
        <v>100</v>
      </c>
      <c r="V1821" s="2" t="s">
        <v>551</v>
      </c>
      <c r="W1821" s="2" t="s">
        <v>551</v>
      </c>
      <c r="X1821" s="2" t="s">
        <v>345</v>
      </c>
      <c r="Y1821" s="2" t="s">
        <v>131</v>
      </c>
      <c r="Z1821" s="4">
        <v>68</v>
      </c>
      <c r="AA1821" s="4">
        <f>=ROUNDDOWN(22.6666666666667,0)</f>
      </c>
      <c r="AB1821" s="5">
        <v>3</v>
      </c>
      <c r="AC1821" s="2" t="s">
        <v>5211</v>
      </c>
      <c r="AD1821" s="4">
        <v>45</v>
      </c>
      <c r="AE1821" s="4">
        <v>45</v>
      </c>
      <c r="AF1821" s="6">
        <v>68</v>
      </c>
      <c r="AG1821" s="6"/>
      <c r="AH1821" s="7">
        <v>1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>
        <v>0</v>
      </c>
      <c r="AP1821" s="4"/>
      <c r="AQ1821" s="8"/>
      <c r="AR1821" s="4"/>
      <c r="AS1821" s="8"/>
      <c r="AT1821" s="7"/>
      <c r="AU1821" s="7"/>
      <c r="AV1821" s="4" t="s">
        <v>100</v>
      </c>
      <c r="AW1821" s="8" t="s">
        <v>100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/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 t="s">
        <v>100</v>
      </c>
      <c r="BJ1821" s="4">
        <v>1</v>
      </c>
      <c r="BK1821" s="8">
        <v>98.92</v>
      </c>
      <c r="BL1821" s="2" t="s">
        <v>1356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109</v>
      </c>
      <c r="BV1821" s="2" t="s">
        <v>97</v>
      </c>
      <c r="BW1821" s="2" t="s">
        <v>4114</v>
      </c>
      <c r="BX1821" s="2" t="s">
        <v>442</v>
      </c>
      <c r="BY1821" s="2" t="s">
        <v>112</v>
      </c>
      <c r="BZ1821" s="2" t="s">
        <v>100</v>
      </c>
    </row>
    <row r="1822">
      <c r="A1822" s="2" t="s">
        <v>5310</v>
      </c>
      <c r="B1822" s="2" t="s">
        <v>87</v>
      </c>
      <c r="C1822" s="2" t="s">
        <v>5155</v>
      </c>
      <c r="D1822" s="2" t="s">
        <v>3079</v>
      </c>
      <c r="E1822" s="2" t="s">
        <v>3080</v>
      </c>
      <c r="F1822" s="2" t="s">
        <v>5183</v>
      </c>
      <c r="G1822" s="2" t="s">
        <v>5183</v>
      </c>
      <c r="H1822" s="2" t="s">
        <v>5183</v>
      </c>
      <c r="I1822" s="2" t="s">
        <v>5311</v>
      </c>
      <c r="J1822" s="2" t="s">
        <v>785</v>
      </c>
      <c r="K1822" s="2" t="s">
        <v>175</v>
      </c>
      <c r="L1822" s="3">
        <v>85</v>
      </c>
      <c r="M1822" s="3">
        <v>89.24</v>
      </c>
      <c r="N1822" s="3">
        <v>179.99</v>
      </c>
      <c r="O1822" s="2" t="s">
        <v>97</v>
      </c>
      <c r="P1822" s="2" t="s">
        <v>281</v>
      </c>
      <c r="Q1822" s="2" t="s">
        <v>99</v>
      </c>
      <c r="R1822" s="2" t="s">
        <v>100</v>
      </c>
      <c r="S1822" s="2" t="s">
        <v>5185</v>
      </c>
      <c r="T1822" s="2" t="s">
        <v>100</v>
      </c>
      <c r="U1822" s="2" t="s">
        <v>100</v>
      </c>
      <c r="V1822" s="2" t="s">
        <v>805</v>
      </c>
      <c r="W1822" s="2" t="s">
        <v>345</v>
      </c>
      <c r="X1822" s="2" t="s">
        <v>551</v>
      </c>
      <c r="Y1822" s="2" t="s">
        <v>5167</v>
      </c>
      <c r="Z1822" s="4">
        <v>53</v>
      </c>
      <c r="AA1822" s="4">
        <f>=ROUNDDOWN(8.83333333333333,0)</f>
      </c>
      <c r="AB1822" s="5">
        <v>6</v>
      </c>
      <c r="AC1822" s="2" t="s">
        <v>680</v>
      </c>
      <c r="AD1822" s="4">
        <v>107</v>
      </c>
      <c r="AE1822" s="4">
        <v>189</v>
      </c>
      <c r="AF1822" s="6">
        <v>69</v>
      </c>
      <c r="AG1822" s="6"/>
      <c r="AH1822" s="7">
        <v>1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>
        <v>0</v>
      </c>
      <c r="AP1822" s="4"/>
      <c r="AQ1822" s="8"/>
      <c r="AR1822" s="4"/>
      <c r="AS1822" s="8"/>
      <c r="AT1822" s="7"/>
      <c r="AU1822" s="7"/>
      <c r="AV1822" s="4" t="s">
        <v>100</v>
      </c>
      <c r="AW1822" s="8" t="s">
        <v>100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/>
      <c r="BC1822" s="4" t="s">
        <v>100</v>
      </c>
      <c r="BD1822" s="8" t="s">
        <v>100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/>
      <c r="BJ1822" s="4">
        <v>4</v>
      </c>
      <c r="BK1822" s="8">
        <v>357.72</v>
      </c>
      <c r="BL1822" s="2" t="s">
        <v>1049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109</v>
      </c>
      <c r="BV1822" s="2" t="s">
        <v>97</v>
      </c>
      <c r="BW1822" s="2" t="s">
        <v>4114</v>
      </c>
      <c r="BX1822" s="2" t="s">
        <v>5312</v>
      </c>
      <c r="BY1822" s="2" t="s">
        <v>112</v>
      </c>
      <c r="BZ1822" s="2" t="s">
        <v>100</v>
      </c>
    </row>
    <row r="1823">
      <c r="A1823" s="2" t="s">
        <v>5313</v>
      </c>
      <c r="B1823" s="2" t="s">
        <v>87</v>
      </c>
      <c r="C1823" s="2" t="s">
        <v>5155</v>
      </c>
      <c r="D1823" s="2" t="s">
        <v>3079</v>
      </c>
      <c r="E1823" s="2" t="s">
        <v>3080</v>
      </c>
      <c r="F1823" s="2" t="s">
        <v>5183</v>
      </c>
      <c r="G1823" s="2" t="s">
        <v>5183</v>
      </c>
      <c r="H1823" s="2" t="s">
        <v>5183</v>
      </c>
      <c r="I1823" s="2" t="s">
        <v>5311</v>
      </c>
      <c r="J1823" s="2" t="s">
        <v>120</v>
      </c>
      <c r="K1823" s="2" t="s">
        <v>175</v>
      </c>
      <c r="L1823" s="3">
        <v>95</v>
      </c>
      <c r="M1823" s="3">
        <v>99.74</v>
      </c>
      <c r="N1823" s="3">
        <v>199.99</v>
      </c>
      <c r="O1823" s="2" t="s">
        <v>97</v>
      </c>
      <c r="P1823" s="2" t="s">
        <v>281</v>
      </c>
      <c r="Q1823" s="2" t="s">
        <v>99</v>
      </c>
      <c r="R1823" s="2" t="s">
        <v>100</v>
      </c>
      <c r="S1823" s="2" t="s">
        <v>5185</v>
      </c>
      <c r="T1823" s="2" t="s">
        <v>100</v>
      </c>
      <c r="U1823" s="2" t="s">
        <v>100</v>
      </c>
      <c r="V1823" s="2" t="s">
        <v>805</v>
      </c>
      <c r="W1823" s="2" t="s">
        <v>345</v>
      </c>
      <c r="X1823" s="2" t="s">
        <v>551</v>
      </c>
      <c r="Y1823" s="2" t="s">
        <v>5167</v>
      </c>
      <c r="Z1823" s="4">
        <v>37</v>
      </c>
      <c r="AA1823" s="4">
        <f>=ROUNDDOWN(4.11111111111111,0)</f>
      </c>
      <c r="AB1823" s="5">
        <v>9</v>
      </c>
      <c r="AC1823" s="2" t="s">
        <v>680</v>
      </c>
      <c r="AD1823" s="4">
        <v>72</v>
      </c>
      <c r="AE1823" s="4">
        <v>292</v>
      </c>
      <c r="AF1823" s="6">
        <v>69</v>
      </c>
      <c r="AG1823" s="6"/>
      <c r="AH1823" s="7">
        <v>1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>
        <v>0</v>
      </c>
      <c r="AP1823" s="4"/>
      <c r="AQ1823" s="8"/>
      <c r="AR1823" s="4"/>
      <c r="AS1823" s="8"/>
      <c r="AT1823" s="7"/>
      <c r="AU1823" s="7"/>
      <c r="AV1823" s="4" t="s">
        <v>100</v>
      </c>
      <c r="AW1823" s="8" t="s">
        <v>100</v>
      </c>
      <c r="AX1823" s="4" t="s">
        <v>100</v>
      </c>
      <c r="AY1823" s="8" t="s">
        <v>100</v>
      </c>
      <c r="AZ1823" s="7" t="s">
        <v>100</v>
      </c>
      <c r="BA1823" s="7" t="s">
        <v>100</v>
      </c>
      <c r="BB1823" s="7"/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/>
      <c r="BJ1823" s="4">
        <v>5</v>
      </c>
      <c r="BK1823" s="8">
        <v>493.59</v>
      </c>
      <c r="BL1823" s="2" t="s">
        <v>5314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109</v>
      </c>
      <c r="BV1823" s="2" t="s">
        <v>97</v>
      </c>
      <c r="BW1823" s="2" t="s">
        <v>4114</v>
      </c>
      <c r="BX1823" s="2" t="s">
        <v>2028</v>
      </c>
      <c r="BY1823" s="2" t="s">
        <v>112</v>
      </c>
      <c r="BZ1823" s="2" t="s">
        <v>100</v>
      </c>
    </row>
    <row r="1824">
      <c r="A1824" s="2" t="s">
        <v>5315</v>
      </c>
      <c r="B1824" s="2" t="s">
        <v>87</v>
      </c>
      <c r="C1824" s="2" t="s">
        <v>5155</v>
      </c>
      <c r="D1824" s="2" t="s">
        <v>3079</v>
      </c>
      <c r="E1824" s="2" t="s">
        <v>3080</v>
      </c>
      <c r="F1824" s="2" t="s">
        <v>5174</v>
      </c>
      <c r="G1824" s="2" t="s">
        <v>100</v>
      </c>
      <c r="H1824" s="2" t="s">
        <v>100</v>
      </c>
      <c r="I1824" s="2" t="s">
        <v>5316</v>
      </c>
      <c r="J1824" s="2" t="s">
        <v>2236</v>
      </c>
      <c r="K1824" s="2" t="s">
        <v>253</v>
      </c>
      <c r="L1824" s="3">
        <v>44.99</v>
      </c>
      <c r="M1824" s="3">
        <v>47.24</v>
      </c>
      <c r="N1824" s="3">
        <v>109.99</v>
      </c>
      <c r="O1824" s="2" t="s">
        <v>97</v>
      </c>
      <c r="P1824" s="2" t="s">
        <v>587</v>
      </c>
      <c r="Q1824" s="2" t="s">
        <v>99</v>
      </c>
      <c r="R1824" s="2" t="s">
        <v>100</v>
      </c>
      <c r="S1824" s="2" t="s">
        <v>5175</v>
      </c>
      <c r="T1824" s="2" t="s">
        <v>100</v>
      </c>
      <c r="U1824" s="2" t="s">
        <v>100</v>
      </c>
      <c r="V1824" s="2" t="s">
        <v>551</v>
      </c>
      <c r="W1824" s="2" t="s">
        <v>551</v>
      </c>
      <c r="X1824" s="2" t="s">
        <v>345</v>
      </c>
      <c r="Y1824" s="2" t="s">
        <v>131</v>
      </c>
      <c r="Z1824" s="4">
        <v>99</v>
      </c>
      <c r="AA1824" s="4">
        <f>=ROUNDDOWN(33,0)</f>
      </c>
      <c r="AB1824" s="5">
        <v>3</v>
      </c>
      <c r="AC1824" s="2" t="s">
        <v>100</v>
      </c>
      <c r="AD1824" s="4"/>
      <c r="AE1824" s="4"/>
      <c r="AF1824" s="6">
        <v>66</v>
      </c>
      <c r="AG1824" s="6"/>
      <c r="AH1824" s="7">
        <v>1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>
        <v>0</v>
      </c>
      <c r="AP1824" s="4"/>
      <c r="AQ1824" s="8"/>
      <c r="AR1824" s="4"/>
      <c r="AS1824" s="8"/>
      <c r="AT1824" s="7"/>
      <c r="AU1824" s="7"/>
      <c r="AV1824" s="4" t="s">
        <v>100</v>
      </c>
      <c r="AW1824" s="8" t="s">
        <v>100</v>
      </c>
      <c r="AX1824" s="4" t="s">
        <v>100</v>
      </c>
      <c r="AY1824" s="8" t="s">
        <v>100</v>
      </c>
      <c r="AZ1824" s="7" t="s">
        <v>100</v>
      </c>
      <c r="BA1824" s="7" t="s">
        <v>100</v>
      </c>
      <c r="BB1824" s="7"/>
      <c r="BC1824" s="4" t="s">
        <v>100</v>
      </c>
      <c r="BD1824" s="8" t="s">
        <v>100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/>
      <c r="BJ1824" s="4">
        <v>4</v>
      </c>
      <c r="BK1824" s="8">
        <v>174.72</v>
      </c>
      <c r="BL1824" s="2" t="s">
        <v>224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109</v>
      </c>
      <c r="BV1824" s="2" t="s">
        <v>97</v>
      </c>
      <c r="BW1824" s="2" t="s">
        <v>4114</v>
      </c>
      <c r="BX1824" s="2" t="s">
        <v>5305</v>
      </c>
      <c r="BY1824" s="2" t="s">
        <v>112</v>
      </c>
      <c r="BZ1824" s="2" t="s">
        <v>100</v>
      </c>
    </row>
    <row r="1825">
      <c r="A1825" s="2" t="s">
        <v>5317</v>
      </c>
      <c r="B1825" s="2" t="s">
        <v>87</v>
      </c>
      <c r="C1825" s="2" t="s">
        <v>5155</v>
      </c>
      <c r="D1825" s="2" t="s">
        <v>3079</v>
      </c>
      <c r="E1825" s="2" t="s">
        <v>3080</v>
      </c>
      <c r="F1825" s="2" t="s">
        <v>5174</v>
      </c>
      <c r="G1825" s="2" t="s">
        <v>100</v>
      </c>
      <c r="H1825" s="2" t="s">
        <v>100</v>
      </c>
      <c r="I1825" s="2" t="s">
        <v>5318</v>
      </c>
      <c r="J1825" s="2" t="s">
        <v>785</v>
      </c>
      <c r="K1825" s="2" t="s">
        <v>253</v>
      </c>
      <c r="L1825" s="3">
        <v>70</v>
      </c>
      <c r="M1825" s="3">
        <v>73.49</v>
      </c>
      <c r="N1825" s="3">
        <v>149.99</v>
      </c>
      <c r="O1825" s="2" t="s">
        <v>97</v>
      </c>
      <c r="P1825" s="2" t="s">
        <v>587</v>
      </c>
      <c r="Q1825" s="2" t="s">
        <v>99</v>
      </c>
      <c r="R1825" s="2" t="s">
        <v>100</v>
      </c>
      <c r="S1825" s="2" t="s">
        <v>5175</v>
      </c>
      <c r="T1825" s="2" t="s">
        <v>100</v>
      </c>
      <c r="U1825" s="2" t="s">
        <v>100</v>
      </c>
      <c r="V1825" s="2" t="s">
        <v>551</v>
      </c>
      <c r="W1825" s="2" t="s">
        <v>551</v>
      </c>
      <c r="X1825" s="2" t="s">
        <v>345</v>
      </c>
      <c r="Y1825" s="2" t="s">
        <v>131</v>
      </c>
      <c r="Z1825" s="4">
        <v>70</v>
      </c>
      <c r="AA1825" s="4">
        <f>=ROUNDDOWN(17.5,0)</f>
      </c>
      <c r="AB1825" s="5">
        <v>4</v>
      </c>
      <c r="AC1825" s="2" t="s">
        <v>2552</v>
      </c>
      <c r="AD1825" s="4">
        <v>63</v>
      </c>
      <c r="AE1825" s="4">
        <v>63</v>
      </c>
      <c r="AF1825" s="6">
        <v>66</v>
      </c>
      <c r="AG1825" s="6"/>
      <c r="AH1825" s="7">
        <v>1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>
        <v>0</v>
      </c>
      <c r="AP1825" s="4"/>
      <c r="AQ1825" s="8"/>
      <c r="AR1825" s="4"/>
      <c r="AS1825" s="8"/>
      <c r="AT1825" s="7"/>
      <c r="AU1825" s="7"/>
      <c r="AV1825" s="4" t="s">
        <v>100</v>
      </c>
      <c r="AW1825" s="8" t="s">
        <v>100</v>
      </c>
      <c r="AX1825" s="4" t="s">
        <v>100</v>
      </c>
      <c r="AY1825" s="8" t="s">
        <v>100</v>
      </c>
      <c r="AZ1825" s="7" t="s">
        <v>100</v>
      </c>
      <c r="BA1825" s="7" t="s">
        <v>100</v>
      </c>
      <c r="BB1825" s="7"/>
      <c r="BC1825" s="4" t="s">
        <v>100</v>
      </c>
      <c r="BD1825" s="8" t="s">
        <v>100</v>
      </c>
      <c r="BE1825" s="4" t="s">
        <v>100</v>
      </c>
      <c r="BF1825" s="8" t="s">
        <v>100</v>
      </c>
      <c r="BG1825" s="7" t="s">
        <v>100</v>
      </c>
      <c r="BH1825" s="7" t="s">
        <v>100</v>
      </c>
      <c r="BI1825" s="7"/>
      <c r="BJ1825" s="4">
        <v>1</v>
      </c>
      <c r="BK1825" s="8">
        <v>74.18</v>
      </c>
      <c r="BL1825" s="2" t="s">
        <v>2115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109</v>
      </c>
      <c r="BV1825" s="2" t="s">
        <v>97</v>
      </c>
      <c r="BW1825" s="2" t="s">
        <v>5188</v>
      </c>
      <c r="BX1825" s="2" t="s">
        <v>2422</v>
      </c>
      <c r="BY1825" s="2" t="s">
        <v>112</v>
      </c>
      <c r="BZ1825" s="2" t="s">
        <v>100</v>
      </c>
    </row>
    <row r="1826">
      <c r="A1826" s="2" t="s">
        <v>5319</v>
      </c>
      <c r="B1826" s="2" t="s">
        <v>87</v>
      </c>
      <c r="C1826" s="2" t="s">
        <v>5155</v>
      </c>
      <c r="D1826" s="2" t="s">
        <v>3079</v>
      </c>
      <c r="E1826" s="2" t="s">
        <v>3080</v>
      </c>
      <c r="F1826" s="2" t="s">
        <v>5174</v>
      </c>
      <c r="G1826" s="2" t="s">
        <v>100</v>
      </c>
      <c r="H1826" s="2" t="s">
        <v>100</v>
      </c>
      <c r="I1826" s="2" t="s">
        <v>5318</v>
      </c>
      <c r="J1826" s="2" t="s">
        <v>120</v>
      </c>
      <c r="K1826" s="2" t="s">
        <v>253</v>
      </c>
      <c r="L1826" s="3">
        <v>81.59</v>
      </c>
      <c r="M1826" s="3">
        <v>85.67</v>
      </c>
      <c r="N1826" s="3">
        <v>169.99</v>
      </c>
      <c r="O1826" s="2" t="s">
        <v>97</v>
      </c>
      <c r="P1826" s="2" t="s">
        <v>587</v>
      </c>
      <c r="Q1826" s="2" t="s">
        <v>99</v>
      </c>
      <c r="R1826" s="2" t="s">
        <v>100</v>
      </c>
      <c r="S1826" s="2" t="s">
        <v>5175</v>
      </c>
      <c r="T1826" s="2" t="s">
        <v>100</v>
      </c>
      <c r="U1826" s="2" t="s">
        <v>100</v>
      </c>
      <c r="V1826" s="2" t="s">
        <v>551</v>
      </c>
      <c r="W1826" s="2" t="s">
        <v>551</v>
      </c>
      <c r="X1826" s="2" t="s">
        <v>345</v>
      </c>
      <c r="Y1826" s="2" t="s">
        <v>131</v>
      </c>
      <c r="Z1826" s="4">
        <v>28</v>
      </c>
      <c r="AA1826" s="4">
        <f>=ROUNDDOWN(9.33333333333333,0)</f>
      </c>
      <c r="AB1826" s="5">
        <v>3</v>
      </c>
      <c r="AC1826" s="2" t="s">
        <v>2552</v>
      </c>
      <c r="AD1826" s="4">
        <v>48</v>
      </c>
      <c r="AE1826" s="4">
        <v>48</v>
      </c>
      <c r="AF1826" s="6">
        <v>66</v>
      </c>
      <c r="AG1826" s="6"/>
      <c r="AH1826" s="7">
        <v>1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>
        <v>0</v>
      </c>
      <c r="AP1826" s="4"/>
      <c r="AQ1826" s="8"/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/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/>
      <c r="BJ1826" s="4">
        <v>1</v>
      </c>
      <c r="BK1826" s="8">
        <v>60.35</v>
      </c>
      <c r="BL1826" s="2" t="s">
        <v>1356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109</v>
      </c>
      <c r="BV1826" s="2" t="s">
        <v>97</v>
      </c>
      <c r="BW1826" s="2" t="s">
        <v>5179</v>
      </c>
      <c r="BX1826" s="2" t="s">
        <v>5320</v>
      </c>
      <c r="BY1826" s="2" t="s">
        <v>112</v>
      </c>
      <c r="BZ1826" s="2" t="s">
        <v>100</v>
      </c>
    </row>
    <row r="1827">
      <c r="A1827" s="2" t="s">
        <v>5321</v>
      </c>
      <c r="B1827" s="2" t="s">
        <v>87</v>
      </c>
      <c r="C1827" s="2" t="s">
        <v>5155</v>
      </c>
      <c r="D1827" s="2" t="s">
        <v>3079</v>
      </c>
      <c r="E1827" s="2" t="s">
        <v>3080</v>
      </c>
      <c r="F1827" s="2" t="s">
        <v>5197</v>
      </c>
      <c r="G1827" s="2" t="s">
        <v>5197</v>
      </c>
      <c r="H1827" s="2" t="s">
        <v>5197</v>
      </c>
      <c r="I1827" s="2" t="s">
        <v>3209</v>
      </c>
      <c r="J1827" s="2" t="s">
        <v>785</v>
      </c>
      <c r="K1827" s="2" t="s">
        <v>253</v>
      </c>
      <c r="L1827" s="3">
        <v>58.8</v>
      </c>
      <c r="M1827" s="3">
        <v>61.73</v>
      </c>
      <c r="N1827" s="3">
        <v>124.99</v>
      </c>
      <c r="O1827" s="2" t="s">
        <v>97</v>
      </c>
      <c r="P1827" s="2" t="s">
        <v>587</v>
      </c>
      <c r="Q1827" s="2" t="s">
        <v>99</v>
      </c>
      <c r="R1827" s="2" t="s">
        <v>100</v>
      </c>
      <c r="S1827" s="2" t="s">
        <v>5199</v>
      </c>
      <c r="T1827" s="2" t="s">
        <v>100</v>
      </c>
      <c r="U1827" s="2" t="s">
        <v>100</v>
      </c>
      <c r="V1827" s="2" t="s">
        <v>632</v>
      </c>
      <c r="W1827" s="2" t="s">
        <v>244</v>
      </c>
      <c r="X1827" s="2" t="s">
        <v>345</v>
      </c>
      <c r="Y1827" s="2" t="s">
        <v>131</v>
      </c>
      <c r="Z1827" s="4">
        <v>62</v>
      </c>
      <c r="AA1827" s="4">
        <f>=ROUNDDOWN(15.5,0)</f>
      </c>
      <c r="AB1827" s="5">
        <v>4</v>
      </c>
      <c r="AC1827" s="2" t="s">
        <v>429</v>
      </c>
      <c r="AD1827" s="4">
        <v>80</v>
      </c>
      <c r="AE1827" s="4">
        <v>80</v>
      </c>
      <c r="AF1827" s="6">
        <v>66</v>
      </c>
      <c r="AG1827" s="6"/>
      <c r="AH1827" s="7">
        <v>1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>
        <v>0</v>
      </c>
      <c r="AP1827" s="4"/>
      <c r="AQ1827" s="8"/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/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/>
      <c r="BJ1827" s="4"/>
      <c r="BK1827" s="8"/>
      <c r="BL1827" s="2" t="s">
        <v>100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109</v>
      </c>
      <c r="BV1827" s="2" t="s">
        <v>97</v>
      </c>
      <c r="BW1827" s="2" t="s">
        <v>4114</v>
      </c>
      <c r="BX1827" s="2" t="s">
        <v>5322</v>
      </c>
      <c r="BY1827" s="2" t="s">
        <v>112</v>
      </c>
      <c r="BZ1827" s="2" t="s">
        <v>100</v>
      </c>
    </row>
    <row r="1828">
      <c r="A1828" s="2" t="s">
        <v>5323</v>
      </c>
      <c r="B1828" s="2" t="s">
        <v>87</v>
      </c>
      <c r="C1828" s="2" t="s">
        <v>5155</v>
      </c>
      <c r="D1828" s="2" t="s">
        <v>3079</v>
      </c>
      <c r="E1828" s="2" t="s">
        <v>3080</v>
      </c>
      <c r="F1828" s="2" t="s">
        <v>5197</v>
      </c>
      <c r="G1828" s="2" t="s">
        <v>5197</v>
      </c>
      <c r="H1828" s="2" t="s">
        <v>5197</v>
      </c>
      <c r="I1828" s="2" t="s">
        <v>3209</v>
      </c>
      <c r="J1828" s="2" t="s">
        <v>120</v>
      </c>
      <c r="K1828" s="2" t="s">
        <v>253</v>
      </c>
      <c r="L1828" s="3">
        <v>68.6</v>
      </c>
      <c r="M1828" s="3">
        <v>72.02</v>
      </c>
      <c r="N1828" s="3">
        <v>144.99</v>
      </c>
      <c r="O1828" s="2" t="s">
        <v>97</v>
      </c>
      <c r="P1828" s="2" t="s">
        <v>587</v>
      </c>
      <c r="Q1828" s="2" t="s">
        <v>99</v>
      </c>
      <c r="R1828" s="2" t="s">
        <v>100</v>
      </c>
      <c r="S1828" s="2" t="s">
        <v>5199</v>
      </c>
      <c r="T1828" s="2" t="s">
        <v>100</v>
      </c>
      <c r="U1828" s="2" t="s">
        <v>100</v>
      </c>
      <c r="V1828" s="2" t="s">
        <v>632</v>
      </c>
      <c r="W1828" s="2" t="s">
        <v>244</v>
      </c>
      <c r="X1828" s="2" t="s">
        <v>345</v>
      </c>
      <c r="Y1828" s="2" t="s">
        <v>131</v>
      </c>
      <c r="Z1828" s="4">
        <v>91</v>
      </c>
      <c r="AA1828" s="4">
        <f>=ROUNDDOWN(15.1666666666667,0)</f>
      </c>
      <c r="AB1828" s="5">
        <v>6</v>
      </c>
      <c r="AC1828" s="2" t="s">
        <v>429</v>
      </c>
      <c r="AD1828" s="4">
        <v>30</v>
      </c>
      <c r="AE1828" s="4">
        <v>30</v>
      </c>
      <c r="AF1828" s="6">
        <v>66</v>
      </c>
      <c r="AG1828" s="6"/>
      <c r="AH1828" s="7">
        <v>1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>
        <v>0</v>
      </c>
      <c r="AP1828" s="4"/>
      <c r="AQ1828" s="8"/>
      <c r="AR1828" s="4"/>
      <c r="AS1828" s="8"/>
      <c r="AT1828" s="7"/>
      <c r="AU1828" s="7"/>
      <c r="AV1828" s="4" t="s">
        <v>100</v>
      </c>
      <c r="AW1828" s="8" t="s">
        <v>100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/>
      <c r="BC1828" s="4" t="s">
        <v>100</v>
      </c>
      <c r="BD1828" s="8" t="s">
        <v>100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/>
      <c r="BJ1828" s="4">
        <v>7</v>
      </c>
      <c r="BK1828" s="8">
        <v>406.98</v>
      </c>
      <c r="BL1828" s="2" t="s">
        <v>1974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109</v>
      </c>
      <c r="BV1828" s="2" t="s">
        <v>97</v>
      </c>
      <c r="BW1828" s="2" t="s">
        <v>4114</v>
      </c>
      <c r="BX1828" s="2" t="s">
        <v>5324</v>
      </c>
      <c r="BY1828" s="2" t="s">
        <v>112</v>
      </c>
      <c r="BZ1828" s="2" t="s">
        <v>100</v>
      </c>
    </row>
    <row r="1829">
      <c r="A1829" s="2" t="s">
        <v>5325</v>
      </c>
      <c r="B1829" s="2" t="s">
        <v>87</v>
      </c>
      <c r="C1829" s="2" t="s">
        <v>5155</v>
      </c>
      <c r="D1829" s="2" t="s">
        <v>3079</v>
      </c>
      <c r="E1829" s="2" t="s">
        <v>3080</v>
      </c>
      <c r="F1829" s="2" t="s">
        <v>5164</v>
      </c>
      <c r="G1829" s="2" t="s">
        <v>5164</v>
      </c>
      <c r="H1829" s="2" t="s">
        <v>5164</v>
      </c>
      <c r="I1829" s="2" t="s">
        <v>5326</v>
      </c>
      <c r="J1829" s="2" t="s">
        <v>785</v>
      </c>
      <c r="K1829" s="2" t="s">
        <v>146</v>
      </c>
      <c r="L1829" s="3">
        <v>75</v>
      </c>
      <c r="M1829" s="3">
        <v>78.74</v>
      </c>
      <c r="N1829" s="3">
        <v>159.99</v>
      </c>
      <c r="O1829" s="2" t="s">
        <v>97</v>
      </c>
      <c r="P1829" s="2" t="s">
        <v>383</v>
      </c>
      <c r="Q1829" s="2" t="s">
        <v>99</v>
      </c>
      <c r="R1829" s="2" t="s">
        <v>100</v>
      </c>
      <c r="S1829" s="2" t="s">
        <v>5166</v>
      </c>
      <c r="T1829" s="2" t="s">
        <v>100</v>
      </c>
      <c r="U1829" s="2" t="s">
        <v>100</v>
      </c>
      <c r="V1829" s="2" t="s">
        <v>284</v>
      </c>
      <c r="W1829" s="2" t="s">
        <v>244</v>
      </c>
      <c r="X1829" s="2" t="s">
        <v>345</v>
      </c>
      <c r="Y1829" s="2" t="s">
        <v>5167</v>
      </c>
      <c r="Z1829" s="4">
        <v>98</v>
      </c>
      <c r="AA1829" s="4">
        <f>=ROUNDDOWN(49,0)</f>
      </c>
      <c r="AB1829" s="5">
        <v>2</v>
      </c>
      <c r="AC1829" s="2" t="s">
        <v>2555</v>
      </c>
      <c r="AD1829" s="4">
        <v>40</v>
      </c>
      <c r="AE1829" s="4">
        <v>40</v>
      </c>
      <c r="AF1829" s="6">
        <v>66</v>
      </c>
      <c r="AG1829" s="6"/>
      <c r="AH1829" s="7">
        <v>1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>
        <v>0</v>
      </c>
      <c r="AP1829" s="4"/>
      <c r="AQ1829" s="8"/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/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/>
      <c r="BJ1829" s="4"/>
      <c r="BK1829" s="8"/>
      <c r="BL1829" s="2" t="s">
        <v>100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109</v>
      </c>
      <c r="BV1829" s="2" t="s">
        <v>97</v>
      </c>
      <c r="BW1829" s="2" t="s">
        <v>4114</v>
      </c>
      <c r="BX1829" s="2" t="s">
        <v>144</v>
      </c>
      <c r="BY1829" s="2" t="s">
        <v>112</v>
      </c>
      <c r="BZ1829" s="2" t="s">
        <v>100</v>
      </c>
    </row>
    <row r="1830">
      <c r="A1830" s="2" t="s">
        <v>5327</v>
      </c>
      <c r="B1830" s="2" t="s">
        <v>87</v>
      </c>
      <c r="C1830" s="2" t="s">
        <v>5155</v>
      </c>
      <c r="D1830" s="2" t="s">
        <v>3079</v>
      </c>
      <c r="E1830" s="2" t="s">
        <v>3080</v>
      </c>
      <c r="F1830" s="2" t="s">
        <v>5164</v>
      </c>
      <c r="G1830" s="2" t="s">
        <v>5164</v>
      </c>
      <c r="H1830" s="2" t="s">
        <v>5164</v>
      </c>
      <c r="I1830" s="2" t="s">
        <v>5326</v>
      </c>
      <c r="J1830" s="2" t="s">
        <v>120</v>
      </c>
      <c r="K1830" s="2" t="s">
        <v>146</v>
      </c>
      <c r="L1830" s="3">
        <v>85</v>
      </c>
      <c r="M1830" s="3">
        <v>89.24</v>
      </c>
      <c r="N1830" s="3">
        <v>179.99</v>
      </c>
      <c r="O1830" s="2" t="s">
        <v>97</v>
      </c>
      <c r="P1830" s="2" t="s">
        <v>383</v>
      </c>
      <c r="Q1830" s="2" t="s">
        <v>99</v>
      </c>
      <c r="R1830" s="2" t="s">
        <v>100</v>
      </c>
      <c r="S1830" s="2" t="s">
        <v>5166</v>
      </c>
      <c r="T1830" s="2" t="s">
        <v>100</v>
      </c>
      <c r="U1830" s="2" t="s">
        <v>100</v>
      </c>
      <c r="V1830" s="2" t="s">
        <v>284</v>
      </c>
      <c r="W1830" s="2" t="s">
        <v>244</v>
      </c>
      <c r="X1830" s="2" t="s">
        <v>345</v>
      </c>
      <c r="Y1830" s="2" t="s">
        <v>5167</v>
      </c>
      <c r="Z1830" s="4">
        <v>128</v>
      </c>
      <c r="AA1830" s="4">
        <f>=ROUNDDOWN(25.6,0)</f>
      </c>
      <c r="AB1830" s="5">
        <v>5</v>
      </c>
      <c r="AC1830" s="2" t="s">
        <v>2555</v>
      </c>
      <c r="AD1830" s="4">
        <v>200</v>
      </c>
      <c r="AE1830" s="4">
        <v>200</v>
      </c>
      <c r="AF1830" s="6">
        <v>66</v>
      </c>
      <c r="AG1830" s="6"/>
      <c r="AH1830" s="7">
        <v>1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>
        <v>0</v>
      </c>
      <c r="AP1830" s="4"/>
      <c r="AQ1830" s="8"/>
      <c r="AR1830" s="4"/>
      <c r="AS1830" s="8"/>
      <c r="AT1830" s="7"/>
      <c r="AU1830" s="7"/>
      <c r="AV1830" s="4" t="s">
        <v>100</v>
      </c>
      <c r="AW1830" s="8" t="s">
        <v>100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/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/>
      <c r="BJ1830" s="4">
        <v>2</v>
      </c>
      <c r="BK1830" s="8">
        <v>180.82</v>
      </c>
      <c r="BL1830" s="2" t="s">
        <v>224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109</v>
      </c>
      <c r="BV1830" s="2" t="s">
        <v>97</v>
      </c>
      <c r="BW1830" s="2" t="s">
        <v>4114</v>
      </c>
      <c r="BX1830" s="2" t="s">
        <v>1243</v>
      </c>
      <c r="BY1830" s="2" t="s">
        <v>112</v>
      </c>
      <c r="BZ1830" s="2" t="s">
        <v>100</v>
      </c>
    </row>
    <row r="1831">
      <c r="A1831" s="2" t="s">
        <v>5328</v>
      </c>
      <c r="B1831" s="2" t="s">
        <v>87</v>
      </c>
      <c r="C1831" s="2" t="s">
        <v>5155</v>
      </c>
      <c r="D1831" s="2" t="s">
        <v>3079</v>
      </c>
      <c r="E1831" s="2" t="s">
        <v>3080</v>
      </c>
      <c r="F1831" s="2" t="s">
        <v>5234</v>
      </c>
      <c r="G1831" s="2" t="s">
        <v>5234</v>
      </c>
      <c r="H1831" s="2" t="s">
        <v>5234</v>
      </c>
      <c r="I1831" s="2" t="s">
        <v>5329</v>
      </c>
      <c r="J1831" s="2" t="s">
        <v>785</v>
      </c>
      <c r="K1831" s="2" t="s">
        <v>253</v>
      </c>
      <c r="L1831" s="3">
        <v>72</v>
      </c>
      <c r="M1831" s="3">
        <v>75.6</v>
      </c>
      <c r="N1831" s="3">
        <v>149.99</v>
      </c>
      <c r="O1831" s="2" t="s">
        <v>97</v>
      </c>
      <c r="P1831" s="2" t="s">
        <v>98</v>
      </c>
      <c r="Q1831" s="2" t="s">
        <v>99</v>
      </c>
      <c r="R1831" s="2" t="s">
        <v>100</v>
      </c>
      <c r="S1831" s="2" t="s">
        <v>5330</v>
      </c>
      <c r="T1831" s="2" t="s">
        <v>359</v>
      </c>
      <c r="U1831" s="2" t="s">
        <v>644</v>
      </c>
      <c r="V1831" s="2" t="s">
        <v>551</v>
      </c>
      <c r="W1831" s="2" t="s">
        <v>551</v>
      </c>
      <c r="X1831" s="2" t="s">
        <v>976</v>
      </c>
      <c r="Y1831" s="2" t="s">
        <v>5331</v>
      </c>
      <c r="Z1831" s="4">
        <v>42</v>
      </c>
      <c r="AA1831" s="4">
        <f>=ROUNDDOWN(14,0)</f>
      </c>
      <c r="AB1831" s="5">
        <v>3</v>
      </c>
      <c r="AC1831" s="2" t="s">
        <v>429</v>
      </c>
      <c r="AD1831" s="4">
        <v>60</v>
      </c>
      <c r="AE1831" s="4">
        <v>60</v>
      </c>
      <c r="AF1831" s="6">
        <v>70</v>
      </c>
      <c r="AG1831" s="6"/>
      <c r="AH1831" s="7">
        <v>1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>
        <v>0</v>
      </c>
      <c r="AP1831" s="4"/>
      <c r="AQ1831" s="8"/>
      <c r="AR1831" s="4"/>
      <c r="AS1831" s="8"/>
      <c r="AT1831" s="7"/>
      <c r="AU1831" s="7"/>
      <c r="AV1831" s="4" t="s">
        <v>100</v>
      </c>
      <c r="AW1831" s="8" t="s">
        <v>100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/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/>
      <c r="BJ1831" s="4">
        <v>1</v>
      </c>
      <c r="BK1831" s="8">
        <v>85.42</v>
      </c>
      <c r="BL1831" s="2" t="s">
        <v>1882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3088</v>
      </c>
      <c r="BV1831" s="2" t="s">
        <v>97</v>
      </c>
      <c r="BW1831" s="2" t="s">
        <v>100</v>
      </c>
      <c r="BX1831" s="2" t="s">
        <v>100</v>
      </c>
      <c r="BY1831" s="2" t="s">
        <v>112</v>
      </c>
      <c r="BZ1831" s="2" t="s">
        <v>100</v>
      </c>
    </row>
    <row r="1832">
      <c r="A1832" s="2" t="s">
        <v>5332</v>
      </c>
      <c r="B1832" s="2" t="s">
        <v>87</v>
      </c>
      <c r="C1832" s="2" t="s">
        <v>5155</v>
      </c>
      <c r="D1832" s="2" t="s">
        <v>3079</v>
      </c>
      <c r="E1832" s="2" t="s">
        <v>3080</v>
      </c>
      <c r="F1832" s="2" t="s">
        <v>5234</v>
      </c>
      <c r="G1832" s="2" t="s">
        <v>5234</v>
      </c>
      <c r="H1832" s="2" t="s">
        <v>5234</v>
      </c>
      <c r="I1832" s="2" t="s">
        <v>5329</v>
      </c>
      <c r="J1832" s="2" t="s">
        <v>795</v>
      </c>
      <c r="K1832" s="2" t="s">
        <v>253</v>
      </c>
      <c r="L1832" s="3">
        <v>81.6</v>
      </c>
      <c r="M1832" s="3">
        <v>85.68</v>
      </c>
      <c r="N1832" s="3">
        <v>169.99</v>
      </c>
      <c r="O1832" s="2" t="s">
        <v>97</v>
      </c>
      <c r="P1832" s="2" t="s">
        <v>98</v>
      </c>
      <c r="Q1832" s="2" t="s">
        <v>99</v>
      </c>
      <c r="R1832" s="2" t="s">
        <v>100</v>
      </c>
      <c r="S1832" s="2" t="s">
        <v>5330</v>
      </c>
      <c r="T1832" s="2" t="s">
        <v>359</v>
      </c>
      <c r="U1832" s="2" t="s">
        <v>644</v>
      </c>
      <c r="V1832" s="2" t="s">
        <v>551</v>
      </c>
      <c r="W1832" s="2" t="s">
        <v>551</v>
      </c>
      <c r="X1832" s="2" t="s">
        <v>976</v>
      </c>
      <c r="Y1832" s="2" t="s">
        <v>5331</v>
      </c>
      <c r="Z1832" s="4">
        <v>55</v>
      </c>
      <c r="AA1832" s="4">
        <f>=ROUNDDOWN(13.75,0)</f>
      </c>
      <c r="AB1832" s="5">
        <v>4</v>
      </c>
      <c r="AC1832" s="2" t="s">
        <v>429</v>
      </c>
      <c r="AD1832" s="4">
        <v>70</v>
      </c>
      <c r="AE1832" s="4">
        <v>70</v>
      </c>
      <c r="AF1832" s="6">
        <v>70</v>
      </c>
      <c r="AG1832" s="6"/>
      <c r="AH1832" s="7">
        <v>1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>
        <v>0</v>
      </c>
      <c r="AP1832" s="4"/>
      <c r="AQ1832" s="8"/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/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/>
      <c r="BJ1832" s="4"/>
      <c r="BK1832" s="8"/>
      <c r="BL1832" s="2" t="s">
        <v>100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3088</v>
      </c>
      <c r="BV1832" s="2" t="s">
        <v>97</v>
      </c>
      <c r="BW1832" s="2" t="s">
        <v>100</v>
      </c>
      <c r="BX1832" s="2" t="s">
        <v>100</v>
      </c>
      <c r="BY1832" s="2" t="s">
        <v>112</v>
      </c>
      <c r="BZ1832" s="2" t="s">
        <v>100</v>
      </c>
    </row>
    <row r="1833">
      <c r="A1833" s="2" t="s">
        <v>5333</v>
      </c>
      <c r="B1833" s="2" t="s">
        <v>87</v>
      </c>
      <c r="C1833" s="2" t="s">
        <v>5155</v>
      </c>
      <c r="D1833" s="2" t="s">
        <v>3079</v>
      </c>
      <c r="E1833" s="2" t="s">
        <v>3080</v>
      </c>
      <c r="F1833" s="2" t="s">
        <v>5242</v>
      </c>
      <c r="G1833" s="2" t="s">
        <v>5242</v>
      </c>
      <c r="H1833" s="2" t="s">
        <v>5242</v>
      </c>
      <c r="I1833" s="2" t="s">
        <v>5326</v>
      </c>
      <c r="J1833" s="2" t="s">
        <v>785</v>
      </c>
      <c r="K1833" s="2" t="s">
        <v>1659</v>
      </c>
      <c r="L1833" s="3">
        <v>75</v>
      </c>
      <c r="M1833" s="3">
        <v>78.74</v>
      </c>
      <c r="N1833" s="3">
        <v>149.99</v>
      </c>
      <c r="O1833" s="2" t="s">
        <v>97</v>
      </c>
      <c r="P1833" s="2" t="s">
        <v>383</v>
      </c>
      <c r="Q1833" s="2" t="s">
        <v>99</v>
      </c>
      <c r="R1833" s="2" t="s">
        <v>100</v>
      </c>
      <c r="S1833" s="2" t="s">
        <v>5243</v>
      </c>
      <c r="T1833" s="2" t="s">
        <v>359</v>
      </c>
      <c r="U1833" s="2" t="s">
        <v>644</v>
      </c>
      <c r="V1833" s="2" t="s">
        <v>663</v>
      </c>
      <c r="W1833" s="2" t="s">
        <v>345</v>
      </c>
      <c r="X1833" s="2" t="s">
        <v>3803</v>
      </c>
      <c r="Y1833" s="2" t="s">
        <v>5334</v>
      </c>
      <c r="Z1833" s="4">
        <v>29</v>
      </c>
      <c r="AA1833" s="4">
        <f>=ROUNDDOWN(24.1666666666667,0)</f>
      </c>
      <c r="AB1833" s="5">
        <v>1.2</v>
      </c>
      <c r="AC1833" s="2" t="s">
        <v>2552</v>
      </c>
      <c r="AD1833" s="4">
        <v>25</v>
      </c>
      <c r="AE1833" s="4">
        <v>45</v>
      </c>
      <c r="AF1833" s="6">
        <v>66</v>
      </c>
      <c r="AG1833" s="6"/>
      <c r="AH1833" s="7">
        <v>1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>
        <v>0</v>
      </c>
      <c r="AP1833" s="4"/>
      <c r="AQ1833" s="8"/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/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/>
      <c r="BJ1833" s="4">
        <v>2</v>
      </c>
      <c r="BK1833" s="8">
        <v>148.99</v>
      </c>
      <c r="BL1833" s="2" t="s">
        <v>887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109</v>
      </c>
      <c r="BV1833" s="2" t="s">
        <v>97</v>
      </c>
      <c r="BW1833" s="2" t="s">
        <v>270</v>
      </c>
      <c r="BX1833" s="2" t="s">
        <v>5335</v>
      </c>
      <c r="BY1833" s="2" t="s">
        <v>112</v>
      </c>
      <c r="BZ1833" s="2" t="s">
        <v>100</v>
      </c>
    </row>
    <row r="1834">
      <c r="A1834" s="2" t="s">
        <v>5336</v>
      </c>
      <c r="B1834" s="2" t="s">
        <v>87</v>
      </c>
      <c r="C1834" s="2" t="s">
        <v>5155</v>
      </c>
      <c r="D1834" s="2" t="s">
        <v>3079</v>
      </c>
      <c r="E1834" s="2" t="s">
        <v>3080</v>
      </c>
      <c r="F1834" s="2" t="s">
        <v>5242</v>
      </c>
      <c r="G1834" s="2" t="s">
        <v>5242</v>
      </c>
      <c r="H1834" s="2" t="s">
        <v>5242</v>
      </c>
      <c r="I1834" s="2" t="s">
        <v>5326</v>
      </c>
      <c r="J1834" s="2" t="s">
        <v>120</v>
      </c>
      <c r="K1834" s="2" t="s">
        <v>1659</v>
      </c>
      <c r="L1834" s="3">
        <v>85</v>
      </c>
      <c r="M1834" s="3">
        <v>89.24</v>
      </c>
      <c r="N1834" s="3">
        <v>169.99</v>
      </c>
      <c r="O1834" s="2" t="s">
        <v>97</v>
      </c>
      <c r="P1834" s="2" t="s">
        <v>383</v>
      </c>
      <c r="Q1834" s="2" t="s">
        <v>99</v>
      </c>
      <c r="R1834" s="2" t="s">
        <v>100</v>
      </c>
      <c r="S1834" s="2" t="s">
        <v>5243</v>
      </c>
      <c r="T1834" s="2" t="s">
        <v>359</v>
      </c>
      <c r="U1834" s="2" t="s">
        <v>644</v>
      </c>
      <c r="V1834" s="2" t="s">
        <v>663</v>
      </c>
      <c r="W1834" s="2" t="s">
        <v>345</v>
      </c>
      <c r="X1834" s="2" t="s">
        <v>3803</v>
      </c>
      <c r="Y1834" s="2" t="s">
        <v>5334</v>
      </c>
      <c r="Z1834" s="4">
        <v>51</v>
      </c>
      <c r="AA1834" s="4">
        <f>=ROUNDDOWN(17,0)</f>
      </c>
      <c r="AB1834" s="5">
        <v>3</v>
      </c>
      <c r="AC1834" s="2" t="s">
        <v>2552</v>
      </c>
      <c r="AD1834" s="4">
        <v>30</v>
      </c>
      <c r="AE1834" s="4">
        <v>68</v>
      </c>
      <c r="AF1834" s="6">
        <v>66</v>
      </c>
      <c r="AG1834" s="6"/>
      <c r="AH1834" s="7">
        <v>1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100</v>
      </c>
      <c r="AW1834" s="8" t="s">
        <v>100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/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/>
      <c r="BJ1834" s="4">
        <v>2</v>
      </c>
      <c r="BK1834" s="8">
        <v>153.28</v>
      </c>
      <c r="BL1834" s="2" t="s">
        <v>133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109</v>
      </c>
      <c r="BV1834" s="2" t="s">
        <v>97</v>
      </c>
      <c r="BW1834" s="2" t="s">
        <v>270</v>
      </c>
      <c r="BX1834" s="2" t="s">
        <v>5337</v>
      </c>
      <c r="BY1834" s="2" t="s">
        <v>112</v>
      </c>
      <c r="BZ1834" s="2" t="s">
        <v>100</v>
      </c>
    </row>
    <row r="1835">
      <c r="A1835" s="2" t="s">
        <v>5338</v>
      </c>
      <c r="B1835" s="2" t="s">
        <v>87</v>
      </c>
      <c r="C1835" s="2" t="s">
        <v>5155</v>
      </c>
      <c r="D1835" s="2" t="s">
        <v>3079</v>
      </c>
      <c r="E1835" s="2" t="s">
        <v>3080</v>
      </c>
      <c r="F1835" s="2" t="s">
        <v>5156</v>
      </c>
      <c r="G1835" s="2" t="s">
        <v>5156</v>
      </c>
      <c r="H1835" s="2" t="s">
        <v>5156</v>
      </c>
      <c r="I1835" s="2" t="s">
        <v>5339</v>
      </c>
      <c r="J1835" s="2" t="s">
        <v>785</v>
      </c>
      <c r="K1835" s="2" t="s">
        <v>1659</v>
      </c>
      <c r="L1835" s="3">
        <v>75</v>
      </c>
      <c r="M1835" s="3">
        <v>78.74</v>
      </c>
      <c r="N1835" s="3">
        <v>159.99</v>
      </c>
      <c r="O1835" s="2" t="s">
        <v>97</v>
      </c>
      <c r="P1835" s="2" t="s">
        <v>383</v>
      </c>
      <c r="Q1835" s="2" t="s">
        <v>99</v>
      </c>
      <c r="R1835" s="2" t="s">
        <v>100</v>
      </c>
      <c r="S1835" s="2" t="s">
        <v>5158</v>
      </c>
      <c r="T1835" s="2" t="s">
        <v>100</v>
      </c>
      <c r="U1835" s="2" t="s">
        <v>100</v>
      </c>
      <c r="V1835" s="2" t="s">
        <v>663</v>
      </c>
      <c r="W1835" s="2" t="s">
        <v>551</v>
      </c>
      <c r="X1835" s="2" t="s">
        <v>345</v>
      </c>
      <c r="Y1835" s="2" t="s">
        <v>131</v>
      </c>
      <c r="Z1835" s="4">
        <v>25</v>
      </c>
      <c r="AA1835" s="4">
        <f>=ROUNDDOWN(12.5,0)</f>
      </c>
      <c r="AB1835" s="5">
        <v>2</v>
      </c>
      <c r="AC1835" s="2" t="s">
        <v>100</v>
      </c>
      <c r="AD1835" s="4"/>
      <c r="AE1835" s="4"/>
      <c r="AF1835" s="6">
        <v>66</v>
      </c>
      <c r="AG1835" s="6"/>
      <c r="AH1835" s="7">
        <v>1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>
        <v>0</v>
      </c>
      <c r="AP1835" s="4"/>
      <c r="AQ1835" s="8"/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/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/>
      <c r="BJ1835" s="4">
        <v>2</v>
      </c>
      <c r="BK1835" s="8">
        <v>162.22</v>
      </c>
      <c r="BL1835" s="2" t="s">
        <v>625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109</v>
      </c>
      <c r="BV1835" s="2" t="s">
        <v>97</v>
      </c>
      <c r="BW1835" s="2" t="s">
        <v>4114</v>
      </c>
      <c r="BX1835" s="2" t="s">
        <v>4146</v>
      </c>
      <c r="BY1835" s="2" t="s">
        <v>112</v>
      </c>
      <c r="BZ1835" s="2" t="s">
        <v>100</v>
      </c>
    </row>
    <row r="1836">
      <c r="A1836" s="2" t="s">
        <v>5340</v>
      </c>
      <c r="B1836" s="2" t="s">
        <v>87</v>
      </c>
      <c r="C1836" s="2" t="s">
        <v>5155</v>
      </c>
      <c r="D1836" s="2" t="s">
        <v>3079</v>
      </c>
      <c r="E1836" s="2" t="s">
        <v>3080</v>
      </c>
      <c r="F1836" s="2" t="s">
        <v>5156</v>
      </c>
      <c r="G1836" s="2" t="s">
        <v>5156</v>
      </c>
      <c r="H1836" s="2" t="s">
        <v>5156</v>
      </c>
      <c r="I1836" s="2" t="s">
        <v>5339</v>
      </c>
      <c r="J1836" s="2" t="s">
        <v>795</v>
      </c>
      <c r="K1836" s="2" t="s">
        <v>1659</v>
      </c>
      <c r="L1836" s="3">
        <v>85</v>
      </c>
      <c r="M1836" s="3">
        <v>89.24</v>
      </c>
      <c r="N1836" s="3">
        <v>179.99</v>
      </c>
      <c r="O1836" s="2" t="s">
        <v>97</v>
      </c>
      <c r="P1836" s="2" t="s">
        <v>383</v>
      </c>
      <c r="Q1836" s="2" t="s">
        <v>99</v>
      </c>
      <c r="R1836" s="2" t="s">
        <v>100</v>
      </c>
      <c r="S1836" s="2" t="s">
        <v>5158</v>
      </c>
      <c r="T1836" s="2" t="s">
        <v>100</v>
      </c>
      <c r="U1836" s="2" t="s">
        <v>100</v>
      </c>
      <c r="V1836" s="2" t="s">
        <v>663</v>
      </c>
      <c r="W1836" s="2" t="s">
        <v>551</v>
      </c>
      <c r="X1836" s="2" t="s">
        <v>345</v>
      </c>
      <c r="Y1836" s="2" t="s">
        <v>131</v>
      </c>
      <c r="Z1836" s="4">
        <v>92</v>
      </c>
      <c r="AA1836" s="4">
        <f>=ROUNDDOWN(30.6666666666667,0)</f>
      </c>
      <c r="AB1836" s="5">
        <v>3</v>
      </c>
      <c r="AC1836" s="2" t="s">
        <v>100</v>
      </c>
      <c r="AD1836" s="4"/>
      <c r="AE1836" s="4"/>
      <c r="AF1836" s="6">
        <v>66</v>
      </c>
      <c r="AG1836" s="6"/>
      <c r="AH1836" s="7">
        <v>1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 t="s">
        <v>100</v>
      </c>
      <c r="AW1836" s="8" t="s">
        <v>100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/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/>
      <c r="BJ1836" s="4">
        <v>4</v>
      </c>
      <c r="BK1836" s="8">
        <v>343.73</v>
      </c>
      <c r="BL1836" s="2" t="s">
        <v>325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109</v>
      </c>
      <c r="BV1836" s="2" t="s">
        <v>97</v>
      </c>
      <c r="BW1836" s="2" t="s">
        <v>4114</v>
      </c>
      <c r="BX1836" s="2" t="s">
        <v>4051</v>
      </c>
      <c r="BY1836" s="2" t="s">
        <v>112</v>
      </c>
      <c r="BZ1836" s="2" t="s">
        <v>100</v>
      </c>
    </row>
    <row r="1837">
      <c r="A1837" s="2" t="s">
        <v>5341</v>
      </c>
      <c r="B1837" s="2" t="s">
        <v>87</v>
      </c>
      <c r="C1837" s="2" t="s">
        <v>5155</v>
      </c>
      <c r="D1837" s="2" t="s">
        <v>3079</v>
      </c>
      <c r="E1837" s="2" t="s">
        <v>3080</v>
      </c>
      <c r="F1837" s="2" t="s">
        <v>5250</v>
      </c>
      <c r="G1837" s="2" t="s">
        <v>5250</v>
      </c>
      <c r="H1837" s="2" t="s">
        <v>5250</v>
      </c>
      <c r="I1837" s="2" t="s">
        <v>4398</v>
      </c>
      <c r="J1837" s="2" t="s">
        <v>785</v>
      </c>
      <c r="K1837" s="2" t="s">
        <v>213</v>
      </c>
      <c r="L1837" s="3">
        <v>96.89</v>
      </c>
      <c r="M1837" s="3">
        <v>101.74</v>
      </c>
      <c r="N1837" s="3">
        <v>199.99</v>
      </c>
      <c r="O1837" s="2" t="s">
        <v>97</v>
      </c>
      <c r="P1837" s="2" t="s">
        <v>383</v>
      </c>
      <c r="Q1837" s="2" t="s">
        <v>99</v>
      </c>
      <c r="R1837" s="2" t="s">
        <v>100</v>
      </c>
      <c r="S1837" s="2" t="s">
        <v>5251</v>
      </c>
      <c r="T1837" s="2" t="s">
        <v>100</v>
      </c>
      <c r="U1837" s="2" t="s">
        <v>100</v>
      </c>
      <c r="V1837" s="2" t="s">
        <v>551</v>
      </c>
      <c r="W1837" s="2" t="s">
        <v>551</v>
      </c>
      <c r="X1837" s="2" t="s">
        <v>345</v>
      </c>
      <c r="Y1837" s="2" t="s">
        <v>131</v>
      </c>
      <c r="Z1837" s="4">
        <v>292</v>
      </c>
      <c r="AA1837" s="4">
        <f>=ROUNDDOWN(97.3333333333333,0)</f>
      </c>
      <c r="AB1837" s="5">
        <v>3</v>
      </c>
      <c r="AC1837" s="2" t="s">
        <v>100</v>
      </c>
      <c r="AD1837" s="4"/>
      <c r="AE1837" s="4"/>
      <c r="AF1837" s="6">
        <v>66</v>
      </c>
      <c r="AG1837" s="6"/>
      <c r="AH1837" s="7">
        <v>1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>
        <v>0</v>
      </c>
      <c r="AP1837" s="4"/>
      <c r="AQ1837" s="8"/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/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/>
      <c r="BJ1837" s="4"/>
      <c r="BK1837" s="8"/>
      <c r="BL1837" s="2" t="s">
        <v>100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109</v>
      </c>
      <c r="BV1837" s="2" t="s">
        <v>97</v>
      </c>
      <c r="BW1837" s="2" t="s">
        <v>4114</v>
      </c>
      <c r="BX1837" s="2" t="s">
        <v>5342</v>
      </c>
      <c r="BY1837" s="2" t="s">
        <v>112</v>
      </c>
      <c r="BZ1837" s="2" t="s">
        <v>100</v>
      </c>
    </row>
    <row r="1838">
      <c r="A1838" s="2" t="s">
        <v>5343</v>
      </c>
      <c r="B1838" s="2" t="s">
        <v>87</v>
      </c>
      <c r="C1838" s="2" t="s">
        <v>5155</v>
      </c>
      <c r="D1838" s="2" t="s">
        <v>3079</v>
      </c>
      <c r="E1838" s="2" t="s">
        <v>3080</v>
      </c>
      <c r="F1838" s="2" t="s">
        <v>5250</v>
      </c>
      <c r="G1838" s="2" t="s">
        <v>5250</v>
      </c>
      <c r="H1838" s="2" t="s">
        <v>5250</v>
      </c>
      <c r="I1838" s="2" t="s">
        <v>4398</v>
      </c>
      <c r="J1838" s="2" t="s">
        <v>120</v>
      </c>
      <c r="K1838" s="2" t="s">
        <v>213</v>
      </c>
      <c r="L1838" s="3">
        <v>109.19</v>
      </c>
      <c r="M1838" s="3">
        <v>114.65</v>
      </c>
      <c r="N1838" s="3">
        <v>224.99</v>
      </c>
      <c r="O1838" s="2" t="s">
        <v>97</v>
      </c>
      <c r="P1838" s="2" t="s">
        <v>383</v>
      </c>
      <c r="Q1838" s="2" t="s">
        <v>99</v>
      </c>
      <c r="R1838" s="2" t="s">
        <v>100</v>
      </c>
      <c r="S1838" s="2" t="s">
        <v>5251</v>
      </c>
      <c r="T1838" s="2" t="s">
        <v>100</v>
      </c>
      <c r="U1838" s="2" t="s">
        <v>100</v>
      </c>
      <c r="V1838" s="2" t="s">
        <v>551</v>
      </c>
      <c r="W1838" s="2" t="s">
        <v>551</v>
      </c>
      <c r="X1838" s="2" t="s">
        <v>345</v>
      </c>
      <c r="Y1838" s="2" t="s">
        <v>131</v>
      </c>
      <c r="Z1838" s="4">
        <v>54</v>
      </c>
      <c r="AA1838" s="4">
        <f>=ROUNDDOWN(13.5,0)</f>
      </c>
      <c r="AB1838" s="5">
        <v>4</v>
      </c>
      <c r="AC1838" s="2" t="s">
        <v>429</v>
      </c>
      <c r="AD1838" s="4">
        <v>95</v>
      </c>
      <c r="AE1838" s="4">
        <v>95</v>
      </c>
      <c r="AF1838" s="6">
        <v>66</v>
      </c>
      <c r="AG1838" s="6"/>
      <c r="AH1838" s="7">
        <v>1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>
        <v>0</v>
      </c>
      <c r="AP1838" s="4"/>
      <c r="AQ1838" s="8"/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/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/>
      <c r="BJ1838" s="4">
        <v>2</v>
      </c>
      <c r="BK1838" s="8">
        <v>241.38</v>
      </c>
      <c r="BL1838" s="2" t="s">
        <v>625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109</v>
      </c>
      <c r="BV1838" s="2" t="s">
        <v>97</v>
      </c>
      <c r="BW1838" s="2" t="s">
        <v>4114</v>
      </c>
      <c r="BX1838" s="2" t="s">
        <v>4146</v>
      </c>
      <c r="BY1838" s="2" t="s">
        <v>112</v>
      </c>
      <c r="BZ1838" s="2" t="s">
        <v>100</v>
      </c>
    </row>
    <row r="1839">
      <c r="A1839" s="2" t="s">
        <v>5344</v>
      </c>
      <c r="B1839" s="2" t="s">
        <v>87</v>
      </c>
      <c r="C1839" s="2" t="s">
        <v>5155</v>
      </c>
      <c r="D1839" s="2" t="s">
        <v>3079</v>
      </c>
      <c r="E1839" s="2" t="s">
        <v>3080</v>
      </c>
      <c r="F1839" s="2" t="s">
        <v>5264</v>
      </c>
      <c r="G1839" s="2" t="s">
        <v>5264</v>
      </c>
      <c r="H1839" s="2" t="s">
        <v>5264</v>
      </c>
      <c r="I1839" s="2" t="s">
        <v>5345</v>
      </c>
      <c r="J1839" s="2" t="s">
        <v>785</v>
      </c>
      <c r="K1839" s="2" t="s">
        <v>5192</v>
      </c>
      <c r="L1839" s="3">
        <v>80</v>
      </c>
      <c r="M1839" s="3">
        <v>84</v>
      </c>
      <c r="N1839" s="3">
        <v>159.99</v>
      </c>
      <c r="O1839" s="2" t="s">
        <v>97</v>
      </c>
      <c r="P1839" s="2" t="s">
        <v>1216</v>
      </c>
      <c r="Q1839" s="2" t="s">
        <v>99</v>
      </c>
      <c r="R1839" s="2" t="s">
        <v>100</v>
      </c>
      <c r="S1839" s="2" t="s">
        <v>5266</v>
      </c>
      <c r="T1839" s="2" t="s">
        <v>359</v>
      </c>
      <c r="U1839" s="2" t="s">
        <v>644</v>
      </c>
      <c r="V1839" s="2" t="s">
        <v>805</v>
      </c>
      <c r="W1839" s="2" t="s">
        <v>345</v>
      </c>
      <c r="X1839" s="2" t="s">
        <v>5267</v>
      </c>
      <c r="Y1839" s="2" t="s">
        <v>5268</v>
      </c>
      <c r="Z1839" s="4">
        <v>14</v>
      </c>
      <c r="AA1839" s="4">
        <f>=ROUNDDOWN(7,0)</f>
      </c>
      <c r="AB1839" s="5">
        <v>2</v>
      </c>
      <c r="AC1839" s="2" t="s">
        <v>429</v>
      </c>
      <c r="AD1839" s="4">
        <v>120</v>
      </c>
      <c r="AE1839" s="4">
        <v>120</v>
      </c>
      <c r="AF1839" s="6">
        <v>65</v>
      </c>
      <c r="AG1839" s="6"/>
      <c r="AH1839" s="7">
        <v>1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>
        <v>0</v>
      </c>
      <c r="AP1839" s="4"/>
      <c r="AQ1839" s="8"/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/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/>
      <c r="BJ1839" s="4">
        <v>1</v>
      </c>
      <c r="BK1839" s="8">
        <v>88.2</v>
      </c>
      <c r="BL1839" s="2" t="s">
        <v>210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109</v>
      </c>
      <c r="BV1839" s="2" t="s">
        <v>97</v>
      </c>
      <c r="BW1839" s="2" t="s">
        <v>1221</v>
      </c>
      <c r="BX1839" s="2" t="s">
        <v>100</v>
      </c>
      <c r="BY1839" s="2" t="s">
        <v>112</v>
      </c>
      <c r="BZ1839" s="2" t="s">
        <v>100</v>
      </c>
    </row>
    <row r="1840">
      <c r="A1840" s="2" t="s">
        <v>5346</v>
      </c>
      <c r="B1840" s="2" t="s">
        <v>87</v>
      </c>
      <c r="C1840" s="2" t="s">
        <v>5155</v>
      </c>
      <c r="D1840" s="2" t="s">
        <v>3079</v>
      </c>
      <c r="E1840" s="2" t="s">
        <v>3080</v>
      </c>
      <c r="F1840" s="2" t="s">
        <v>5264</v>
      </c>
      <c r="G1840" s="2" t="s">
        <v>5264</v>
      </c>
      <c r="H1840" s="2" t="s">
        <v>5264</v>
      </c>
      <c r="I1840" s="2" t="s">
        <v>5345</v>
      </c>
      <c r="J1840" s="2" t="s">
        <v>795</v>
      </c>
      <c r="K1840" s="2" t="s">
        <v>5192</v>
      </c>
      <c r="L1840" s="3">
        <v>90</v>
      </c>
      <c r="M1840" s="3">
        <v>94.5</v>
      </c>
      <c r="N1840" s="3">
        <v>179.99</v>
      </c>
      <c r="O1840" s="2" t="s">
        <v>97</v>
      </c>
      <c r="P1840" s="2" t="s">
        <v>1216</v>
      </c>
      <c r="Q1840" s="2" t="s">
        <v>99</v>
      </c>
      <c r="R1840" s="2" t="s">
        <v>100</v>
      </c>
      <c r="S1840" s="2" t="s">
        <v>5266</v>
      </c>
      <c r="T1840" s="2" t="s">
        <v>359</v>
      </c>
      <c r="U1840" s="2" t="s">
        <v>644</v>
      </c>
      <c r="V1840" s="2" t="s">
        <v>805</v>
      </c>
      <c r="W1840" s="2" t="s">
        <v>345</v>
      </c>
      <c r="X1840" s="2" t="s">
        <v>5267</v>
      </c>
      <c r="Y1840" s="2" t="s">
        <v>5268</v>
      </c>
      <c r="Z1840" s="4">
        <v>2</v>
      </c>
      <c r="AA1840" s="4">
        <f>=ROUNDDOWN(0.666666666666667,0)</f>
      </c>
      <c r="AB1840" s="5">
        <v>3</v>
      </c>
      <c r="AC1840" s="2" t="s">
        <v>429</v>
      </c>
      <c r="AD1840" s="4">
        <v>120</v>
      </c>
      <c r="AE1840" s="4">
        <v>120</v>
      </c>
      <c r="AF1840" s="6">
        <v>65</v>
      </c>
      <c r="AG1840" s="6"/>
      <c r="AH1840" s="7">
        <v>0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>
        <v>0</v>
      </c>
      <c r="AP1840" s="4"/>
      <c r="AQ1840" s="8"/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/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/>
      <c r="BJ1840" s="4">
        <v>2</v>
      </c>
      <c r="BK1840" s="8">
        <v>207</v>
      </c>
      <c r="BL1840" s="2" t="s">
        <v>1974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109</v>
      </c>
      <c r="BV1840" s="2" t="s">
        <v>97</v>
      </c>
      <c r="BW1840" s="2" t="s">
        <v>1221</v>
      </c>
      <c r="BX1840" s="2" t="s">
        <v>100</v>
      </c>
      <c r="BY1840" s="2" t="s">
        <v>112</v>
      </c>
      <c r="BZ1840" s="2" t="s">
        <v>100</v>
      </c>
    </row>
    <row r="1841">
      <c r="A1841" s="2" t="s">
        <v>5347</v>
      </c>
      <c r="B1841" s="2" t="s">
        <v>87</v>
      </c>
      <c r="C1841" s="2" t="s">
        <v>5155</v>
      </c>
      <c r="D1841" s="2" t="s">
        <v>3079</v>
      </c>
      <c r="E1841" s="2" t="s">
        <v>3080</v>
      </c>
      <c r="F1841" s="2" t="s">
        <v>5264</v>
      </c>
      <c r="G1841" s="2" t="s">
        <v>5264</v>
      </c>
      <c r="H1841" s="2" t="s">
        <v>5264</v>
      </c>
      <c r="I1841" s="2" t="s">
        <v>5345</v>
      </c>
      <c r="J1841" s="2" t="s">
        <v>785</v>
      </c>
      <c r="K1841" s="2" t="s">
        <v>5273</v>
      </c>
      <c r="L1841" s="3">
        <v>80</v>
      </c>
      <c r="M1841" s="3">
        <v>84</v>
      </c>
      <c r="N1841" s="3">
        <v>159.99</v>
      </c>
      <c r="O1841" s="2" t="s">
        <v>97</v>
      </c>
      <c r="P1841" s="2" t="s">
        <v>281</v>
      </c>
      <c r="Q1841" s="2" t="s">
        <v>99</v>
      </c>
      <c r="R1841" s="2" t="s">
        <v>100</v>
      </c>
      <c r="S1841" s="2" t="s">
        <v>5274</v>
      </c>
      <c r="T1841" s="2" t="s">
        <v>359</v>
      </c>
      <c r="U1841" s="2" t="s">
        <v>644</v>
      </c>
      <c r="V1841" s="2" t="s">
        <v>805</v>
      </c>
      <c r="W1841" s="2" t="s">
        <v>345</v>
      </c>
      <c r="X1841" s="2" t="s">
        <v>5267</v>
      </c>
      <c r="Y1841" s="2" t="s">
        <v>5194</v>
      </c>
      <c r="Z1841" s="4">
        <v>23</v>
      </c>
      <c r="AA1841" s="4">
        <f>=ROUNDDOWN(7.66666666666667,0)</f>
      </c>
      <c r="AB1841" s="5">
        <v>3</v>
      </c>
      <c r="AC1841" s="2" t="s">
        <v>4123</v>
      </c>
      <c r="AD1841" s="4">
        <v>27</v>
      </c>
      <c r="AE1841" s="4">
        <v>127</v>
      </c>
      <c r="AF1841" s="6">
        <v>65</v>
      </c>
      <c r="AG1841" s="6"/>
      <c r="AH1841" s="7">
        <v>1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>
        <v>0</v>
      </c>
      <c r="AP1841" s="4"/>
      <c r="AQ1841" s="8"/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/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/>
      <c r="BJ1841" s="4">
        <v>1</v>
      </c>
      <c r="BK1841" s="8">
        <v>84</v>
      </c>
      <c r="BL1841" s="2" t="s">
        <v>1882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109</v>
      </c>
      <c r="BV1841" s="2" t="s">
        <v>97</v>
      </c>
      <c r="BW1841" s="2" t="s">
        <v>1221</v>
      </c>
      <c r="BX1841" s="2" t="s">
        <v>100</v>
      </c>
      <c r="BY1841" s="2" t="s">
        <v>112</v>
      </c>
      <c r="BZ1841" s="2" t="s">
        <v>100</v>
      </c>
    </row>
    <row r="1842">
      <c r="A1842" s="2" t="s">
        <v>5348</v>
      </c>
      <c r="B1842" s="2" t="s">
        <v>87</v>
      </c>
      <c r="C1842" s="2" t="s">
        <v>5155</v>
      </c>
      <c r="D1842" s="2" t="s">
        <v>3079</v>
      </c>
      <c r="E1842" s="2" t="s">
        <v>3080</v>
      </c>
      <c r="F1842" s="2" t="s">
        <v>5264</v>
      </c>
      <c r="G1842" s="2" t="s">
        <v>5264</v>
      </c>
      <c r="H1842" s="2" t="s">
        <v>5264</v>
      </c>
      <c r="I1842" s="2" t="s">
        <v>5345</v>
      </c>
      <c r="J1842" s="2" t="s">
        <v>795</v>
      </c>
      <c r="K1842" s="2" t="s">
        <v>5273</v>
      </c>
      <c r="L1842" s="3">
        <v>90</v>
      </c>
      <c r="M1842" s="3">
        <v>94.5</v>
      </c>
      <c r="N1842" s="3">
        <v>179.99</v>
      </c>
      <c r="O1842" s="2" t="s">
        <v>97</v>
      </c>
      <c r="P1842" s="2" t="s">
        <v>281</v>
      </c>
      <c r="Q1842" s="2" t="s">
        <v>99</v>
      </c>
      <c r="R1842" s="2" t="s">
        <v>100</v>
      </c>
      <c r="S1842" s="2" t="s">
        <v>5274</v>
      </c>
      <c r="T1842" s="2" t="s">
        <v>359</v>
      </c>
      <c r="U1842" s="2" t="s">
        <v>644</v>
      </c>
      <c r="V1842" s="2" t="s">
        <v>805</v>
      </c>
      <c r="W1842" s="2" t="s">
        <v>345</v>
      </c>
      <c r="X1842" s="2" t="s">
        <v>5267</v>
      </c>
      <c r="Y1842" s="2" t="s">
        <v>5194</v>
      </c>
      <c r="Z1842" s="4">
        <v>54</v>
      </c>
      <c r="AA1842" s="4">
        <f>=ROUNDDOWN(18,0)</f>
      </c>
      <c r="AB1842" s="5">
        <v>3</v>
      </c>
      <c r="AC1842" s="2" t="s">
        <v>4123</v>
      </c>
      <c r="AD1842" s="4">
        <v>27</v>
      </c>
      <c r="AE1842" s="4">
        <v>97</v>
      </c>
      <c r="AF1842" s="6">
        <v>65</v>
      </c>
      <c r="AG1842" s="6"/>
      <c r="AH1842" s="7">
        <v>1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>
        <v>0</v>
      </c>
      <c r="AP1842" s="4"/>
      <c r="AQ1842" s="8"/>
      <c r="AR1842" s="4"/>
      <c r="AS1842" s="8"/>
      <c r="AT1842" s="7"/>
      <c r="AU1842" s="7"/>
      <c r="AV1842" s="4" t="s">
        <v>100</v>
      </c>
      <c r="AW1842" s="8" t="s">
        <v>100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/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/>
      <c r="BJ1842" s="4">
        <v>2</v>
      </c>
      <c r="BK1842" s="8">
        <v>206.01</v>
      </c>
      <c r="BL1842" s="2" t="s">
        <v>3827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109</v>
      </c>
      <c r="BV1842" s="2" t="s">
        <v>97</v>
      </c>
      <c r="BW1842" s="2" t="s">
        <v>1221</v>
      </c>
      <c r="BX1842" s="2" t="s">
        <v>100</v>
      </c>
      <c r="BY1842" s="2" t="s">
        <v>112</v>
      </c>
      <c r="BZ1842" s="2" t="s">
        <v>100</v>
      </c>
    </row>
    <row r="1843">
      <c r="A1843" s="2" t="s">
        <v>5349</v>
      </c>
      <c r="B1843" s="2" t="s">
        <v>87</v>
      </c>
      <c r="C1843" s="2" t="s">
        <v>5155</v>
      </c>
      <c r="D1843" s="2" t="s">
        <v>3079</v>
      </c>
      <c r="E1843" s="2" t="s">
        <v>3080</v>
      </c>
      <c r="F1843" s="2" t="s">
        <v>5281</v>
      </c>
      <c r="G1843" s="2" t="s">
        <v>5281</v>
      </c>
      <c r="H1843" s="2" t="s">
        <v>5281</v>
      </c>
      <c r="I1843" s="2" t="s">
        <v>5350</v>
      </c>
      <c r="J1843" s="2" t="s">
        <v>785</v>
      </c>
      <c r="K1843" s="2" t="s">
        <v>5283</v>
      </c>
      <c r="L1843" s="3">
        <v>72</v>
      </c>
      <c r="M1843" s="3">
        <v>75.6</v>
      </c>
      <c r="N1843" s="3">
        <v>149.99</v>
      </c>
      <c r="O1843" s="2" t="s">
        <v>97</v>
      </c>
      <c r="P1843" s="2" t="s">
        <v>383</v>
      </c>
      <c r="Q1843" s="2" t="s">
        <v>99</v>
      </c>
      <c r="R1843" s="2" t="s">
        <v>100</v>
      </c>
      <c r="S1843" s="2" t="s">
        <v>5284</v>
      </c>
      <c r="T1843" s="2" t="s">
        <v>359</v>
      </c>
      <c r="U1843" s="2" t="s">
        <v>644</v>
      </c>
      <c r="V1843" s="2" t="s">
        <v>551</v>
      </c>
      <c r="W1843" s="2" t="s">
        <v>551</v>
      </c>
      <c r="X1843" s="2" t="s">
        <v>100</v>
      </c>
      <c r="Y1843" s="2" t="s">
        <v>3777</v>
      </c>
      <c r="Z1843" s="4">
        <v>23</v>
      </c>
      <c r="AA1843" s="4">
        <f>=ROUNDDOWN(11.5,0)</f>
      </c>
      <c r="AB1843" s="5">
        <v>2</v>
      </c>
      <c r="AC1843" s="2" t="s">
        <v>1962</v>
      </c>
      <c r="AD1843" s="4">
        <v>30</v>
      </c>
      <c r="AE1843" s="4">
        <v>30</v>
      </c>
      <c r="AF1843" s="6">
        <v>67</v>
      </c>
      <c r="AG1843" s="6"/>
      <c r="AH1843" s="7">
        <v>1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>
        <v>0</v>
      </c>
      <c r="AP1843" s="4"/>
      <c r="AQ1843" s="8"/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/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/>
      <c r="BJ1843" s="4">
        <v>2</v>
      </c>
      <c r="BK1843" s="8">
        <v>147.05</v>
      </c>
      <c r="BL1843" s="2" t="s">
        <v>391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109</v>
      </c>
      <c r="BV1843" s="2" t="s">
        <v>97</v>
      </c>
      <c r="BW1843" s="2" t="s">
        <v>1221</v>
      </c>
      <c r="BX1843" s="2" t="s">
        <v>100</v>
      </c>
      <c r="BY1843" s="2" t="s">
        <v>112</v>
      </c>
      <c r="BZ1843" s="2" t="s">
        <v>100</v>
      </c>
    </row>
    <row r="1844">
      <c r="A1844" s="2" t="s">
        <v>5351</v>
      </c>
      <c r="B1844" s="2" t="s">
        <v>87</v>
      </c>
      <c r="C1844" s="2" t="s">
        <v>5155</v>
      </c>
      <c r="D1844" s="2" t="s">
        <v>3079</v>
      </c>
      <c r="E1844" s="2" t="s">
        <v>3080</v>
      </c>
      <c r="F1844" s="2" t="s">
        <v>5281</v>
      </c>
      <c r="G1844" s="2" t="s">
        <v>5281</v>
      </c>
      <c r="H1844" s="2" t="s">
        <v>5281</v>
      </c>
      <c r="I1844" s="2" t="s">
        <v>5350</v>
      </c>
      <c r="J1844" s="2" t="s">
        <v>795</v>
      </c>
      <c r="K1844" s="2" t="s">
        <v>5283</v>
      </c>
      <c r="L1844" s="3">
        <v>81.6</v>
      </c>
      <c r="M1844" s="3">
        <v>85.68</v>
      </c>
      <c r="N1844" s="3">
        <v>169.99</v>
      </c>
      <c r="O1844" s="2" t="s">
        <v>97</v>
      </c>
      <c r="P1844" s="2" t="s">
        <v>383</v>
      </c>
      <c r="Q1844" s="2" t="s">
        <v>99</v>
      </c>
      <c r="R1844" s="2" t="s">
        <v>100</v>
      </c>
      <c r="S1844" s="2" t="s">
        <v>5284</v>
      </c>
      <c r="T1844" s="2" t="s">
        <v>359</v>
      </c>
      <c r="U1844" s="2" t="s">
        <v>644</v>
      </c>
      <c r="V1844" s="2" t="s">
        <v>551</v>
      </c>
      <c r="W1844" s="2" t="s">
        <v>551</v>
      </c>
      <c r="X1844" s="2" t="s">
        <v>100</v>
      </c>
      <c r="Y1844" s="2" t="s">
        <v>3777</v>
      </c>
      <c r="Z1844" s="4">
        <v>2</v>
      </c>
      <c r="AA1844" s="4">
        <f>=ROUNDDOWN(0.666666666666667,0)</f>
      </c>
      <c r="AB1844" s="5">
        <v>3</v>
      </c>
      <c r="AC1844" s="2" t="s">
        <v>1962</v>
      </c>
      <c r="AD1844" s="4">
        <v>86</v>
      </c>
      <c r="AE1844" s="4">
        <v>86</v>
      </c>
      <c r="AF1844" s="6">
        <v>67</v>
      </c>
      <c r="AG1844" s="6"/>
      <c r="AH1844" s="7">
        <v>0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>
        <v>0</v>
      </c>
      <c r="AP1844" s="4"/>
      <c r="AQ1844" s="8"/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/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/>
      <c r="BJ1844" s="4"/>
      <c r="BK1844" s="8"/>
      <c r="BL1844" s="2" t="s">
        <v>100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109</v>
      </c>
      <c r="BV1844" s="2" t="s">
        <v>97</v>
      </c>
      <c r="BW1844" s="2" t="s">
        <v>100</v>
      </c>
      <c r="BX1844" s="2" t="s">
        <v>100</v>
      </c>
      <c r="BY1844" s="2" t="s">
        <v>112</v>
      </c>
      <c r="BZ1844" s="2" t="s">
        <v>100</v>
      </c>
    </row>
    <row r="1845">
      <c r="A1845" s="2" t="s">
        <v>5352</v>
      </c>
      <c r="B1845" s="2" t="s">
        <v>87</v>
      </c>
      <c r="C1845" s="2" t="s">
        <v>5155</v>
      </c>
      <c r="D1845" s="2" t="s">
        <v>3079</v>
      </c>
      <c r="E1845" s="2" t="s">
        <v>3080</v>
      </c>
      <c r="F1845" s="2" t="s">
        <v>5290</v>
      </c>
      <c r="G1845" s="2" t="s">
        <v>100</v>
      </c>
      <c r="H1845" s="2" t="s">
        <v>100</v>
      </c>
      <c r="I1845" s="2" t="s">
        <v>3176</v>
      </c>
      <c r="J1845" s="2" t="s">
        <v>785</v>
      </c>
      <c r="K1845" s="2" t="s">
        <v>198</v>
      </c>
      <c r="L1845" s="3">
        <v>96.89</v>
      </c>
      <c r="M1845" s="3">
        <v>101.74</v>
      </c>
      <c r="N1845" s="3">
        <v>199.99</v>
      </c>
      <c r="O1845" s="2" t="s">
        <v>97</v>
      </c>
      <c r="P1845" s="2" t="s">
        <v>98</v>
      </c>
      <c r="Q1845" s="2" t="s">
        <v>99</v>
      </c>
      <c r="R1845" s="2" t="s">
        <v>100</v>
      </c>
      <c r="S1845" s="2" t="s">
        <v>5292</v>
      </c>
      <c r="T1845" s="2" t="s">
        <v>100</v>
      </c>
      <c r="U1845" s="2" t="s">
        <v>100</v>
      </c>
      <c r="V1845" s="2" t="s">
        <v>608</v>
      </c>
      <c r="W1845" s="2" t="s">
        <v>345</v>
      </c>
      <c r="X1845" s="2" t="s">
        <v>646</v>
      </c>
      <c r="Y1845" s="2" t="s">
        <v>131</v>
      </c>
      <c r="Z1845" s="4">
        <v>82</v>
      </c>
      <c r="AA1845" s="4">
        <f>=ROUNDDOWN(41,0)</f>
      </c>
      <c r="AB1845" s="5">
        <v>2</v>
      </c>
      <c r="AC1845" s="2" t="s">
        <v>100</v>
      </c>
      <c r="AD1845" s="4"/>
      <c r="AE1845" s="4"/>
      <c r="AF1845" s="6">
        <v>69</v>
      </c>
      <c r="AG1845" s="6"/>
      <c r="AH1845" s="7">
        <v>1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>
        <v>0</v>
      </c>
      <c r="AP1845" s="4"/>
      <c r="AQ1845" s="8"/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/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/>
      <c r="BJ1845" s="4">
        <v>2</v>
      </c>
      <c r="BK1845" s="8">
        <v>186.15</v>
      </c>
      <c r="BL1845" s="2" t="s">
        <v>504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109</v>
      </c>
      <c r="BV1845" s="2" t="s">
        <v>97</v>
      </c>
      <c r="BW1845" s="2" t="s">
        <v>2513</v>
      </c>
      <c r="BX1845" s="2" t="s">
        <v>2288</v>
      </c>
      <c r="BY1845" s="2" t="s">
        <v>112</v>
      </c>
      <c r="BZ1845" s="2" t="s">
        <v>100</v>
      </c>
    </row>
    <row r="1846">
      <c r="A1846" s="2" t="s">
        <v>5353</v>
      </c>
      <c r="B1846" s="2" t="s">
        <v>87</v>
      </c>
      <c r="C1846" s="2" t="s">
        <v>5155</v>
      </c>
      <c r="D1846" s="2" t="s">
        <v>3079</v>
      </c>
      <c r="E1846" s="2" t="s">
        <v>3080</v>
      </c>
      <c r="F1846" s="2" t="s">
        <v>5290</v>
      </c>
      <c r="G1846" s="2" t="s">
        <v>100</v>
      </c>
      <c r="H1846" s="2" t="s">
        <v>100</v>
      </c>
      <c r="I1846" s="2" t="s">
        <v>3176</v>
      </c>
      <c r="J1846" s="2" t="s">
        <v>120</v>
      </c>
      <c r="K1846" s="2" t="s">
        <v>198</v>
      </c>
      <c r="L1846" s="3">
        <v>109.19</v>
      </c>
      <c r="M1846" s="3">
        <v>114.65</v>
      </c>
      <c r="N1846" s="3">
        <v>224.99</v>
      </c>
      <c r="O1846" s="2" t="s">
        <v>97</v>
      </c>
      <c r="P1846" s="2" t="s">
        <v>98</v>
      </c>
      <c r="Q1846" s="2" t="s">
        <v>99</v>
      </c>
      <c r="R1846" s="2" t="s">
        <v>100</v>
      </c>
      <c r="S1846" s="2" t="s">
        <v>5292</v>
      </c>
      <c r="T1846" s="2" t="s">
        <v>100</v>
      </c>
      <c r="U1846" s="2" t="s">
        <v>100</v>
      </c>
      <c r="V1846" s="2" t="s">
        <v>608</v>
      </c>
      <c r="W1846" s="2" t="s">
        <v>345</v>
      </c>
      <c r="X1846" s="2" t="s">
        <v>646</v>
      </c>
      <c r="Y1846" s="2" t="s">
        <v>131</v>
      </c>
      <c r="Z1846" s="4">
        <v>13</v>
      </c>
      <c r="AA1846" s="4">
        <f>=ROUNDDOWN(7.64705882352941,0)</f>
      </c>
      <c r="AB1846" s="5">
        <v>1.7</v>
      </c>
      <c r="AC1846" s="2" t="s">
        <v>680</v>
      </c>
      <c r="AD1846" s="4">
        <v>37</v>
      </c>
      <c r="AE1846" s="4">
        <v>73</v>
      </c>
      <c r="AF1846" s="6">
        <v>69</v>
      </c>
      <c r="AG1846" s="6"/>
      <c r="AH1846" s="7">
        <v>1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/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/>
      <c r="BJ1846" s="4"/>
      <c r="BK1846" s="8"/>
      <c r="BL1846" s="2" t="s">
        <v>100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109</v>
      </c>
      <c r="BV1846" s="2" t="s">
        <v>97</v>
      </c>
      <c r="BW1846" s="2" t="s">
        <v>2513</v>
      </c>
      <c r="BX1846" s="2" t="s">
        <v>2288</v>
      </c>
      <c r="BY1846" s="2" t="s">
        <v>112</v>
      </c>
      <c r="BZ1846" s="2" t="s">
        <v>100</v>
      </c>
    </row>
    <row r="1847">
      <c r="A1847" s="2" t="s">
        <v>5354</v>
      </c>
      <c r="B1847" s="2" t="s">
        <v>87</v>
      </c>
      <c r="C1847" s="2" t="s">
        <v>5155</v>
      </c>
      <c r="D1847" s="2" t="s">
        <v>3079</v>
      </c>
      <c r="E1847" s="2" t="s">
        <v>3080</v>
      </c>
      <c r="F1847" s="2" t="s">
        <v>5290</v>
      </c>
      <c r="G1847" s="2" t="s">
        <v>100</v>
      </c>
      <c r="H1847" s="2" t="s">
        <v>100</v>
      </c>
      <c r="I1847" s="2" t="s">
        <v>5355</v>
      </c>
      <c r="J1847" s="2" t="s">
        <v>785</v>
      </c>
      <c r="K1847" s="2" t="s">
        <v>175</v>
      </c>
      <c r="L1847" s="3">
        <v>96.89</v>
      </c>
      <c r="M1847" s="3">
        <v>101.74</v>
      </c>
      <c r="N1847" s="3">
        <v>199.99</v>
      </c>
      <c r="O1847" s="2" t="s">
        <v>97</v>
      </c>
      <c r="P1847" s="2" t="s">
        <v>98</v>
      </c>
      <c r="Q1847" s="2" t="s">
        <v>99</v>
      </c>
      <c r="R1847" s="2" t="s">
        <v>100</v>
      </c>
      <c r="S1847" s="2" t="s">
        <v>5297</v>
      </c>
      <c r="T1847" s="2" t="s">
        <v>100</v>
      </c>
      <c r="U1847" s="2" t="s">
        <v>100</v>
      </c>
      <c r="V1847" s="2" t="s">
        <v>608</v>
      </c>
      <c r="W1847" s="2" t="s">
        <v>345</v>
      </c>
      <c r="X1847" s="2" t="s">
        <v>646</v>
      </c>
      <c r="Y1847" s="2" t="s">
        <v>5298</v>
      </c>
      <c r="Z1847" s="4">
        <v>72</v>
      </c>
      <c r="AA1847" s="4">
        <f>=ROUNDDOWN(24,0)</f>
      </c>
      <c r="AB1847" s="5">
        <v>3</v>
      </c>
      <c r="AC1847" s="2" t="s">
        <v>1372</v>
      </c>
      <c r="AD1847" s="4">
        <v>60</v>
      </c>
      <c r="AE1847" s="4">
        <v>60</v>
      </c>
      <c r="AF1847" s="6">
        <v>69</v>
      </c>
      <c r="AG1847" s="6"/>
      <c r="AH1847" s="7">
        <v>1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 t="s">
        <v>100</v>
      </c>
      <c r="AW1847" s="8" t="s">
        <v>100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/>
      <c r="BJ1847" s="4">
        <v>1</v>
      </c>
      <c r="BK1847" s="8">
        <v>95.85</v>
      </c>
      <c r="BL1847" s="2" t="s">
        <v>715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109</v>
      </c>
      <c r="BV1847" s="2" t="s">
        <v>97</v>
      </c>
      <c r="BW1847" s="2" t="s">
        <v>2513</v>
      </c>
      <c r="BX1847" s="2" t="s">
        <v>2288</v>
      </c>
      <c r="BY1847" s="2" t="s">
        <v>112</v>
      </c>
      <c r="BZ1847" s="2" t="s">
        <v>100</v>
      </c>
    </row>
    <row r="1848">
      <c r="A1848" s="2" t="s">
        <v>5356</v>
      </c>
      <c r="B1848" s="2" t="s">
        <v>87</v>
      </c>
      <c r="C1848" s="2" t="s">
        <v>5155</v>
      </c>
      <c r="D1848" s="2" t="s">
        <v>3079</v>
      </c>
      <c r="E1848" s="2" t="s">
        <v>3080</v>
      </c>
      <c r="F1848" s="2" t="s">
        <v>5290</v>
      </c>
      <c r="G1848" s="2" t="s">
        <v>100</v>
      </c>
      <c r="H1848" s="2" t="s">
        <v>100</v>
      </c>
      <c r="I1848" s="2" t="s">
        <v>5357</v>
      </c>
      <c r="J1848" s="2" t="s">
        <v>120</v>
      </c>
      <c r="K1848" s="2" t="s">
        <v>175</v>
      </c>
      <c r="L1848" s="3">
        <v>109.19</v>
      </c>
      <c r="M1848" s="3">
        <v>114.65</v>
      </c>
      <c r="N1848" s="3">
        <v>224.99</v>
      </c>
      <c r="O1848" s="2" t="s">
        <v>97</v>
      </c>
      <c r="P1848" s="2" t="s">
        <v>98</v>
      </c>
      <c r="Q1848" s="2" t="s">
        <v>99</v>
      </c>
      <c r="R1848" s="2" t="s">
        <v>100</v>
      </c>
      <c r="S1848" s="2" t="s">
        <v>5297</v>
      </c>
      <c r="T1848" s="2" t="s">
        <v>100</v>
      </c>
      <c r="U1848" s="2" t="s">
        <v>100</v>
      </c>
      <c r="V1848" s="2" t="s">
        <v>608</v>
      </c>
      <c r="W1848" s="2" t="s">
        <v>345</v>
      </c>
      <c r="X1848" s="2" t="s">
        <v>646</v>
      </c>
      <c r="Y1848" s="2" t="s">
        <v>5298</v>
      </c>
      <c r="Z1848" s="4">
        <v>81</v>
      </c>
      <c r="AA1848" s="4">
        <f>=ROUNDDOWN(27,0)</f>
      </c>
      <c r="AB1848" s="5">
        <v>3</v>
      </c>
      <c r="AC1848" s="2" t="s">
        <v>1372</v>
      </c>
      <c r="AD1848" s="4">
        <v>5</v>
      </c>
      <c r="AE1848" s="4">
        <v>85</v>
      </c>
      <c r="AF1848" s="6">
        <v>69</v>
      </c>
      <c r="AG1848" s="6"/>
      <c r="AH1848" s="7">
        <v>1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>
        <v>0</v>
      </c>
      <c r="AP1848" s="4"/>
      <c r="AQ1848" s="8"/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/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/>
      <c r="BJ1848" s="4">
        <v>1</v>
      </c>
      <c r="BK1848" s="8">
        <v>91.16</v>
      </c>
      <c r="BL1848" s="2" t="s">
        <v>133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109</v>
      </c>
      <c r="BV1848" s="2" t="s">
        <v>97</v>
      </c>
      <c r="BW1848" s="2" t="s">
        <v>2513</v>
      </c>
      <c r="BX1848" s="2" t="s">
        <v>437</v>
      </c>
      <c r="BY1848" s="2" t="s">
        <v>112</v>
      </c>
      <c r="BZ1848" s="2" t="s">
        <v>100</v>
      </c>
    </row>
    <row r="1849">
      <c r="A1849" s="2" t="s">
        <v>5358</v>
      </c>
      <c r="B1849" s="2" t="s">
        <v>87</v>
      </c>
      <c r="C1849" s="2" t="s">
        <v>5155</v>
      </c>
      <c r="D1849" s="2" t="s">
        <v>2230</v>
      </c>
      <c r="E1849" s="2" t="s">
        <v>3064</v>
      </c>
      <c r="F1849" s="2" t="s">
        <v>5359</v>
      </c>
      <c r="G1849" s="2" t="s">
        <v>5359</v>
      </c>
      <c r="H1849" s="2" t="s">
        <v>5359</v>
      </c>
      <c r="I1849" s="2" t="s">
        <v>5360</v>
      </c>
      <c r="J1849" s="2" t="s">
        <v>785</v>
      </c>
      <c r="K1849" s="2" t="s">
        <v>340</v>
      </c>
      <c r="L1849" s="3">
        <v>75</v>
      </c>
      <c r="M1849" s="3">
        <v>78.74</v>
      </c>
      <c r="N1849" s="3">
        <v>164.99</v>
      </c>
      <c r="O1849" s="2" t="s">
        <v>97</v>
      </c>
      <c r="P1849" s="2" t="s">
        <v>98</v>
      </c>
      <c r="Q1849" s="2" t="s">
        <v>99</v>
      </c>
      <c r="R1849" s="2" t="s">
        <v>100</v>
      </c>
      <c r="S1849" s="2" t="s">
        <v>5361</v>
      </c>
      <c r="T1849" s="2" t="s">
        <v>359</v>
      </c>
      <c r="U1849" s="2" t="s">
        <v>1459</v>
      </c>
      <c r="V1849" s="2" t="s">
        <v>551</v>
      </c>
      <c r="W1849" s="2" t="s">
        <v>551</v>
      </c>
      <c r="X1849" s="2" t="s">
        <v>345</v>
      </c>
      <c r="Y1849" s="2" t="s">
        <v>131</v>
      </c>
      <c r="Z1849" s="4">
        <v>30</v>
      </c>
      <c r="AA1849" s="4">
        <f>=ROUNDDOWN(2.72727272727273,0)</f>
      </c>
      <c r="AB1849" s="5">
        <v>11</v>
      </c>
      <c r="AC1849" s="2" t="s">
        <v>900</v>
      </c>
      <c r="AD1849" s="4">
        <v>108</v>
      </c>
      <c r="AE1849" s="4">
        <v>348</v>
      </c>
      <c r="AF1849" s="6">
        <v>68</v>
      </c>
      <c r="AG1849" s="6"/>
      <c r="AH1849" s="7">
        <v>1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>
        <v>0</v>
      </c>
      <c r="AP1849" s="4">
        <v>1</v>
      </c>
      <c r="AQ1849" s="8">
        <v>82.69</v>
      </c>
      <c r="AR1849" s="4"/>
      <c r="AS1849" s="8"/>
      <c r="AT1849" s="7"/>
      <c r="AU1849" s="7"/>
      <c r="AV1849" s="4">
        <v>1</v>
      </c>
      <c r="AW1849" s="8">
        <v>82.69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>
        <v>1</v>
      </c>
      <c r="BC1849" s="4">
        <v>1</v>
      </c>
      <c r="BD1849" s="8">
        <v>82.69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>
        <v>1</v>
      </c>
      <c r="BJ1849" s="4">
        <v>14</v>
      </c>
      <c r="BK1849" s="8">
        <v>1160.66</v>
      </c>
      <c r="BL1849" s="2" t="s">
        <v>5362</v>
      </c>
      <c r="BM1849" s="7">
        <v>0.0714</v>
      </c>
      <c r="BN1849" s="7">
        <v>0.0712</v>
      </c>
      <c r="BO1849" s="4">
        <v>1</v>
      </c>
      <c r="BP1849" s="8">
        <v>82.69</v>
      </c>
      <c r="BQ1849" s="4"/>
      <c r="BR1849" s="8"/>
      <c r="BS1849" s="7"/>
      <c r="BT1849" s="7"/>
      <c r="BU1849" s="2" t="s">
        <v>109</v>
      </c>
      <c r="BV1849" s="2" t="s">
        <v>97</v>
      </c>
      <c r="BW1849" s="2" t="s">
        <v>4114</v>
      </c>
      <c r="BX1849" s="2" t="s">
        <v>1243</v>
      </c>
      <c r="BY1849" s="2" t="s">
        <v>112</v>
      </c>
      <c r="BZ1849" s="2" t="s">
        <v>100</v>
      </c>
    </row>
    <row r="1850">
      <c r="A1850" s="2" t="s">
        <v>5363</v>
      </c>
      <c r="B1850" s="2" t="s">
        <v>87</v>
      </c>
      <c r="C1850" s="2" t="s">
        <v>5155</v>
      </c>
      <c r="D1850" s="2" t="s">
        <v>2230</v>
      </c>
      <c r="E1850" s="2" t="s">
        <v>3064</v>
      </c>
      <c r="F1850" s="2" t="s">
        <v>5359</v>
      </c>
      <c r="G1850" s="2" t="s">
        <v>5359</v>
      </c>
      <c r="H1850" s="2" t="s">
        <v>5359</v>
      </c>
      <c r="I1850" s="2" t="s">
        <v>5360</v>
      </c>
      <c r="J1850" s="2" t="s">
        <v>795</v>
      </c>
      <c r="K1850" s="2" t="s">
        <v>340</v>
      </c>
      <c r="L1850" s="3">
        <v>85</v>
      </c>
      <c r="M1850" s="3">
        <v>89.24</v>
      </c>
      <c r="N1850" s="3">
        <v>189.99</v>
      </c>
      <c r="O1850" s="2" t="s">
        <v>97</v>
      </c>
      <c r="P1850" s="2" t="s">
        <v>98</v>
      </c>
      <c r="Q1850" s="2" t="s">
        <v>99</v>
      </c>
      <c r="R1850" s="2" t="s">
        <v>100</v>
      </c>
      <c r="S1850" s="2" t="s">
        <v>5361</v>
      </c>
      <c r="T1850" s="2" t="s">
        <v>359</v>
      </c>
      <c r="U1850" s="2" t="s">
        <v>1459</v>
      </c>
      <c r="V1850" s="2" t="s">
        <v>551</v>
      </c>
      <c r="W1850" s="2" t="s">
        <v>551</v>
      </c>
      <c r="X1850" s="2" t="s">
        <v>345</v>
      </c>
      <c r="Y1850" s="2" t="s">
        <v>131</v>
      </c>
      <c r="Z1850" s="4">
        <v>159</v>
      </c>
      <c r="AA1850" s="4">
        <f>=ROUNDDOWN(9.9375,0)</f>
      </c>
      <c r="AB1850" s="5">
        <v>16</v>
      </c>
      <c r="AC1850" s="2" t="s">
        <v>900</v>
      </c>
      <c r="AD1850" s="4">
        <v>110</v>
      </c>
      <c r="AE1850" s="4">
        <v>370</v>
      </c>
      <c r="AF1850" s="6">
        <v>68</v>
      </c>
      <c r="AG1850" s="6"/>
      <c r="AH1850" s="7">
        <v>1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>
        <v>0</v>
      </c>
      <c r="AP1850" s="4"/>
      <c r="AQ1850" s="8"/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/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 t="s">
        <v>100</v>
      </c>
      <c r="BJ1850" s="4">
        <v>10</v>
      </c>
      <c r="BK1850" s="8">
        <v>927.03</v>
      </c>
      <c r="BL1850" s="2" t="s">
        <v>2581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109</v>
      </c>
      <c r="BV1850" s="2" t="s">
        <v>97</v>
      </c>
      <c r="BW1850" s="2" t="s">
        <v>4114</v>
      </c>
      <c r="BX1850" s="2" t="s">
        <v>3421</v>
      </c>
      <c r="BY1850" s="2" t="s">
        <v>112</v>
      </c>
      <c r="BZ1850" s="2" t="s">
        <v>100</v>
      </c>
    </row>
    <row r="1851">
      <c r="A1851" s="2" t="s">
        <v>5364</v>
      </c>
      <c r="B1851" s="2" t="s">
        <v>87</v>
      </c>
      <c r="C1851" s="2" t="s">
        <v>5155</v>
      </c>
      <c r="D1851" s="2" t="s">
        <v>2230</v>
      </c>
      <c r="E1851" s="2" t="s">
        <v>3064</v>
      </c>
      <c r="F1851" s="2" t="s">
        <v>5359</v>
      </c>
      <c r="G1851" s="2" t="s">
        <v>5359</v>
      </c>
      <c r="H1851" s="2" t="s">
        <v>5359</v>
      </c>
      <c r="I1851" s="2" t="s">
        <v>5360</v>
      </c>
      <c r="J1851" s="2" t="s">
        <v>785</v>
      </c>
      <c r="K1851" s="2" t="s">
        <v>163</v>
      </c>
      <c r="L1851" s="3">
        <v>75</v>
      </c>
      <c r="M1851" s="3">
        <v>78.74</v>
      </c>
      <c r="N1851" s="3">
        <v>164.99</v>
      </c>
      <c r="O1851" s="2" t="s">
        <v>97</v>
      </c>
      <c r="P1851" s="2" t="s">
        <v>587</v>
      </c>
      <c r="Q1851" s="2" t="s">
        <v>99</v>
      </c>
      <c r="R1851" s="2" t="s">
        <v>100</v>
      </c>
      <c r="S1851" s="2" t="s">
        <v>5365</v>
      </c>
      <c r="T1851" s="2" t="s">
        <v>359</v>
      </c>
      <c r="U1851" s="2" t="s">
        <v>1459</v>
      </c>
      <c r="V1851" s="2" t="s">
        <v>551</v>
      </c>
      <c r="W1851" s="2" t="s">
        <v>551</v>
      </c>
      <c r="X1851" s="2" t="s">
        <v>345</v>
      </c>
      <c r="Y1851" s="2" t="s">
        <v>5366</v>
      </c>
      <c r="Z1851" s="4">
        <v>66</v>
      </c>
      <c r="AA1851" s="4">
        <f>=ROUNDDOWN(11,0)</f>
      </c>
      <c r="AB1851" s="5">
        <v>6</v>
      </c>
      <c r="AC1851" s="2" t="s">
        <v>1678</v>
      </c>
      <c r="AD1851" s="4">
        <v>155</v>
      </c>
      <c r="AE1851" s="4">
        <v>155</v>
      </c>
      <c r="AF1851" s="6">
        <v>68</v>
      </c>
      <c r="AG1851" s="6"/>
      <c r="AH1851" s="7">
        <v>1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 t="s">
        <v>100</v>
      </c>
      <c r="BJ1851" s="4">
        <v>7</v>
      </c>
      <c r="BK1851" s="8">
        <v>594.96</v>
      </c>
      <c r="BL1851" s="2" t="s">
        <v>5367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3088</v>
      </c>
      <c r="BV1851" s="2" t="s">
        <v>97</v>
      </c>
      <c r="BW1851" s="2" t="s">
        <v>100</v>
      </c>
      <c r="BX1851" s="2" t="s">
        <v>100</v>
      </c>
      <c r="BY1851" s="2" t="s">
        <v>112</v>
      </c>
      <c r="BZ1851" s="2" t="s">
        <v>100</v>
      </c>
    </row>
    <row r="1852">
      <c r="A1852" s="2" t="s">
        <v>5368</v>
      </c>
      <c r="B1852" s="2" t="s">
        <v>87</v>
      </c>
      <c r="C1852" s="2" t="s">
        <v>5155</v>
      </c>
      <c r="D1852" s="2" t="s">
        <v>2230</v>
      </c>
      <c r="E1852" s="2" t="s">
        <v>3064</v>
      </c>
      <c r="F1852" s="2" t="s">
        <v>5359</v>
      </c>
      <c r="G1852" s="2" t="s">
        <v>5359</v>
      </c>
      <c r="H1852" s="2" t="s">
        <v>5359</v>
      </c>
      <c r="I1852" s="2" t="s">
        <v>5360</v>
      </c>
      <c r="J1852" s="2" t="s">
        <v>795</v>
      </c>
      <c r="K1852" s="2" t="s">
        <v>163</v>
      </c>
      <c r="L1852" s="3">
        <v>85</v>
      </c>
      <c r="M1852" s="3">
        <v>89.24</v>
      </c>
      <c r="N1852" s="3">
        <v>189.99</v>
      </c>
      <c r="O1852" s="2" t="s">
        <v>97</v>
      </c>
      <c r="P1852" s="2" t="s">
        <v>587</v>
      </c>
      <c r="Q1852" s="2" t="s">
        <v>99</v>
      </c>
      <c r="R1852" s="2" t="s">
        <v>100</v>
      </c>
      <c r="S1852" s="2" t="s">
        <v>5365</v>
      </c>
      <c r="T1852" s="2" t="s">
        <v>359</v>
      </c>
      <c r="U1852" s="2" t="s">
        <v>1459</v>
      </c>
      <c r="V1852" s="2" t="s">
        <v>551</v>
      </c>
      <c r="W1852" s="2" t="s">
        <v>551</v>
      </c>
      <c r="X1852" s="2" t="s">
        <v>345</v>
      </c>
      <c r="Y1852" s="2" t="s">
        <v>5366</v>
      </c>
      <c r="Z1852" s="4">
        <v>193</v>
      </c>
      <c r="AA1852" s="4">
        <f>=ROUNDDOWN(38.6,0)</f>
      </c>
      <c r="AB1852" s="5">
        <v>5</v>
      </c>
      <c r="AC1852" s="2" t="s">
        <v>1678</v>
      </c>
      <c r="AD1852" s="4">
        <v>60</v>
      </c>
      <c r="AE1852" s="4">
        <v>60</v>
      </c>
      <c r="AF1852" s="6">
        <v>68</v>
      </c>
      <c r="AG1852" s="6"/>
      <c r="AH1852" s="7">
        <v>1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>
        <v>0</v>
      </c>
      <c r="AP1852" s="4"/>
      <c r="AQ1852" s="8"/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/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 t="s">
        <v>100</v>
      </c>
      <c r="BJ1852" s="4">
        <v>5</v>
      </c>
      <c r="BK1852" s="8">
        <v>407.73</v>
      </c>
      <c r="BL1852" s="2" t="s">
        <v>5369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3088</v>
      </c>
      <c r="BV1852" s="2" t="s">
        <v>97</v>
      </c>
      <c r="BW1852" s="2" t="s">
        <v>100</v>
      </c>
      <c r="BX1852" s="2" t="s">
        <v>100</v>
      </c>
      <c r="BY1852" s="2" t="s">
        <v>112</v>
      </c>
      <c r="BZ1852" s="2" t="s">
        <v>100</v>
      </c>
    </row>
    <row r="1853">
      <c r="A1853" s="2" t="s">
        <v>5370</v>
      </c>
      <c r="B1853" s="2" t="s">
        <v>87</v>
      </c>
      <c r="C1853" s="2" t="s">
        <v>5155</v>
      </c>
      <c r="D1853" s="2" t="s">
        <v>4554</v>
      </c>
      <c r="E1853" s="2" t="s">
        <v>4555</v>
      </c>
      <c r="F1853" s="2" t="s">
        <v>5174</v>
      </c>
      <c r="G1853" s="2" t="s">
        <v>100</v>
      </c>
      <c r="H1853" s="2" t="s">
        <v>100</v>
      </c>
      <c r="I1853" s="2" t="s">
        <v>5371</v>
      </c>
      <c r="J1853" s="2" t="s">
        <v>4608</v>
      </c>
      <c r="K1853" s="2" t="s">
        <v>253</v>
      </c>
      <c r="L1853" s="3">
        <v>11.4</v>
      </c>
      <c r="M1853" s="3">
        <v>11.97</v>
      </c>
      <c r="N1853" s="3">
        <v>32.99</v>
      </c>
      <c r="O1853" s="2" t="s">
        <v>97</v>
      </c>
      <c r="P1853" s="2" t="s">
        <v>587</v>
      </c>
      <c r="Q1853" s="2" t="s">
        <v>99</v>
      </c>
      <c r="R1853" s="2" t="s">
        <v>100</v>
      </c>
      <c r="S1853" s="2" t="s">
        <v>5175</v>
      </c>
      <c r="T1853" s="2" t="s">
        <v>100</v>
      </c>
      <c r="U1853" s="2" t="s">
        <v>100</v>
      </c>
      <c r="V1853" s="2" t="s">
        <v>551</v>
      </c>
      <c r="W1853" s="2" t="s">
        <v>551</v>
      </c>
      <c r="X1853" s="2" t="s">
        <v>345</v>
      </c>
      <c r="Y1853" s="2" t="s">
        <v>131</v>
      </c>
      <c r="Z1853" s="4">
        <v>103</v>
      </c>
      <c r="AA1853" s="4">
        <f>=ROUNDDOWN(25.75,0)</f>
      </c>
      <c r="AB1853" s="5">
        <v>4</v>
      </c>
      <c r="AC1853" s="2" t="s">
        <v>2552</v>
      </c>
      <c r="AD1853" s="4">
        <v>62</v>
      </c>
      <c r="AE1853" s="4">
        <v>62</v>
      </c>
      <c r="AF1853" s="6">
        <v>66</v>
      </c>
      <c r="AG1853" s="6"/>
      <c r="AH1853" s="7">
        <v>1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>
        <v>0</v>
      </c>
      <c r="AP1853" s="4">
        <v>2</v>
      </c>
      <c r="AQ1853" s="8">
        <v>25.12</v>
      </c>
      <c r="AR1853" s="4"/>
      <c r="AS1853" s="8"/>
      <c r="AT1853" s="7"/>
      <c r="AU1853" s="7"/>
      <c r="AV1853" s="4">
        <v>2</v>
      </c>
      <c r="AW1853" s="8">
        <v>25.12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>
        <v>1</v>
      </c>
      <c r="BC1853" s="4">
        <v>2</v>
      </c>
      <c r="BD1853" s="8">
        <v>25.12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>
        <v>1</v>
      </c>
      <c r="BJ1853" s="4">
        <v>5</v>
      </c>
      <c r="BK1853" s="8">
        <v>57.22</v>
      </c>
      <c r="BL1853" s="2" t="s">
        <v>380</v>
      </c>
      <c r="BM1853" s="7">
        <v>0.4</v>
      </c>
      <c r="BN1853" s="7">
        <v>0.439</v>
      </c>
      <c r="BO1853" s="4">
        <v>2</v>
      </c>
      <c r="BP1853" s="8">
        <v>25.12</v>
      </c>
      <c r="BQ1853" s="4"/>
      <c r="BR1853" s="8"/>
      <c r="BS1853" s="7"/>
      <c r="BT1853" s="7"/>
      <c r="BU1853" s="2" t="s">
        <v>109</v>
      </c>
      <c r="BV1853" s="2" t="s">
        <v>97</v>
      </c>
      <c r="BW1853" s="2" t="s">
        <v>4114</v>
      </c>
      <c r="BX1853" s="2" t="s">
        <v>5372</v>
      </c>
      <c r="BY1853" s="2" t="s">
        <v>112</v>
      </c>
      <c r="BZ1853" s="2" t="s">
        <v>100</v>
      </c>
    </row>
    <row r="1854">
      <c r="A1854" s="2" t="s">
        <v>5373</v>
      </c>
      <c r="B1854" s="2" t="s">
        <v>87</v>
      </c>
      <c r="C1854" s="2" t="s">
        <v>5155</v>
      </c>
      <c r="D1854" s="2" t="s">
        <v>4554</v>
      </c>
      <c r="E1854" s="2" t="s">
        <v>4555</v>
      </c>
      <c r="F1854" s="2" t="s">
        <v>5174</v>
      </c>
      <c r="G1854" s="2" t="s">
        <v>100</v>
      </c>
      <c r="H1854" s="2" t="s">
        <v>100</v>
      </c>
      <c r="I1854" s="2" t="s">
        <v>5374</v>
      </c>
      <c r="J1854" s="2" t="s">
        <v>4578</v>
      </c>
      <c r="K1854" s="2" t="s">
        <v>253</v>
      </c>
      <c r="L1854" s="3">
        <v>24.29</v>
      </c>
      <c r="M1854" s="3">
        <v>25.5</v>
      </c>
      <c r="N1854" s="3">
        <v>49.99</v>
      </c>
      <c r="O1854" s="2" t="s">
        <v>97</v>
      </c>
      <c r="P1854" s="2" t="s">
        <v>587</v>
      </c>
      <c r="Q1854" s="2" t="s">
        <v>99</v>
      </c>
      <c r="R1854" s="2" t="s">
        <v>100</v>
      </c>
      <c r="S1854" s="2" t="s">
        <v>5175</v>
      </c>
      <c r="T1854" s="2" t="s">
        <v>100</v>
      </c>
      <c r="U1854" s="2" t="s">
        <v>100</v>
      </c>
      <c r="V1854" s="2" t="s">
        <v>551</v>
      </c>
      <c r="W1854" s="2" t="s">
        <v>551</v>
      </c>
      <c r="X1854" s="2" t="s">
        <v>345</v>
      </c>
      <c r="Y1854" s="2" t="s">
        <v>131</v>
      </c>
      <c r="Z1854" s="4">
        <v>228</v>
      </c>
      <c r="AA1854" s="4">
        <f>=ROUNDDOWN(32.5714285714286,0)</f>
      </c>
      <c r="AB1854" s="5">
        <v>7</v>
      </c>
      <c r="AC1854" s="2" t="s">
        <v>2552</v>
      </c>
      <c r="AD1854" s="4">
        <v>150</v>
      </c>
      <c r="AE1854" s="4">
        <v>150</v>
      </c>
      <c r="AF1854" s="6">
        <v>66</v>
      </c>
      <c r="AG1854" s="6"/>
      <c r="AH1854" s="7">
        <v>1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>
        <v>0</v>
      </c>
      <c r="AP1854" s="4"/>
      <c r="AQ1854" s="8"/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/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 t="s">
        <v>100</v>
      </c>
      <c r="BJ1854" s="4">
        <v>6</v>
      </c>
      <c r="BK1854" s="8">
        <v>125.3</v>
      </c>
      <c r="BL1854" s="2" t="s">
        <v>887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109</v>
      </c>
      <c r="BV1854" s="2" t="s">
        <v>97</v>
      </c>
      <c r="BW1854" s="2" t="s">
        <v>4114</v>
      </c>
      <c r="BX1854" s="2" t="s">
        <v>5375</v>
      </c>
      <c r="BY1854" s="2" t="s">
        <v>112</v>
      </c>
      <c r="BZ1854" s="2" t="s">
        <v>100</v>
      </c>
    </row>
    <row r="1855">
      <c r="A1855" s="2" t="s">
        <v>5376</v>
      </c>
      <c r="B1855" s="2" t="s">
        <v>87</v>
      </c>
      <c r="C1855" s="2" t="s">
        <v>5155</v>
      </c>
      <c r="D1855" s="2" t="s">
        <v>4554</v>
      </c>
      <c r="E1855" s="2" t="s">
        <v>4555</v>
      </c>
      <c r="F1855" s="2" t="s">
        <v>5183</v>
      </c>
      <c r="G1855" s="2" t="s">
        <v>5183</v>
      </c>
      <c r="H1855" s="2" t="s">
        <v>5183</v>
      </c>
      <c r="I1855" s="2" t="s">
        <v>5377</v>
      </c>
      <c r="J1855" s="2" t="s">
        <v>4608</v>
      </c>
      <c r="K1855" s="2" t="s">
        <v>175</v>
      </c>
      <c r="L1855" s="3">
        <v>15.75</v>
      </c>
      <c r="M1855" s="3">
        <v>16.53</v>
      </c>
      <c r="N1855" s="3">
        <v>34.99</v>
      </c>
      <c r="O1855" s="2" t="s">
        <v>97</v>
      </c>
      <c r="P1855" s="2" t="s">
        <v>281</v>
      </c>
      <c r="Q1855" s="2" t="s">
        <v>99</v>
      </c>
      <c r="R1855" s="2" t="s">
        <v>100</v>
      </c>
      <c r="S1855" s="2" t="s">
        <v>5378</v>
      </c>
      <c r="T1855" s="2" t="s">
        <v>100</v>
      </c>
      <c r="U1855" s="2" t="s">
        <v>100</v>
      </c>
      <c r="V1855" s="2" t="s">
        <v>103</v>
      </c>
      <c r="W1855" s="2" t="s">
        <v>345</v>
      </c>
      <c r="X1855" s="2" t="s">
        <v>551</v>
      </c>
      <c r="Y1855" s="2" t="s">
        <v>5167</v>
      </c>
      <c r="Z1855" s="4">
        <v>24</v>
      </c>
      <c r="AA1855" s="4">
        <f>=ROUNDDOWN(1.84615384615385,0)</f>
      </c>
      <c r="AB1855" s="5">
        <v>13</v>
      </c>
      <c r="AC1855" s="2" t="s">
        <v>400</v>
      </c>
      <c r="AD1855" s="4">
        <v>100</v>
      </c>
      <c r="AE1855" s="4">
        <v>350</v>
      </c>
      <c r="AF1855" s="6">
        <v>64</v>
      </c>
      <c r="AG1855" s="6"/>
      <c r="AH1855" s="7">
        <v>1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/>
      <c r="BJ1855" s="4">
        <v>12</v>
      </c>
      <c r="BK1855" s="8">
        <v>198.29</v>
      </c>
      <c r="BL1855" s="2" t="s">
        <v>5379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109</v>
      </c>
      <c r="BV1855" s="2" t="s">
        <v>97</v>
      </c>
      <c r="BW1855" s="2" t="s">
        <v>5380</v>
      </c>
      <c r="BX1855" s="2" t="s">
        <v>5381</v>
      </c>
      <c r="BY1855" s="2" t="s">
        <v>112</v>
      </c>
      <c r="BZ1855" s="2" t="s">
        <v>100</v>
      </c>
    </row>
    <row r="1856">
      <c r="A1856" s="2" t="s">
        <v>5382</v>
      </c>
      <c r="B1856" s="2" t="s">
        <v>87</v>
      </c>
      <c r="C1856" s="2" t="s">
        <v>5155</v>
      </c>
      <c r="D1856" s="2" t="s">
        <v>4554</v>
      </c>
      <c r="E1856" s="2" t="s">
        <v>4555</v>
      </c>
      <c r="F1856" s="2" t="s">
        <v>5183</v>
      </c>
      <c r="G1856" s="2" t="s">
        <v>5183</v>
      </c>
      <c r="H1856" s="2" t="s">
        <v>5183</v>
      </c>
      <c r="I1856" s="2" t="s">
        <v>5383</v>
      </c>
      <c r="J1856" s="2" t="s">
        <v>4578</v>
      </c>
      <c r="K1856" s="2" t="s">
        <v>175</v>
      </c>
      <c r="L1856" s="3">
        <v>18.8</v>
      </c>
      <c r="M1856" s="3">
        <v>19.74</v>
      </c>
      <c r="N1856" s="3">
        <v>39.99</v>
      </c>
      <c r="O1856" s="2" t="s">
        <v>97</v>
      </c>
      <c r="P1856" s="2" t="s">
        <v>281</v>
      </c>
      <c r="Q1856" s="2" t="s">
        <v>99</v>
      </c>
      <c r="R1856" s="2" t="s">
        <v>100</v>
      </c>
      <c r="S1856" s="2" t="s">
        <v>5378</v>
      </c>
      <c r="T1856" s="2" t="s">
        <v>100</v>
      </c>
      <c r="U1856" s="2" t="s">
        <v>100</v>
      </c>
      <c r="V1856" s="2" t="s">
        <v>734</v>
      </c>
      <c r="W1856" s="2" t="s">
        <v>345</v>
      </c>
      <c r="X1856" s="2" t="s">
        <v>551</v>
      </c>
      <c r="Y1856" s="2" t="s">
        <v>5167</v>
      </c>
      <c r="Z1856" s="4">
        <v>53</v>
      </c>
      <c r="AA1856" s="4">
        <f>=ROUNDDOWN(5.88888888888889,0)</f>
      </c>
      <c r="AB1856" s="5">
        <v>9</v>
      </c>
      <c r="AC1856" s="2" t="s">
        <v>1629</v>
      </c>
      <c r="AD1856" s="4">
        <v>200</v>
      </c>
      <c r="AE1856" s="4">
        <v>280</v>
      </c>
      <c r="AF1856" s="6">
        <v>64</v>
      </c>
      <c r="AG1856" s="6"/>
      <c r="AH1856" s="7">
        <v>1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>
        <v>0</v>
      </c>
      <c r="AP1856" s="4"/>
      <c r="AQ1856" s="8"/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/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/>
      <c r="BJ1856" s="4">
        <v>10</v>
      </c>
      <c r="BK1856" s="8">
        <v>186.37</v>
      </c>
      <c r="BL1856" s="2" t="s">
        <v>5384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109</v>
      </c>
      <c r="BV1856" s="2" t="s">
        <v>97</v>
      </c>
      <c r="BW1856" s="2" t="s">
        <v>4114</v>
      </c>
      <c r="BX1856" s="2" t="s">
        <v>2072</v>
      </c>
      <c r="BY1856" s="2" t="s">
        <v>112</v>
      </c>
      <c r="BZ1856" s="2" t="s">
        <v>100</v>
      </c>
    </row>
    <row r="1857">
      <c r="A1857" s="2" t="s">
        <v>5385</v>
      </c>
      <c r="B1857" s="2" t="s">
        <v>87</v>
      </c>
      <c r="C1857" s="2" t="s">
        <v>5155</v>
      </c>
      <c r="D1857" s="2" t="s">
        <v>4554</v>
      </c>
      <c r="E1857" s="2" t="s">
        <v>4555</v>
      </c>
      <c r="F1857" s="2" t="s">
        <v>5197</v>
      </c>
      <c r="G1857" s="2" t="s">
        <v>5197</v>
      </c>
      <c r="H1857" s="2" t="s">
        <v>5197</v>
      </c>
      <c r="I1857" s="2" t="s">
        <v>4582</v>
      </c>
      <c r="J1857" s="2" t="s">
        <v>4564</v>
      </c>
      <c r="K1857" s="2" t="s">
        <v>253</v>
      </c>
      <c r="L1857" s="3">
        <v>13.65</v>
      </c>
      <c r="M1857" s="3">
        <v>14.33</v>
      </c>
      <c r="N1857" s="3">
        <v>32.99</v>
      </c>
      <c r="O1857" s="2" t="s">
        <v>97</v>
      </c>
      <c r="P1857" s="2" t="s">
        <v>587</v>
      </c>
      <c r="Q1857" s="2" t="s">
        <v>99</v>
      </c>
      <c r="R1857" s="2" t="s">
        <v>100</v>
      </c>
      <c r="S1857" s="2" t="s">
        <v>5199</v>
      </c>
      <c r="T1857" s="2" t="s">
        <v>100</v>
      </c>
      <c r="U1857" s="2" t="s">
        <v>100</v>
      </c>
      <c r="V1857" s="2" t="s">
        <v>632</v>
      </c>
      <c r="W1857" s="2" t="s">
        <v>244</v>
      </c>
      <c r="X1857" s="2" t="s">
        <v>345</v>
      </c>
      <c r="Y1857" s="2" t="s">
        <v>131</v>
      </c>
      <c r="Z1857" s="4">
        <v>90</v>
      </c>
      <c r="AA1857" s="4">
        <f>=ROUNDDOWN(45,0)</f>
      </c>
      <c r="AB1857" s="5">
        <v>2</v>
      </c>
      <c r="AC1857" s="2" t="s">
        <v>429</v>
      </c>
      <c r="AD1857" s="4">
        <v>75</v>
      </c>
      <c r="AE1857" s="4">
        <v>75</v>
      </c>
      <c r="AF1857" s="6">
        <v>66</v>
      </c>
      <c r="AG1857" s="6"/>
      <c r="AH1857" s="7">
        <v>1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>
        <v>0</v>
      </c>
      <c r="AP1857" s="4"/>
      <c r="AQ1857" s="8"/>
      <c r="AR1857" s="4"/>
      <c r="AS1857" s="8"/>
      <c r="AT1857" s="7"/>
      <c r="AU1857" s="7"/>
      <c r="AV1857" s="4"/>
      <c r="AW1857" s="8"/>
      <c r="AX1857" s="4"/>
      <c r="AY1857" s="8"/>
      <c r="AZ1857" s="7"/>
      <c r="BA1857" s="7"/>
      <c r="BB1857" s="7"/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/>
      <c r="BJ1857" s="4">
        <v>1</v>
      </c>
      <c r="BK1857" s="8">
        <v>13.94</v>
      </c>
      <c r="BL1857" s="2" t="s">
        <v>715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109</v>
      </c>
      <c r="BV1857" s="2" t="s">
        <v>97</v>
      </c>
      <c r="BW1857" s="2" t="s">
        <v>4114</v>
      </c>
      <c r="BX1857" s="2" t="s">
        <v>3054</v>
      </c>
      <c r="BY1857" s="2" t="s">
        <v>112</v>
      </c>
      <c r="BZ1857" s="2" t="s">
        <v>100</v>
      </c>
    </row>
    <row r="1858">
      <c r="A1858" s="2" t="s">
        <v>5386</v>
      </c>
      <c r="B1858" s="2" t="s">
        <v>87</v>
      </c>
      <c r="C1858" s="2" t="s">
        <v>5155</v>
      </c>
      <c r="D1858" s="2" t="s">
        <v>4554</v>
      </c>
      <c r="E1858" s="2" t="s">
        <v>4555</v>
      </c>
      <c r="F1858" s="2" t="s">
        <v>5197</v>
      </c>
      <c r="G1858" s="2" t="s">
        <v>5197</v>
      </c>
      <c r="H1858" s="2" t="s">
        <v>5197</v>
      </c>
      <c r="I1858" s="2" t="s">
        <v>4591</v>
      </c>
      <c r="J1858" s="2" t="s">
        <v>5387</v>
      </c>
      <c r="K1858" s="2" t="s">
        <v>198</v>
      </c>
      <c r="L1858" s="3">
        <v>13.65</v>
      </c>
      <c r="M1858" s="3">
        <v>14.33</v>
      </c>
      <c r="N1858" s="3">
        <v>32.99</v>
      </c>
      <c r="O1858" s="2" t="s">
        <v>97</v>
      </c>
      <c r="P1858" s="2" t="s">
        <v>587</v>
      </c>
      <c r="Q1858" s="2" t="s">
        <v>99</v>
      </c>
      <c r="R1858" s="2" t="s">
        <v>100</v>
      </c>
      <c r="S1858" s="2" t="s">
        <v>5199</v>
      </c>
      <c r="T1858" s="2" t="s">
        <v>100</v>
      </c>
      <c r="U1858" s="2" t="s">
        <v>100</v>
      </c>
      <c r="V1858" s="2" t="s">
        <v>103</v>
      </c>
      <c r="W1858" s="2" t="s">
        <v>244</v>
      </c>
      <c r="X1858" s="2" t="s">
        <v>345</v>
      </c>
      <c r="Y1858" s="2" t="s">
        <v>131</v>
      </c>
      <c r="Z1858" s="4">
        <v>111</v>
      </c>
      <c r="AA1858" s="4">
        <f>=ROUNDDOWN(27.75,0)</f>
      </c>
      <c r="AB1858" s="5">
        <v>4</v>
      </c>
      <c r="AC1858" s="2" t="s">
        <v>429</v>
      </c>
      <c r="AD1858" s="4">
        <v>60</v>
      </c>
      <c r="AE1858" s="4">
        <v>60</v>
      </c>
      <c r="AF1858" s="6">
        <v>66</v>
      </c>
      <c r="AG1858" s="6"/>
      <c r="AH1858" s="7">
        <v>1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>
        <v>0</v>
      </c>
      <c r="AP1858" s="4"/>
      <c r="AQ1858" s="8"/>
      <c r="AR1858" s="4"/>
      <c r="AS1858" s="8"/>
      <c r="AT1858" s="7"/>
      <c r="AU1858" s="7"/>
      <c r="AV1858" s="4"/>
      <c r="AW1858" s="8"/>
      <c r="AX1858" s="4"/>
      <c r="AY1858" s="8"/>
      <c r="AZ1858" s="7"/>
      <c r="BA1858" s="7"/>
      <c r="BB1858" s="7"/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/>
      <c r="BJ1858" s="4">
        <v>3</v>
      </c>
      <c r="BK1858" s="8">
        <v>41.76</v>
      </c>
      <c r="BL1858" s="2" t="s">
        <v>333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109</v>
      </c>
      <c r="BV1858" s="2" t="s">
        <v>97</v>
      </c>
      <c r="BW1858" s="2" t="s">
        <v>5188</v>
      </c>
      <c r="BX1858" s="2" t="s">
        <v>5388</v>
      </c>
      <c r="BY1858" s="2" t="s">
        <v>112</v>
      </c>
      <c r="BZ1858" s="2" t="s">
        <v>100</v>
      </c>
    </row>
    <row r="1859">
      <c r="A1859" s="2" t="s">
        <v>5389</v>
      </c>
      <c r="B1859" s="2" t="s">
        <v>87</v>
      </c>
      <c r="C1859" s="2" t="s">
        <v>5155</v>
      </c>
      <c r="D1859" s="2" t="s">
        <v>4554</v>
      </c>
      <c r="E1859" s="2" t="s">
        <v>4555</v>
      </c>
      <c r="F1859" s="2" t="s">
        <v>5204</v>
      </c>
      <c r="G1859" s="2" t="s">
        <v>5204</v>
      </c>
      <c r="H1859" s="2" t="s">
        <v>5204</v>
      </c>
      <c r="I1859" s="2" t="s">
        <v>5371</v>
      </c>
      <c r="J1859" s="2" t="s">
        <v>5390</v>
      </c>
      <c r="K1859" s="2" t="s">
        <v>340</v>
      </c>
      <c r="L1859" s="3">
        <v>22.5</v>
      </c>
      <c r="M1859" s="3">
        <v>23.62</v>
      </c>
      <c r="N1859" s="3">
        <v>49.99</v>
      </c>
      <c r="O1859" s="2" t="s">
        <v>97</v>
      </c>
      <c r="P1859" s="2" t="s">
        <v>383</v>
      </c>
      <c r="Q1859" s="2" t="s">
        <v>99</v>
      </c>
      <c r="R1859" s="2" t="s">
        <v>100</v>
      </c>
      <c r="S1859" s="2" t="s">
        <v>5206</v>
      </c>
      <c r="T1859" s="2" t="s">
        <v>100</v>
      </c>
      <c r="U1859" s="2" t="s">
        <v>100</v>
      </c>
      <c r="V1859" s="2" t="s">
        <v>551</v>
      </c>
      <c r="W1859" s="2" t="s">
        <v>551</v>
      </c>
      <c r="X1859" s="2" t="s">
        <v>345</v>
      </c>
      <c r="Y1859" s="2" t="s">
        <v>131</v>
      </c>
      <c r="Z1859" s="4">
        <v>122</v>
      </c>
      <c r="AA1859" s="4">
        <f>=ROUNDDOWN(17.4285714285714,0)</f>
      </c>
      <c r="AB1859" s="5">
        <v>7</v>
      </c>
      <c r="AC1859" s="2" t="s">
        <v>5211</v>
      </c>
      <c r="AD1859" s="4">
        <v>110</v>
      </c>
      <c r="AE1859" s="4">
        <v>110</v>
      </c>
      <c r="AF1859" s="6">
        <v>68</v>
      </c>
      <c r="AG1859" s="6"/>
      <c r="AH1859" s="7">
        <v>1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/>
      <c r="AW1859" s="8"/>
      <c r="AX1859" s="4"/>
      <c r="AY1859" s="8"/>
      <c r="AZ1859" s="7"/>
      <c r="BA1859" s="7"/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/>
      <c r="BJ1859" s="4">
        <v>14</v>
      </c>
      <c r="BK1859" s="8">
        <v>349.61</v>
      </c>
      <c r="BL1859" s="2" t="s">
        <v>471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109</v>
      </c>
      <c r="BV1859" s="2" t="s">
        <v>97</v>
      </c>
      <c r="BW1859" s="2" t="s">
        <v>1365</v>
      </c>
      <c r="BX1859" s="2" t="s">
        <v>4125</v>
      </c>
      <c r="BY1859" s="2" t="s">
        <v>112</v>
      </c>
      <c r="BZ1859" s="2" t="s">
        <v>100</v>
      </c>
    </row>
    <row r="1860">
      <c r="A1860" s="2" t="s">
        <v>5391</v>
      </c>
      <c r="B1860" s="2" t="s">
        <v>87</v>
      </c>
      <c r="C1860" s="2" t="s">
        <v>5155</v>
      </c>
      <c r="D1860" s="2" t="s">
        <v>4554</v>
      </c>
      <c r="E1860" s="2" t="s">
        <v>4555</v>
      </c>
      <c r="F1860" s="2" t="s">
        <v>5204</v>
      </c>
      <c r="G1860" s="2" t="s">
        <v>5204</v>
      </c>
      <c r="H1860" s="2" t="s">
        <v>5204</v>
      </c>
      <c r="I1860" s="2" t="s">
        <v>5392</v>
      </c>
      <c r="J1860" s="2" t="s">
        <v>5387</v>
      </c>
      <c r="K1860" s="2" t="s">
        <v>198</v>
      </c>
      <c r="L1860" s="3">
        <v>22.5</v>
      </c>
      <c r="M1860" s="3">
        <v>23.62</v>
      </c>
      <c r="N1860" s="3">
        <v>49.99</v>
      </c>
      <c r="O1860" s="2" t="s">
        <v>97</v>
      </c>
      <c r="P1860" s="2" t="s">
        <v>383</v>
      </c>
      <c r="Q1860" s="2" t="s">
        <v>99</v>
      </c>
      <c r="R1860" s="2" t="s">
        <v>100</v>
      </c>
      <c r="S1860" s="2" t="s">
        <v>5206</v>
      </c>
      <c r="T1860" s="2" t="s">
        <v>100</v>
      </c>
      <c r="U1860" s="2" t="s">
        <v>100</v>
      </c>
      <c r="V1860" s="2" t="s">
        <v>551</v>
      </c>
      <c r="W1860" s="2" t="s">
        <v>551</v>
      </c>
      <c r="X1860" s="2" t="s">
        <v>345</v>
      </c>
      <c r="Y1860" s="2" t="s">
        <v>131</v>
      </c>
      <c r="Z1860" s="4">
        <v>21</v>
      </c>
      <c r="AA1860" s="4">
        <f>=ROUNDDOWN(7,0)</f>
      </c>
      <c r="AB1860" s="5">
        <v>3</v>
      </c>
      <c r="AC1860" s="2" t="s">
        <v>5211</v>
      </c>
      <c r="AD1860" s="4">
        <v>77</v>
      </c>
      <c r="AE1860" s="4">
        <v>77</v>
      </c>
      <c r="AF1860" s="6">
        <v>68</v>
      </c>
      <c r="AG1860" s="6"/>
      <c r="AH1860" s="7">
        <v>1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>
        <v>0</v>
      </c>
      <c r="AP1860" s="4"/>
      <c r="AQ1860" s="8"/>
      <c r="AR1860" s="4"/>
      <c r="AS1860" s="8"/>
      <c r="AT1860" s="7"/>
      <c r="AU1860" s="7"/>
      <c r="AV1860" s="4"/>
      <c r="AW1860" s="8"/>
      <c r="AX1860" s="4"/>
      <c r="AY1860" s="8"/>
      <c r="AZ1860" s="7"/>
      <c r="BA1860" s="7"/>
      <c r="BB1860" s="7"/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/>
      <c r="BJ1860" s="4"/>
      <c r="BK1860" s="8"/>
      <c r="BL1860" s="2" t="s">
        <v>100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109</v>
      </c>
      <c r="BV1860" s="2" t="s">
        <v>97</v>
      </c>
      <c r="BW1860" s="2" t="s">
        <v>4114</v>
      </c>
      <c r="BX1860" s="2" t="s">
        <v>5393</v>
      </c>
      <c r="BY1860" s="2" t="s">
        <v>112</v>
      </c>
      <c r="BZ1860" s="2" t="s">
        <v>100</v>
      </c>
    </row>
    <row r="1861">
      <c r="A1861" s="2" t="s">
        <v>5394</v>
      </c>
      <c r="B1861" s="2" t="s">
        <v>87</v>
      </c>
      <c r="C1861" s="2" t="s">
        <v>5155</v>
      </c>
      <c r="D1861" s="2" t="s">
        <v>4554</v>
      </c>
      <c r="E1861" s="2" t="s">
        <v>4555</v>
      </c>
      <c r="F1861" s="2" t="s">
        <v>5227</v>
      </c>
      <c r="G1861" s="2" t="s">
        <v>5227</v>
      </c>
      <c r="H1861" s="2" t="s">
        <v>5227</v>
      </c>
      <c r="I1861" s="2" t="s">
        <v>5392</v>
      </c>
      <c r="J1861" s="2" t="s">
        <v>4578</v>
      </c>
      <c r="K1861" s="2" t="s">
        <v>5395</v>
      </c>
      <c r="L1861" s="3">
        <v>12.6</v>
      </c>
      <c r="M1861" s="3">
        <v>0.01</v>
      </c>
      <c r="N1861" s="3">
        <v>29.99</v>
      </c>
      <c r="O1861" s="2" t="s">
        <v>1861</v>
      </c>
      <c r="P1861" s="2" t="s">
        <v>447</v>
      </c>
      <c r="Q1861" s="2" t="s">
        <v>99</v>
      </c>
      <c r="R1861" s="2" t="s">
        <v>100</v>
      </c>
      <c r="S1861" s="2" t="s">
        <v>100</v>
      </c>
      <c r="T1861" s="2" t="s">
        <v>100</v>
      </c>
      <c r="U1861" s="2" t="s">
        <v>100</v>
      </c>
      <c r="V1861" s="2" t="s">
        <v>1265</v>
      </c>
      <c r="W1861" s="2" t="s">
        <v>100</v>
      </c>
      <c r="X1861" s="2" t="s">
        <v>100</v>
      </c>
      <c r="Y1861" s="2" t="s">
        <v>131</v>
      </c>
      <c r="Z1861" s="4"/>
      <c r="AA1861" s="4">
        <f>=ROUNDDOWN({0},0)</f>
      </c>
      <c r="AB1861" s="5"/>
      <c r="AC1861" s="2" t="s">
        <v>100</v>
      </c>
      <c r="AD1861" s="4"/>
      <c r="AE1861" s="4"/>
      <c r="AF1861" s="6"/>
      <c r="AG1861" s="6"/>
      <c r="AH1861" s="7">
        <v>0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>
        <v>0</v>
      </c>
      <c r="AP1861" s="4"/>
      <c r="AQ1861" s="8"/>
      <c r="AR1861" s="4"/>
      <c r="AS1861" s="8"/>
      <c r="AT1861" s="7"/>
      <c r="AU1861" s="7"/>
      <c r="AV1861" s="4"/>
      <c r="AW1861" s="8"/>
      <c r="AX1861" s="4"/>
      <c r="AY1861" s="8"/>
      <c r="AZ1861" s="7"/>
      <c r="BA1861" s="7"/>
      <c r="BB1861" s="7"/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/>
      <c r="BJ1861" s="4"/>
      <c r="BK1861" s="8"/>
      <c r="BL1861" s="2" t="s">
        <v>100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1862</v>
      </c>
      <c r="BV1861" s="2" t="s">
        <v>97</v>
      </c>
      <c r="BW1861" s="2" t="s">
        <v>100</v>
      </c>
      <c r="BX1861" s="2" t="s">
        <v>100</v>
      </c>
      <c r="BY1861" s="2" t="s">
        <v>112</v>
      </c>
      <c r="BZ1861" s="2" t="s">
        <v>100</v>
      </c>
    </row>
    <row r="1862">
      <c r="A1862" s="2" t="s">
        <v>5396</v>
      </c>
      <c r="B1862" s="2" t="s">
        <v>87</v>
      </c>
      <c r="C1862" s="2" t="s">
        <v>5155</v>
      </c>
      <c r="D1862" s="2" t="s">
        <v>4554</v>
      </c>
      <c r="E1862" s="2" t="s">
        <v>4555</v>
      </c>
      <c r="F1862" s="2" t="s">
        <v>5227</v>
      </c>
      <c r="G1862" s="2" t="s">
        <v>5227</v>
      </c>
      <c r="H1862" s="2" t="s">
        <v>5227</v>
      </c>
      <c r="I1862" s="2" t="s">
        <v>5371</v>
      </c>
      <c r="J1862" s="2" t="s">
        <v>4608</v>
      </c>
      <c r="K1862" s="2" t="s">
        <v>5397</v>
      </c>
      <c r="L1862" s="3">
        <v>16.8</v>
      </c>
      <c r="M1862" s="3">
        <v>0.01</v>
      </c>
      <c r="N1862" s="3">
        <v>39.99</v>
      </c>
      <c r="O1862" s="2" t="s">
        <v>1861</v>
      </c>
      <c r="P1862" s="2" t="s">
        <v>447</v>
      </c>
      <c r="Q1862" s="2" t="s">
        <v>99</v>
      </c>
      <c r="R1862" s="2" t="s">
        <v>100</v>
      </c>
      <c r="S1862" s="2" t="s">
        <v>100</v>
      </c>
      <c r="T1862" s="2" t="s">
        <v>100</v>
      </c>
      <c r="U1862" s="2" t="s">
        <v>100</v>
      </c>
      <c r="V1862" s="2" t="s">
        <v>5398</v>
      </c>
      <c r="W1862" s="2" t="s">
        <v>100</v>
      </c>
      <c r="X1862" s="2" t="s">
        <v>100</v>
      </c>
      <c r="Y1862" s="2" t="s">
        <v>131</v>
      </c>
      <c r="Z1862" s="4"/>
      <c r="AA1862" s="4">
        <f>=ROUNDDOWN({0},0)</f>
      </c>
      <c r="AB1862" s="5"/>
      <c r="AC1862" s="2" t="s">
        <v>100</v>
      </c>
      <c r="AD1862" s="4"/>
      <c r="AE1862" s="4"/>
      <c r="AF1862" s="6"/>
      <c r="AG1862" s="6"/>
      <c r="AH1862" s="7">
        <v>0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/>
      <c r="AW1862" s="8"/>
      <c r="AX1862" s="4"/>
      <c r="AY1862" s="8"/>
      <c r="AZ1862" s="7"/>
      <c r="BA1862" s="7"/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/>
      <c r="BJ1862" s="4"/>
      <c r="BK1862" s="8"/>
      <c r="BL1862" s="2" t="s">
        <v>100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1862</v>
      </c>
      <c r="BV1862" s="2" t="s">
        <v>97</v>
      </c>
      <c r="BW1862" s="2" t="s">
        <v>100</v>
      </c>
      <c r="BX1862" s="2" t="s">
        <v>100</v>
      </c>
      <c r="BY1862" s="2" t="s">
        <v>112</v>
      </c>
      <c r="BZ1862" s="2" t="s">
        <v>100</v>
      </c>
    </row>
    <row r="1863">
      <c r="A1863" s="2" t="s">
        <v>5399</v>
      </c>
      <c r="B1863" s="2" t="s">
        <v>87</v>
      </c>
      <c r="C1863" s="2" t="s">
        <v>5155</v>
      </c>
      <c r="D1863" s="2" t="s">
        <v>4554</v>
      </c>
      <c r="E1863" s="2" t="s">
        <v>4555</v>
      </c>
      <c r="F1863" s="2" t="s">
        <v>5227</v>
      </c>
      <c r="G1863" s="2" t="s">
        <v>5227</v>
      </c>
      <c r="H1863" s="2" t="s">
        <v>5227</v>
      </c>
      <c r="I1863" s="2" t="s">
        <v>5400</v>
      </c>
      <c r="J1863" s="2" t="s">
        <v>5401</v>
      </c>
      <c r="K1863" s="2" t="s">
        <v>253</v>
      </c>
      <c r="L1863" s="3">
        <v>22.5</v>
      </c>
      <c r="M1863" s="3">
        <v>23.62</v>
      </c>
      <c r="N1863" s="3">
        <v>49.99</v>
      </c>
      <c r="O1863" s="2" t="s">
        <v>97</v>
      </c>
      <c r="P1863" s="2" t="s">
        <v>383</v>
      </c>
      <c r="Q1863" s="2" t="s">
        <v>99</v>
      </c>
      <c r="R1863" s="2" t="s">
        <v>100</v>
      </c>
      <c r="S1863" s="2" t="s">
        <v>5228</v>
      </c>
      <c r="T1863" s="2" t="s">
        <v>100</v>
      </c>
      <c r="U1863" s="2" t="s">
        <v>100</v>
      </c>
      <c r="V1863" s="2" t="s">
        <v>551</v>
      </c>
      <c r="W1863" s="2" t="s">
        <v>551</v>
      </c>
      <c r="X1863" s="2" t="s">
        <v>345</v>
      </c>
      <c r="Y1863" s="2" t="s">
        <v>131</v>
      </c>
      <c r="Z1863" s="4">
        <v>275</v>
      </c>
      <c r="AA1863" s="4">
        <f>=ROUNDDOWN(30.5555555555556,0)</f>
      </c>
      <c r="AB1863" s="5">
        <v>9</v>
      </c>
      <c r="AC1863" s="2" t="s">
        <v>400</v>
      </c>
      <c r="AD1863" s="4">
        <v>110</v>
      </c>
      <c r="AE1863" s="4">
        <v>180</v>
      </c>
      <c r="AF1863" s="6">
        <v>64</v>
      </c>
      <c r="AG1863" s="6"/>
      <c r="AH1863" s="7">
        <v>1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>
        <v>0</v>
      </c>
      <c r="AP1863" s="4"/>
      <c r="AQ1863" s="8"/>
      <c r="AR1863" s="4"/>
      <c r="AS1863" s="8"/>
      <c r="AT1863" s="7"/>
      <c r="AU1863" s="7"/>
      <c r="AV1863" s="4"/>
      <c r="AW1863" s="8"/>
      <c r="AX1863" s="4"/>
      <c r="AY1863" s="8"/>
      <c r="AZ1863" s="7"/>
      <c r="BA1863" s="7"/>
      <c r="BB1863" s="7"/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/>
      <c r="BJ1863" s="4">
        <v>5</v>
      </c>
      <c r="BK1863" s="8">
        <v>117.64</v>
      </c>
      <c r="BL1863" s="2" t="s">
        <v>388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109</v>
      </c>
      <c r="BV1863" s="2" t="s">
        <v>97</v>
      </c>
      <c r="BW1863" s="2" t="s">
        <v>4114</v>
      </c>
      <c r="BX1863" s="2" t="s">
        <v>2401</v>
      </c>
      <c r="BY1863" s="2" t="s">
        <v>112</v>
      </c>
      <c r="BZ1863" s="2" t="s">
        <v>100</v>
      </c>
    </row>
    <row r="1864">
      <c r="A1864" s="2" t="s">
        <v>5402</v>
      </c>
      <c r="B1864" s="2" t="s">
        <v>87</v>
      </c>
      <c r="C1864" s="2" t="s">
        <v>5155</v>
      </c>
      <c r="D1864" s="2" t="s">
        <v>4554</v>
      </c>
      <c r="E1864" s="2" t="s">
        <v>4555</v>
      </c>
      <c r="F1864" s="2" t="s">
        <v>5227</v>
      </c>
      <c r="G1864" s="2" t="s">
        <v>5227</v>
      </c>
      <c r="H1864" s="2" t="s">
        <v>5227</v>
      </c>
      <c r="I1864" s="2" t="s">
        <v>4563</v>
      </c>
      <c r="J1864" s="2" t="s">
        <v>4608</v>
      </c>
      <c r="K1864" s="2" t="s">
        <v>213</v>
      </c>
      <c r="L1864" s="3">
        <v>22.5</v>
      </c>
      <c r="M1864" s="3">
        <v>23.62</v>
      </c>
      <c r="N1864" s="3">
        <v>49.99</v>
      </c>
      <c r="O1864" s="2" t="s">
        <v>97</v>
      </c>
      <c r="P1864" s="2" t="s">
        <v>383</v>
      </c>
      <c r="Q1864" s="2" t="s">
        <v>99</v>
      </c>
      <c r="R1864" s="2" t="s">
        <v>100</v>
      </c>
      <c r="S1864" s="2" t="s">
        <v>5228</v>
      </c>
      <c r="T1864" s="2" t="s">
        <v>100</v>
      </c>
      <c r="U1864" s="2" t="s">
        <v>100</v>
      </c>
      <c r="V1864" s="2" t="s">
        <v>551</v>
      </c>
      <c r="W1864" s="2" t="s">
        <v>551</v>
      </c>
      <c r="X1864" s="2" t="s">
        <v>345</v>
      </c>
      <c r="Y1864" s="2" t="s">
        <v>131</v>
      </c>
      <c r="Z1864" s="4">
        <v>245</v>
      </c>
      <c r="AA1864" s="4">
        <f>=ROUNDDOWN(24.5,0)</f>
      </c>
      <c r="AB1864" s="5">
        <v>10</v>
      </c>
      <c r="AC1864" s="2" t="s">
        <v>400</v>
      </c>
      <c r="AD1864" s="4">
        <v>66</v>
      </c>
      <c r="AE1864" s="4">
        <v>150</v>
      </c>
      <c r="AF1864" s="6">
        <v>64</v>
      </c>
      <c r="AG1864" s="6"/>
      <c r="AH1864" s="7">
        <v>1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>
        <v>0</v>
      </c>
      <c r="AP1864" s="4"/>
      <c r="AQ1864" s="8"/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/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/>
      <c r="BJ1864" s="4">
        <v>8</v>
      </c>
      <c r="BK1864" s="8">
        <v>186.7</v>
      </c>
      <c r="BL1864" s="2" t="s">
        <v>599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109</v>
      </c>
      <c r="BV1864" s="2" t="s">
        <v>97</v>
      </c>
      <c r="BW1864" s="2" t="s">
        <v>4114</v>
      </c>
      <c r="BX1864" s="2" t="s">
        <v>2401</v>
      </c>
      <c r="BY1864" s="2" t="s">
        <v>112</v>
      </c>
      <c r="BZ1864" s="2" t="s">
        <v>100</v>
      </c>
    </row>
    <row r="1865">
      <c r="A1865" s="2" t="s">
        <v>5403</v>
      </c>
      <c r="B1865" s="2" t="s">
        <v>87</v>
      </c>
      <c r="C1865" s="2" t="s">
        <v>5155</v>
      </c>
      <c r="D1865" s="2" t="s">
        <v>4554</v>
      </c>
      <c r="E1865" s="2" t="s">
        <v>4555</v>
      </c>
      <c r="F1865" s="2" t="s">
        <v>5227</v>
      </c>
      <c r="G1865" s="2" t="s">
        <v>5227</v>
      </c>
      <c r="H1865" s="2" t="s">
        <v>5227</v>
      </c>
      <c r="I1865" s="2" t="s">
        <v>5404</v>
      </c>
      <c r="J1865" s="2" t="s">
        <v>4578</v>
      </c>
      <c r="K1865" s="2" t="s">
        <v>213</v>
      </c>
      <c r="L1865" s="3">
        <v>17.49</v>
      </c>
      <c r="M1865" s="3">
        <v>18.37</v>
      </c>
      <c r="N1865" s="3">
        <v>39.99</v>
      </c>
      <c r="O1865" s="2" t="s">
        <v>97</v>
      </c>
      <c r="P1865" s="2" t="s">
        <v>383</v>
      </c>
      <c r="Q1865" s="2" t="s">
        <v>99</v>
      </c>
      <c r="R1865" s="2" t="s">
        <v>100</v>
      </c>
      <c r="S1865" s="2" t="s">
        <v>5228</v>
      </c>
      <c r="T1865" s="2" t="s">
        <v>100</v>
      </c>
      <c r="U1865" s="2" t="s">
        <v>100</v>
      </c>
      <c r="V1865" s="2" t="s">
        <v>805</v>
      </c>
      <c r="W1865" s="2" t="s">
        <v>551</v>
      </c>
      <c r="X1865" s="2" t="s">
        <v>345</v>
      </c>
      <c r="Y1865" s="2" t="s">
        <v>131</v>
      </c>
      <c r="Z1865" s="4">
        <v>240</v>
      </c>
      <c r="AA1865" s="4">
        <f>=ROUNDDOWN(18.4615384615385,0)</f>
      </c>
      <c r="AB1865" s="5">
        <v>13</v>
      </c>
      <c r="AC1865" s="2" t="s">
        <v>400</v>
      </c>
      <c r="AD1865" s="4">
        <v>70</v>
      </c>
      <c r="AE1865" s="4">
        <v>150</v>
      </c>
      <c r="AF1865" s="6">
        <v>64</v>
      </c>
      <c r="AG1865" s="6"/>
      <c r="AH1865" s="7">
        <v>1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>
        <v>0</v>
      </c>
      <c r="AP1865" s="4"/>
      <c r="AQ1865" s="8"/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/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/>
      <c r="BJ1865" s="4">
        <v>11</v>
      </c>
      <c r="BK1865" s="8">
        <v>205.44</v>
      </c>
      <c r="BL1865" s="2" t="s">
        <v>108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109</v>
      </c>
      <c r="BV1865" s="2" t="s">
        <v>97</v>
      </c>
      <c r="BW1865" s="2" t="s">
        <v>4114</v>
      </c>
      <c r="BX1865" s="2" t="s">
        <v>2401</v>
      </c>
      <c r="BY1865" s="2" t="s">
        <v>112</v>
      </c>
      <c r="BZ1865" s="2" t="s">
        <v>100</v>
      </c>
    </row>
    <row r="1866">
      <c r="A1866" s="2" t="s">
        <v>5405</v>
      </c>
      <c r="B1866" s="2" t="s">
        <v>87</v>
      </c>
      <c r="C1866" s="2" t="s">
        <v>5155</v>
      </c>
      <c r="D1866" s="2" t="s">
        <v>4554</v>
      </c>
      <c r="E1866" s="2" t="s">
        <v>4555</v>
      </c>
      <c r="F1866" s="2" t="s">
        <v>5250</v>
      </c>
      <c r="G1866" s="2" t="s">
        <v>5250</v>
      </c>
      <c r="H1866" s="2" t="s">
        <v>5250</v>
      </c>
      <c r="I1866" s="2" t="s">
        <v>5371</v>
      </c>
      <c r="J1866" s="2" t="s">
        <v>4608</v>
      </c>
      <c r="K1866" s="2" t="s">
        <v>253</v>
      </c>
      <c r="L1866" s="3">
        <v>16.8</v>
      </c>
      <c r="M1866" s="3">
        <v>17.63</v>
      </c>
      <c r="N1866" s="3">
        <v>34.99</v>
      </c>
      <c r="O1866" s="2" t="s">
        <v>97</v>
      </c>
      <c r="P1866" s="2" t="s">
        <v>383</v>
      </c>
      <c r="Q1866" s="2" t="s">
        <v>99</v>
      </c>
      <c r="R1866" s="2" t="s">
        <v>100</v>
      </c>
      <c r="S1866" s="2" t="s">
        <v>5251</v>
      </c>
      <c r="T1866" s="2" t="s">
        <v>100</v>
      </c>
      <c r="U1866" s="2" t="s">
        <v>100</v>
      </c>
      <c r="V1866" s="2" t="s">
        <v>645</v>
      </c>
      <c r="W1866" s="2" t="s">
        <v>551</v>
      </c>
      <c r="X1866" s="2" t="s">
        <v>244</v>
      </c>
      <c r="Y1866" s="2" t="s">
        <v>131</v>
      </c>
      <c r="Z1866" s="4">
        <v>202</v>
      </c>
      <c r="AA1866" s="4">
        <f>=ROUNDDOWN(33.6666666666667,0)</f>
      </c>
      <c r="AB1866" s="5">
        <v>6</v>
      </c>
      <c r="AC1866" s="2" t="s">
        <v>429</v>
      </c>
      <c r="AD1866" s="4">
        <v>90</v>
      </c>
      <c r="AE1866" s="4">
        <v>90</v>
      </c>
      <c r="AF1866" s="6">
        <v>66</v>
      </c>
      <c r="AG1866" s="6"/>
      <c r="AH1866" s="7">
        <v>1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>
        <v>0</v>
      </c>
      <c r="AP1866" s="4"/>
      <c r="AQ1866" s="8"/>
      <c r="AR1866" s="4"/>
      <c r="AS1866" s="8"/>
      <c r="AT1866" s="7"/>
      <c r="AU1866" s="7"/>
      <c r="AV1866" s="4"/>
      <c r="AW1866" s="8"/>
      <c r="AX1866" s="4"/>
      <c r="AY1866" s="8"/>
      <c r="AZ1866" s="7"/>
      <c r="BA1866" s="7"/>
      <c r="BB1866" s="7"/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/>
      <c r="BJ1866" s="4">
        <v>2</v>
      </c>
      <c r="BK1866" s="8">
        <v>34.34</v>
      </c>
      <c r="BL1866" s="2" t="s">
        <v>1550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109</v>
      </c>
      <c r="BV1866" s="2" t="s">
        <v>97</v>
      </c>
      <c r="BW1866" s="2" t="s">
        <v>4114</v>
      </c>
      <c r="BX1866" s="2" t="s">
        <v>106</v>
      </c>
      <c r="BY1866" s="2" t="s">
        <v>112</v>
      </c>
      <c r="BZ1866" s="2" t="s">
        <v>100</v>
      </c>
    </row>
    <row r="1867">
      <c r="A1867" s="2" t="s">
        <v>5406</v>
      </c>
      <c r="B1867" s="2" t="s">
        <v>87</v>
      </c>
      <c r="C1867" s="2" t="s">
        <v>5155</v>
      </c>
      <c r="D1867" s="2" t="s">
        <v>4554</v>
      </c>
      <c r="E1867" s="2" t="s">
        <v>4555</v>
      </c>
      <c r="F1867" s="2" t="s">
        <v>5250</v>
      </c>
      <c r="G1867" s="2" t="s">
        <v>5250</v>
      </c>
      <c r="H1867" s="2" t="s">
        <v>5250</v>
      </c>
      <c r="I1867" s="2" t="s">
        <v>5392</v>
      </c>
      <c r="J1867" s="2" t="s">
        <v>5387</v>
      </c>
      <c r="K1867" s="2" t="s">
        <v>213</v>
      </c>
      <c r="L1867" s="3">
        <v>22.5</v>
      </c>
      <c r="M1867" s="3">
        <v>23.62</v>
      </c>
      <c r="N1867" s="3">
        <v>44.99</v>
      </c>
      <c r="O1867" s="2" t="s">
        <v>97</v>
      </c>
      <c r="P1867" s="2" t="s">
        <v>383</v>
      </c>
      <c r="Q1867" s="2" t="s">
        <v>99</v>
      </c>
      <c r="R1867" s="2" t="s">
        <v>100</v>
      </c>
      <c r="S1867" s="2" t="s">
        <v>5251</v>
      </c>
      <c r="T1867" s="2" t="s">
        <v>100</v>
      </c>
      <c r="U1867" s="2" t="s">
        <v>100</v>
      </c>
      <c r="V1867" s="2" t="s">
        <v>551</v>
      </c>
      <c r="W1867" s="2" t="s">
        <v>551</v>
      </c>
      <c r="X1867" s="2" t="s">
        <v>244</v>
      </c>
      <c r="Y1867" s="2" t="s">
        <v>131</v>
      </c>
      <c r="Z1867" s="4">
        <v>380</v>
      </c>
      <c r="AA1867" s="4">
        <f>=ROUNDDOWN(29.2307692307692,0)</f>
      </c>
      <c r="AB1867" s="5">
        <v>13</v>
      </c>
      <c r="AC1867" s="2" t="s">
        <v>429</v>
      </c>
      <c r="AD1867" s="4">
        <v>174</v>
      </c>
      <c r="AE1867" s="4">
        <v>174</v>
      </c>
      <c r="AF1867" s="6">
        <v>66</v>
      </c>
      <c r="AG1867" s="6"/>
      <c r="AH1867" s="7">
        <v>1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>
        <v>0</v>
      </c>
      <c r="AP1867" s="4"/>
      <c r="AQ1867" s="8"/>
      <c r="AR1867" s="4"/>
      <c r="AS1867" s="8"/>
      <c r="AT1867" s="7"/>
      <c r="AU1867" s="7"/>
      <c r="AV1867" s="4"/>
      <c r="AW1867" s="8"/>
      <c r="AX1867" s="4"/>
      <c r="AY1867" s="8"/>
      <c r="AZ1867" s="7"/>
      <c r="BA1867" s="7"/>
      <c r="BB1867" s="7"/>
      <c r="BC1867" s="4" t="s">
        <v>100</v>
      </c>
      <c r="BD1867" s="8" t="s">
        <v>100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/>
      <c r="BJ1867" s="4">
        <v>10</v>
      </c>
      <c r="BK1867" s="8">
        <v>210.94</v>
      </c>
      <c r="BL1867" s="2" t="s">
        <v>523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109</v>
      </c>
      <c r="BV1867" s="2" t="s">
        <v>97</v>
      </c>
      <c r="BW1867" s="2" t="s">
        <v>4114</v>
      </c>
      <c r="BX1867" s="2" t="s">
        <v>106</v>
      </c>
      <c r="BY1867" s="2" t="s">
        <v>112</v>
      </c>
      <c r="BZ1867" s="2" t="s">
        <v>100</v>
      </c>
    </row>
    <row r="1868">
      <c r="A1868" s="2" t="s">
        <v>5407</v>
      </c>
      <c r="B1868" s="2" t="s">
        <v>87</v>
      </c>
      <c r="C1868" s="2" t="s">
        <v>5155</v>
      </c>
      <c r="D1868" s="2" t="s">
        <v>4554</v>
      </c>
      <c r="E1868" s="2" t="s">
        <v>4555</v>
      </c>
      <c r="F1868" s="2" t="s">
        <v>5290</v>
      </c>
      <c r="G1868" s="2" t="s">
        <v>100</v>
      </c>
      <c r="H1868" s="2" t="s">
        <v>100</v>
      </c>
      <c r="I1868" s="2" t="s">
        <v>5392</v>
      </c>
      <c r="J1868" s="2" t="s">
        <v>4578</v>
      </c>
      <c r="K1868" s="2" t="s">
        <v>175</v>
      </c>
      <c r="L1868" s="3">
        <v>22.5</v>
      </c>
      <c r="M1868" s="3">
        <v>23.62</v>
      </c>
      <c r="N1868" s="3">
        <v>49.99</v>
      </c>
      <c r="O1868" s="2" t="s">
        <v>97</v>
      </c>
      <c r="P1868" s="2" t="s">
        <v>98</v>
      </c>
      <c r="Q1868" s="2" t="s">
        <v>99</v>
      </c>
      <c r="R1868" s="2" t="s">
        <v>100</v>
      </c>
      <c r="S1868" s="2" t="s">
        <v>5297</v>
      </c>
      <c r="T1868" s="2" t="s">
        <v>100</v>
      </c>
      <c r="U1868" s="2" t="s">
        <v>100</v>
      </c>
      <c r="V1868" s="2" t="s">
        <v>608</v>
      </c>
      <c r="W1868" s="2" t="s">
        <v>345</v>
      </c>
      <c r="X1868" s="2" t="s">
        <v>646</v>
      </c>
      <c r="Y1868" s="2" t="s">
        <v>5408</v>
      </c>
      <c r="Z1868" s="4">
        <v>140</v>
      </c>
      <c r="AA1868" s="4">
        <f>=ROUNDDOWN(20,0)</f>
      </c>
      <c r="AB1868" s="5">
        <v>7</v>
      </c>
      <c r="AC1868" s="2" t="s">
        <v>100</v>
      </c>
      <c r="AD1868" s="4"/>
      <c r="AE1868" s="4"/>
      <c r="AF1868" s="6">
        <v>64</v>
      </c>
      <c r="AG1868" s="6"/>
      <c r="AH1868" s="7">
        <v>1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>
        <v>0</v>
      </c>
      <c r="AP1868" s="4"/>
      <c r="AQ1868" s="8"/>
      <c r="AR1868" s="4"/>
      <c r="AS1868" s="8"/>
      <c r="AT1868" s="7"/>
      <c r="AU1868" s="7"/>
      <c r="AV1868" s="4"/>
      <c r="AW1868" s="8"/>
      <c r="AX1868" s="4"/>
      <c r="AY1868" s="8"/>
      <c r="AZ1868" s="7"/>
      <c r="BA1868" s="7"/>
      <c r="BB1868" s="7"/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/>
      <c r="BJ1868" s="4">
        <v>5</v>
      </c>
      <c r="BK1868" s="8">
        <v>107.18</v>
      </c>
      <c r="BL1868" s="2" t="s">
        <v>3530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109</v>
      </c>
      <c r="BV1868" s="2" t="s">
        <v>97</v>
      </c>
      <c r="BW1868" s="2" t="s">
        <v>4114</v>
      </c>
      <c r="BX1868" s="2" t="s">
        <v>5409</v>
      </c>
      <c r="BY1868" s="2" t="s">
        <v>112</v>
      </c>
      <c r="BZ1868" s="2" t="s">
        <v>100</v>
      </c>
    </row>
    <row r="1869">
      <c r="A1869" s="2" t="s">
        <v>5410</v>
      </c>
      <c r="B1869" s="2" t="s">
        <v>87</v>
      </c>
      <c r="C1869" s="2" t="s">
        <v>5155</v>
      </c>
      <c r="D1869" s="2" t="s">
        <v>4554</v>
      </c>
      <c r="E1869" s="2" t="s">
        <v>4555</v>
      </c>
      <c r="F1869" s="2" t="s">
        <v>5290</v>
      </c>
      <c r="G1869" s="2" t="s">
        <v>100</v>
      </c>
      <c r="H1869" s="2" t="s">
        <v>100</v>
      </c>
      <c r="I1869" s="2" t="s">
        <v>5371</v>
      </c>
      <c r="J1869" s="2" t="s">
        <v>4608</v>
      </c>
      <c r="K1869" s="2" t="s">
        <v>213</v>
      </c>
      <c r="L1869" s="3">
        <v>16.8</v>
      </c>
      <c r="M1869" s="3">
        <v>17.63</v>
      </c>
      <c r="N1869" s="3">
        <v>49.99</v>
      </c>
      <c r="O1869" s="2" t="s">
        <v>97</v>
      </c>
      <c r="P1869" s="2" t="s">
        <v>98</v>
      </c>
      <c r="Q1869" s="2" t="s">
        <v>99</v>
      </c>
      <c r="R1869" s="2" t="s">
        <v>100</v>
      </c>
      <c r="S1869" s="2" t="s">
        <v>5297</v>
      </c>
      <c r="T1869" s="2" t="s">
        <v>100</v>
      </c>
      <c r="U1869" s="2" t="s">
        <v>100</v>
      </c>
      <c r="V1869" s="2" t="s">
        <v>608</v>
      </c>
      <c r="W1869" s="2" t="s">
        <v>345</v>
      </c>
      <c r="X1869" s="2" t="s">
        <v>646</v>
      </c>
      <c r="Y1869" s="2" t="s">
        <v>5411</v>
      </c>
      <c r="Z1869" s="4">
        <v>142</v>
      </c>
      <c r="AA1869" s="4">
        <f>=ROUNDDOWN(35.5,0)</f>
      </c>
      <c r="AB1869" s="5">
        <v>4</v>
      </c>
      <c r="AC1869" s="2" t="s">
        <v>100</v>
      </c>
      <c r="AD1869" s="4"/>
      <c r="AE1869" s="4"/>
      <c r="AF1869" s="6">
        <v>64</v>
      </c>
      <c r="AG1869" s="6"/>
      <c r="AH1869" s="7">
        <v>1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>
        <v>0</v>
      </c>
      <c r="AP1869" s="4"/>
      <c r="AQ1869" s="8"/>
      <c r="AR1869" s="4"/>
      <c r="AS1869" s="8"/>
      <c r="AT1869" s="7"/>
      <c r="AU1869" s="7"/>
      <c r="AV1869" s="4"/>
      <c r="AW1869" s="8"/>
      <c r="AX1869" s="4"/>
      <c r="AY1869" s="8"/>
      <c r="AZ1869" s="7"/>
      <c r="BA1869" s="7"/>
      <c r="BB1869" s="7"/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/>
      <c r="BJ1869" s="4">
        <v>5</v>
      </c>
      <c r="BK1869" s="8">
        <v>87.71</v>
      </c>
      <c r="BL1869" s="2" t="s">
        <v>1734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109</v>
      </c>
      <c r="BV1869" s="2" t="s">
        <v>97</v>
      </c>
      <c r="BW1869" s="2" t="s">
        <v>4114</v>
      </c>
      <c r="BX1869" s="2" t="s">
        <v>4213</v>
      </c>
      <c r="BY1869" s="2" t="s">
        <v>112</v>
      </c>
      <c r="BZ1869" s="2" t="s">
        <v>100</v>
      </c>
    </row>
    <row r="1870">
      <c r="A1870" s="2" t="s">
        <v>5412</v>
      </c>
      <c r="B1870" s="2" t="s">
        <v>87</v>
      </c>
      <c r="C1870" s="2" t="s">
        <v>5155</v>
      </c>
      <c r="D1870" s="2" t="s">
        <v>3365</v>
      </c>
      <c r="E1870" s="2" t="s">
        <v>4524</v>
      </c>
      <c r="F1870" s="2" t="s">
        <v>5197</v>
      </c>
      <c r="G1870" s="2" t="s">
        <v>5197</v>
      </c>
      <c r="H1870" s="2" t="s">
        <v>5197</v>
      </c>
      <c r="I1870" s="2" t="s">
        <v>5413</v>
      </c>
      <c r="J1870" s="2" t="s">
        <v>4526</v>
      </c>
      <c r="K1870" s="2" t="s">
        <v>198</v>
      </c>
      <c r="L1870" s="3">
        <v>15.51</v>
      </c>
      <c r="M1870" s="3">
        <v>16.28</v>
      </c>
      <c r="N1870" s="3">
        <v>32.99</v>
      </c>
      <c r="O1870" s="2" t="s">
        <v>97</v>
      </c>
      <c r="P1870" s="2" t="s">
        <v>587</v>
      </c>
      <c r="Q1870" s="2" t="s">
        <v>99</v>
      </c>
      <c r="R1870" s="2" t="s">
        <v>100</v>
      </c>
      <c r="S1870" s="2" t="s">
        <v>5199</v>
      </c>
      <c r="T1870" s="2" t="s">
        <v>100</v>
      </c>
      <c r="U1870" s="2" t="s">
        <v>100</v>
      </c>
      <c r="V1870" s="2" t="s">
        <v>103</v>
      </c>
      <c r="W1870" s="2" t="s">
        <v>244</v>
      </c>
      <c r="X1870" s="2" t="s">
        <v>345</v>
      </c>
      <c r="Y1870" s="2" t="s">
        <v>131</v>
      </c>
      <c r="Z1870" s="4">
        <v>215</v>
      </c>
      <c r="AA1870" s="4">
        <f>=ROUNDDOWN(15.8088235294118,0)</f>
      </c>
      <c r="AB1870" s="5">
        <v>13.6</v>
      </c>
      <c r="AC1870" s="2" t="s">
        <v>429</v>
      </c>
      <c r="AD1870" s="4">
        <v>192</v>
      </c>
      <c r="AE1870" s="4">
        <v>192</v>
      </c>
      <c r="AF1870" s="6">
        <v>66</v>
      </c>
      <c r="AG1870" s="6"/>
      <c r="AH1870" s="7">
        <v>1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>
        <v>0</v>
      </c>
      <c r="AP1870" s="4"/>
      <c r="AQ1870" s="8"/>
      <c r="AR1870" s="4"/>
      <c r="AS1870" s="8"/>
      <c r="AT1870" s="7"/>
      <c r="AU1870" s="7"/>
      <c r="AV1870" s="4"/>
      <c r="AW1870" s="8"/>
      <c r="AX1870" s="4"/>
      <c r="AY1870" s="8"/>
      <c r="AZ1870" s="7"/>
      <c r="BA1870" s="7"/>
      <c r="BB1870" s="7"/>
      <c r="BC1870" s="4"/>
      <c r="BD1870" s="8"/>
      <c r="BE1870" s="4"/>
      <c r="BF1870" s="8"/>
      <c r="BG1870" s="7"/>
      <c r="BH1870" s="7"/>
      <c r="BI1870" s="7"/>
      <c r="BJ1870" s="4">
        <v>18</v>
      </c>
      <c r="BK1870" s="8">
        <v>293.34</v>
      </c>
      <c r="BL1870" s="2" t="s">
        <v>391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109</v>
      </c>
      <c r="BV1870" s="2" t="s">
        <v>97</v>
      </c>
      <c r="BW1870" s="2" t="s">
        <v>4114</v>
      </c>
      <c r="BX1870" s="2" t="s">
        <v>100</v>
      </c>
      <c r="BY1870" s="2" t="s">
        <v>112</v>
      </c>
      <c r="BZ1870" s="2" t="s">
        <v>100</v>
      </c>
    </row>
    <row r="1871">
      <c r="A1871" s="2" t="s">
        <v>5414</v>
      </c>
      <c r="B1871" s="2" t="s">
        <v>87</v>
      </c>
      <c r="C1871" s="2" t="s">
        <v>5155</v>
      </c>
      <c r="D1871" s="2" t="s">
        <v>3365</v>
      </c>
      <c r="E1871" s="2" t="s">
        <v>4524</v>
      </c>
      <c r="F1871" s="2" t="s">
        <v>5204</v>
      </c>
      <c r="G1871" s="2" t="s">
        <v>5204</v>
      </c>
      <c r="H1871" s="2" t="s">
        <v>5204</v>
      </c>
      <c r="I1871" s="2" t="s">
        <v>4526</v>
      </c>
      <c r="J1871" s="2" t="s">
        <v>4526</v>
      </c>
      <c r="K1871" s="2" t="s">
        <v>340</v>
      </c>
      <c r="L1871" s="3">
        <v>21.5</v>
      </c>
      <c r="M1871" s="3">
        <v>22.57</v>
      </c>
      <c r="N1871" s="3">
        <v>47.99</v>
      </c>
      <c r="O1871" s="2" t="s">
        <v>97</v>
      </c>
      <c r="P1871" s="2" t="s">
        <v>383</v>
      </c>
      <c r="Q1871" s="2" t="s">
        <v>99</v>
      </c>
      <c r="R1871" s="2" t="s">
        <v>100</v>
      </c>
      <c r="S1871" s="2" t="s">
        <v>5206</v>
      </c>
      <c r="T1871" s="2" t="s">
        <v>100</v>
      </c>
      <c r="U1871" s="2" t="s">
        <v>100</v>
      </c>
      <c r="V1871" s="2" t="s">
        <v>645</v>
      </c>
      <c r="W1871" s="2" t="s">
        <v>551</v>
      </c>
      <c r="X1871" s="2" t="s">
        <v>345</v>
      </c>
      <c r="Y1871" s="2" t="s">
        <v>131</v>
      </c>
      <c r="Z1871" s="4">
        <v>181</v>
      </c>
      <c r="AA1871" s="4">
        <f>=ROUNDDOWN(20.1111111111111,0)</f>
      </c>
      <c r="AB1871" s="5">
        <v>9</v>
      </c>
      <c r="AC1871" s="2" t="s">
        <v>5211</v>
      </c>
      <c r="AD1871" s="4">
        <v>127</v>
      </c>
      <c r="AE1871" s="4">
        <v>127</v>
      </c>
      <c r="AF1871" s="6">
        <v>68</v>
      </c>
      <c r="AG1871" s="6"/>
      <c r="AH1871" s="7">
        <v>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/>
      <c r="AW1871" s="8"/>
      <c r="AX1871" s="4"/>
      <c r="AY1871" s="8"/>
      <c r="AZ1871" s="7"/>
      <c r="BA1871" s="7"/>
      <c r="BB1871" s="7"/>
      <c r="BC1871" s="4"/>
      <c r="BD1871" s="8"/>
      <c r="BE1871" s="4"/>
      <c r="BF1871" s="8"/>
      <c r="BG1871" s="7"/>
      <c r="BH1871" s="7"/>
      <c r="BI1871" s="7"/>
      <c r="BJ1871" s="4">
        <v>7</v>
      </c>
      <c r="BK1871" s="8">
        <v>155.16</v>
      </c>
      <c r="BL1871" s="2" t="s">
        <v>333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109</v>
      </c>
      <c r="BV1871" s="2" t="s">
        <v>97</v>
      </c>
      <c r="BW1871" s="2" t="s">
        <v>4114</v>
      </c>
      <c r="BX1871" s="2" t="s">
        <v>3110</v>
      </c>
      <c r="BY1871" s="2" t="s">
        <v>112</v>
      </c>
      <c r="BZ1871" s="2" t="s">
        <v>100</v>
      </c>
    </row>
    <row r="1872">
      <c r="A1872" s="2" t="s">
        <v>5415</v>
      </c>
      <c r="B1872" s="2" t="s">
        <v>87</v>
      </c>
      <c r="C1872" s="2" t="s">
        <v>5155</v>
      </c>
      <c r="D1872" s="2" t="s">
        <v>3365</v>
      </c>
      <c r="E1872" s="2" t="s">
        <v>4524</v>
      </c>
      <c r="F1872" s="2" t="s">
        <v>5227</v>
      </c>
      <c r="G1872" s="2" t="s">
        <v>5227</v>
      </c>
      <c r="H1872" s="2" t="s">
        <v>5227</v>
      </c>
      <c r="I1872" s="2" t="s">
        <v>4526</v>
      </c>
      <c r="J1872" s="2" t="s">
        <v>4526</v>
      </c>
      <c r="K1872" s="2" t="s">
        <v>253</v>
      </c>
      <c r="L1872" s="3">
        <v>21.5</v>
      </c>
      <c r="M1872" s="3">
        <v>22.57</v>
      </c>
      <c r="N1872" s="3">
        <v>47.99</v>
      </c>
      <c r="O1872" s="2" t="s">
        <v>97</v>
      </c>
      <c r="P1872" s="2" t="s">
        <v>383</v>
      </c>
      <c r="Q1872" s="2" t="s">
        <v>99</v>
      </c>
      <c r="R1872" s="2" t="s">
        <v>100</v>
      </c>
      <c r="S1872" s="2" t="s">
        <v>5228</v>
      </c>
      <c r="T1872" s="2" t="s">
        <v>100</v>
      </c>
      <c r="U1872" s="2" t="s">
        <v>100</v>
      </c>
      <c r="V1872" s="2" t="s">
        <v>805</v>
      </c>
      <c r="W1872" s="2" t="s">
        <v>551</v>
      </c>
      <c r="X1872" s="2" t="s">
        <v>345</v>
      </c>
      <c r="Y1872" s="2" t="s">
        <v>131</v>
      </c>
      <c r="Z1872" s="4">
        <v>89</v>
      </c>
      <c r="AA1872" s="4">
        <f>=ROUNDDOWN(4.68421052631579,0)</f>
      </c>
      <c r="AB1872" s="5">
        <v>19</v>
      </c>
      <c r="AC1872" s="2" t="s">
        <v>400</v>
      </c>
      <c r="AD1872" s="4">
        <v>70</v>
      </c>
      <c r="AE1872" s="4">
        <v>220</v>
      </c>
      <c r="AF1872" s="6">
        <v>64</v>
      </c>
      <c r="AG1872" s="6"/>
      <c r="AH1872" s="7">
        <v>1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>
        <v>0</v>
      </c>
      <c r="AP1872" s="4"/>
      <c r="AQ1872" s="8"/>
      <c r="AR1872" s="4"/>
      <c r="AS1872" s="8"/>
      <c r="AT1872" s="7"/>
      <c r="AU1872" s="7"/>
      <c r="AV1872" s="4"/>
      <c r="AW1872" s="8"/>
      <c r="AX1872" s="4"/>
      <c r="AY1872" s="8"/>
      <c r="AZ1872" s="7"/>
      <c r="BA1872" s="7"/>
      <c r="BB1872" s="7"/>
      <c r="BC1872" s="4"/>
      <c r="BD1872" s="8"/>
      <c r="BE1872" s="4"/>
      <c r="BF1872" s="8"/>
      <c r="BG1872" s="7"/>
      <c r="BH1872" s="7"/>
      <c r="BI1872" s="7"/>
      <c r="BJ1872" s="4">
        <v>22</v>
      </c>
      <c r="BK1872" s="8">
        <v>566.92</v>
      </c>
      <c r="BL1872" s="2" t="s">
        <v>5416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109</v>
      </c>
      <c r="BV1872" s="2" t="s">
        <v>97</v>
      </c>
      <c r="BW1872" s="2" t="s">
        <v>5417</v>
      </c>
      <c r="BX1872" s="2" t="s">
        <v>2401</v>
      </c>
      <c r="BY1872" s="2" t="s">
        <v>112</v>
      </c>
      <c r="BZ1872" s="2" t="s">
        <v>100</v>
      </c>
    </row>
    <row r="1873">
      <c r="A1873" s="2" t="s">
        <v>5418</v>
      </c>
      <c r="B1873" s="2" t="s">
        <v>87</v>
      </c>
      <c r="C1873" s="2" t="s">
        <v>5155</v>
      </c>
      <c r="D1873" s="2" t="s">
        <v>3365</v>
      </c>
      <c r="E1873" s="2" t="s">
        <v>4524</v>
      </c>
      <c r="F1873" s="2" t="s">
        <v>5250</v>
      </c>
      <c r="G1873" s="2" t="s">
        <v>5250</v>
      </c>
      <c r="H1873" s="2" t="s">
        <v>5250</v>
      </c>
      <c r="I1873" s="2" t="s">
        <v>4526</v>
      </c>
      <c r="J1873" s="2" t="s">
        <v>4526</v>
      </c>
      <c r="K1873" s="2" t="s">
        <v>253</v>
      </c>
      <c r="L1873" s="3">
        <v>21.5</v>
      </c>
      <c r="M1873" s="3">
        <v>22.57</v>
      </c>
      <c r="N1873" s="3">
        <v>42.99</v>
      </c>
      <c r="O1873" s="2" t="s">
        <v>97</v>
      </c>
      <c r="P1873" s="2" t="s">
        <v>383</v>
      </c>
      <c r="Q1873" s="2" t="s">
        <v>99</v>
      </c>
      <c r="R1873" s="2" t="s">
        <v>100</v>
      </c>
      <c r="S1873" s="2" t="s">
        <v>5251</v>
      </c>
      <c r="T1873" s="2" t="s">
        <v>100</v>
      </c>
      <c r="U1873" s="2" t="s">
        <v>100</v>
      </c>
      <c r="V1873" s="2" t="s">
        <v>645</v>
      </c>
      <c r="W1873" s="2" t="s">
        <v>551</v>
      </c>
      <c r="X1873" s="2" t="s">
        <v>345</v>
      </c>
      <c r="Y1873" s="2" t="s">
        <v>131</v>
      </c>
      <c r="Z1873" s="4">
        <v>221</v>
      </c>
      <c r="AA1873" s="4">
        <f>=ROUNDDOWN(24.5555555555556,0)</f>
      </c>
      <c r="AB1873" s="5">
        <v>9</v>
      </c>
      <c r="AC1873" s="2" t="s">
        <v>100</v>
      </c>
      <c r="AD1873" s="4"/>
      <c r="AE1873" s="4"/>
      <c r="AF1873" s="6">
        <v>66</v>
      </c>
      <c r="AG1873" s="6"/>
      <c r="AH1873" s="7">
        <v>1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/>
      <c r="AW1873" s="8"/>
      <c r="AX1873" s="4"/>
      <c r="AY1873" s="8"/>
      <c r="AZ1873" s="7"/>
      <c r="BA1873" s="7"/>
      <c r="BB1873" s="7"/>
      <c r="BC1873" s="4"/>
      <c r="BD1873" s="8"/>
      <c r="BE1873" s="4"/>
      <c r="BF1873" s="8"/>
      <c r="BG1873" s="7"/>
      <c r="BH1873" s="7"/>
      <c r="BI1873" s="7"/>
      <c r="BJ1873" s="4">
        <v>2</v>
      </c>
      <c r="BK1873" s="8">
        <v>44.3</v>
      </c>
      <c r="BL1873" s="2" t="s">
        <v>210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109</v>
      </c>
      <c r="BV1873" s="2" t="s">
        <v>97</v>
      </c>
      <c r="BW1873" s="2" t="s">
        <v>4114</v>
      </c>
      <c r="BX1873" s="2" t="s">
        <v>2498</v>
      </c>
      <c r="BY1873" s="2" t="s">
        <v>112</v>
      </c>
      <c r="BZ1873" s="2" t="s">
        <v>100</v>
      </c>
    </row>
    <row r="1874">
      <c r="A1874" s="2" t="s">
        <v>5419</v>
      </c>
      <c r="B1874" s="2" t="s">
        <v>87</v>
      </c>
      <c r="C1874" s="2" t="s">
        <v>5420</v>
      </c>
      <c r="D1874" s="2" t="s">
        <v>2230</v>
      </c>
      <c r="E1874" s="2" t="s">
        <v>5421</v>
      </c>
      <c r="F1874" s="2" t="s">
        <v>5422</v>
      </c>
      <c r="G1874" s="2" t="s">
        <v>5422</v>
      </c>
      <c r="H1874" s="2" t="s">
        <v>5422</v>
      </c>
      <c r="I1874" s="2" t="s">
        <v>5423</v>
      </c>
      <c r="J1874" s="2" t="s">
        <v>673</v>
      </c>
      <c r="K1874" s="2" t="s">
        <v>409</v>
      </c>
      <c r="L1874" s="3">
        <v>39</v>
      </c>
      <c r="M1874" s="3">
        <v>40.95</v>
      </c>
      <c r="N1874" s="3">
        <v>89.99</v>
      </c>
      <c r="O1874" s="2" t="s">
        <v>97</v>
      </c>
      <c r="P1874" s="2" t="s">
        <v>98</v>
      </c>
      <c r="Q1874" s="2" t="s">
        <v>99</v>
      </c>
      <c r="R1874" s="2" t="s">
        <v>100</v>
      </c>
      <c r="S1874" s="2" t="s">
        <v>5424</v>
      </c>
      <c r="T1874" s="2" t="s">
        <v>359</v>
      </c>
      <c r="U1874" s="2" t="s">
        <v>2150</v>
      </c>
      <c r="V1874" s="2" t="s">
        <v>2876</v>
      </c>
      <c r="W1874" s="2" t="s">
        <v>756</v>
      </c>
      <c r="X1874" s="2" t="s">
        <v>244</v>
      </c>
      <c r="Y1874" s="2" t="s">
        <v>5425</v>
      </c>
      <c r="Z1874" s="4">
        <v>358</v>
      </c>
      <c r="AA1874" s="4">
        <f>=ROUNDDOWN(39.7777777777778,0)</f>
      </c>
      <c r="AB1874" s="5">
        <v>9</v>
      </c>
      <c r="AC1874" s="2" t="s">
        <v>5426</v>
      </c>
      <c r="AD1874" s="4">
        <v>100</v>
      </c>
      <c r="AE1874" s="4">
        <v>100</v>
      </c>
      <c r="AF1874" s="6">
        <v>69</v>
      </c>
      <c r="AG1874" s="6"/>
      <c r="AH1874" s="7">
        <v>1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>
        <v>0</v>
      </c>
      <c r="AP1874" s="4"/>
      <c r="AQ1874" s="8"/>
      <c r="AR1874" s="4"/>
      <c r="AS1874" s="8"/>
      <c r="AT1874" s="7"/>
      <c r="AU1874" s="7"/>
      <c r="AV1874" s="4">
        <v>3</v>
      </c>
      <c r="AW1874" s="8">
        <v>174.94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/>
      <c r="BC1874" s="4">
        <v>3</v>
      </c>
      <c r="BD1874" s="8">
        <v>174.94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>
        <v>1</v>
      </c>
      <c r="BJ1874" s="4">
        <v>8</v>
      </c>
      <c r="BK1874" s="8">
        <v>326.82</v>
      </c>
      <c r="BL1874" s="2" t="s">
        <v>325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3088</v>
      </c>
      <c r="BV1874" s="2" t="s">
        <v>97</v>
      </c>
      <c r="BW1874" s="2" t="s">
        <v>100</v>
      </c>
      <c r="BX1874" s="2" t="s">
        <v>100</v>
      </c>
      <c r="BY1874" s="2" t="s">
        <v>112</v>
      </c>
      <c r="BZ1874" s="2" t="s">
        <v>100</v>
      </c>
    </row>
    <row r="1875">
      <c r="A1875" s="2" t="s">
        <v>5427</v>
      </c>
      <c r="B1875" s="2" t="s">
        <v>87</v>
      </c>
      <c r="C1875" s="2" t="s">
        <v>5420</v>
      </c>
      <c r="D1875" s="2" t="s">
        <v>2230</v>
      </c>
      <c r="E1875" s="2" t="s">
        <v>5421</v>
      </c>
      <c r="F1875" s="2" t="s">
        <v>5422</v>
      </c>
      <c r="G1875" s="2" t="s">
        <v>5422</v>
      </c>
      <c r="H1875" s="2" t="s">
        <v>5422</v>
      </c>
      <c r="I1875" s="2" t="s">
        <v>5423</v>
      </c>
      <c r="J1875" s="2" t="s">
        <v>785</v>
      </c>
      <c r="K1875" s="2" t="s">
        <v>409</v>
      </c>
      <c r="L1875" s="3">
        <v>52.8</v>
      </c>
      <c r="M1875" s="3">
        <v>55.43</v>
      </c>
      <c r="N1875" s="3">
        <v>109.99</v>
      </c>
      <c r="O1875" s="2" t="s">
        <v>97</v>
      </c>
      <c r="P1875" s="2" t="s">
        <v>281</v>
      </c>
      <c r="Q1875" s="2" t="s">
        <v>99</v>
      </c>
      <c r="R1875" s="2" t="s">
        <v>100</v>
      </c>
      <c r="S1875" s="2" t="s">
        <v>5424</v>
      </c>
      <c r="T1875" s="2" t="s">
        <v>359</v>
      </c>
      <c r="U1875" s="2" t="s">
        <v>1508</v>
      </c>
      <c r="V1875" s="2" t="s">
        <v>2876</v>
      </c>
      <c r="W1875" s="2" t="s">
        <v>756</v>
      </c>
      <c r="X1875" s="2" t="s">
        <v>244</v>
      </c>
      <c r="Y1875" s="2" t="s">
        <v>3110</v>
      </c>
      <c r="Z1875" s="4">
        <v>1044</v>
      </c>
      <c r="AA1875" s="4">
        <f>=ROUNDDOWN(21.3061224489796,0)</f>
      </c>
      <c r="AB1875" s="5">
        <v>49</v>
      </c>
      <c r="AC1875" s="2" t="s">
        <v>3470</v>
      </c>
      <c r="AD1875" s="4">
        <v>500</v>
      </c>
      <c r="AE1875" s="4">
        <v>1100</v>
      </c>
      <c r="AF1875" s="6">
        <v>69</v>
      </c>
      <c r="AG1875" s="6">
        <v>52</v>
      </c>
      <c r="AH1875" s="7">
        <v>1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>
        <v>0</v>
      </c>
      <c r="AP1875" s="4">
        <v>2</v>
      </c>
      <c r="AQ1875" s="8">
        <v>109.34</v>
      </c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>
        <v>0.625</v>
      </c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 t="s">
        <v>100</v>
      </c>
      <c r="BJ1875" s="4">
        <v>55</v>
      </c>
      <c r="BK1875" s="8">
        <v>3170.32</v>
      </c>
      <c r="BL1875" s="2" t="s">
        <v>3084</v>
      </c>
      <c r="BM1875" s="7">
        <v>0.0364</v>
      </c>
      <c r="BN1875" s="7">
        <v>0.0345</v>
      </c>
      <c r="BO1875" s="4">
        <v>2</v>
      </c>
      <c r="BP1875" s="8">
        <v>109.34</v>
      </c>
      <c r="BQ1875" s="4"/>
      <c r="BR1875" s="8"/>
      <c r="BS1875" s="7"/>
      <c r="BT1875" s="7"/>
      <c r="BU1875" s="2" t="s">
        <v>109</v>
      </c>
      <c r="BV1875" s="2" t="s">
        <v>97</v>
      </c>
      <c r="BW1875" s="2" t="s">
        <v>5428</v>
      </c>
      <c r="BX1875" s="2" t="s">
        <v>5429</v>
      </c>
      <c r="BY1875" s="2" t="s">
        <v>112</v>
      </c>
      <c r="BZ1875" s="2" t="s">
        <v>100</v>
      </c>
    </row>
    <row r="1876">
      <c r="A1876" s="2" t="s">
        <v>5430</v>
      </c>
      <c r="B1876" s="2" t="s">
        <v>87</v>
      </c>
      <c r="C1876" s="2" t="s">
        <v>5420</v>
      </c>
      <c r="D1876" s="2" t="s">
        <v>2230</v>
      </c>
      <c r="E1876" s="2" t="s">
        <v>5421</v>
      </c>
      <c r="F1876" s="2" t="s">
        <v>5422</v>
      </c>
      <c r="G1876" s="2" t="s">
        <v>5422</v>
      </c>
      <c r="H1876" s="2" t="s">
        <v>5422</v>
      </c>
      <c r="I1876" s="2" t="s">
        <v>5423</v>
      </c>
      <c r="J1876" s="2" t="s">
        <v>795</v>
      </c>
      <c r="K1876" s="2" t="s">
        <v>409</v>
      </c>
      <c r="L1876" s="3">
        <v>63.7</v>
      </c>
      <c r="M1876" s="3">
        <v>66.88</v>
      </c>
      <c r="N1876" s="3">
        <v>129.99</v>
      </c>
      <c r="O1876" s="2" t="s">
        <v>97</v>
      </c>
      <c r="P1876" s="2" t="s">
        <v>281</v>
      </c>
      <c r="Q1876" s="2" t="s">
        <v>99</v>
      </c>
      <c r="R1876" s="2" t="s">
        <v>100</v>
      </c>
      <c r="S1876" s="2" t="s">
        <v>5424</v>
      </c>
      <c r="T1876" s="2" t="s">
        <v>359</v>
      </c>
      <c r="U1876" s="2" t="s">
        <v>1508</v>
      </c>
      <c r="V1876" s="2" t="s">
        <v>2876</v>
      </c>
      <c r="W1876" s="2" t="s">
        <v>756</v>
      </c>
      <c r="X1876" s="2" t="s">
        <v>244</v>
      </c>
      <c r="Y1876" s="2" t="s">
        <v>3110</v>
      </c>
      <c r="Z1876" s="4">
        <v>1067</v>
      </c>
      <c r="AA1876" s="4">
        <f>=ROUNDDOWN(50.8095238095238,0)</f>
      </c>
      <c r="AB1876" s="5">
        <v>21</v>
      </c>
      <c r="AC1876" s="2" t="s">
        <v>790</v>
      </c>
      <c r="AD1876" s="4">
        <v>103</v>
      </c>
      <c r="AE1876" s="4">
        <v>303</v>
      </c>
      <c r="AF1876" s="6">
        <v>69</v>
      </c>
      <c r="AG1876" s="6">
        <v>52</v>
      </c>
      <c r="AH1876" s="7">
        <v>1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>
        <v>0</v>
      </c>
      <c r="AP1876" s="4">
        <v>1</v>
      </c>
      <c r="AQ1876" s="8">
        <v>65.6</v>
      </c>
      <c r="AR1876" s="4"/>
      <c r="AS1876" s="8"/>
      <c r="AT1876" s="7"/>
      <c r="AU1876" s="7"/>
      <c r="AV1876" s="4" t="s">
        <v>100</v>
      </c>
      <c r="AW1876" s="8" t="s">
        <v>100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>
        <v>0.375</v>
      </c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 t="s">
        <v>100</v>
      </c>
      <c r="BJ1876" s="4">
        <v>14</v>
      </c>
      <c r="BK1876" s="8">
        <v>948.03</v>
      </c>
      <c r="BL1876" s="2" t="s">
        <v>2944</v>
      </c>
      <c r="BM1876" s="7">
        <v>0.0714</v>
      </c>
      <c r="BN1876" s="7">
        <v>0.0692</v>
      </c>
      <c r="BO1876" s="4">
        <v>1</v>
      </c>
      <c r="BP1876" s="8">
        <v>65.6</v>
      </c>
      <c r="BQ1876" s="4"/>
      <c r="BR1876" s="8"/>
      <c r="BS1876" s="7"/>
      <c r="BT1876" s="7"/>
      <c r="BU1876" s="2" t="s">
        <v>109</v>
      </c>
      <c r="BV1876" s="2" t="s">
        <v>97</v>
      </c>
      <c r="BW1876" s="2" t="s">
        <v>5428</v>
      </c>
      <c r="BX1876" s="2" t="s">
        <v>1364</v>
      </c>
      <c r="BY1876" s="2" t="s">
        <v>112</v>
      </c>
      <c r="BZ1876" s="2" t="s">
        <v>100</v>
      </c>
    </row>
    <row r="1877">
      <c r="A1877" s="2" t="s">
        <v>5431</v>
      </c>
      <c r="B1877" s="2" t="s">
        <v>87</v>
      </c>
      <c r="C1877" s="2" t="s">
        <v>5420</v>
      </c>
      <c r="D1877" s="2" t="s">
        <v>2230</v>
      </c>
      <c r="E1877" s="2" t="s">
        <v>5421</v>
      </c>
      <c r="F1877" s="2" t="s">
        <v>5432</v>
      </c>
      <c r="G1877" s="2" t="s">
        <v>5432</v>
      </c>
      <c r="H1877" s="2" t="s">
        <v>5432</v>
      </c>
      <c r="I1877" s="2" t="s">
        <v>5433</v>
      </c>
      <c r="J1877" s="2" t="s">
        <v>785</v>
      </c>
      <c r="K1877" s="2" t="s">
        <v>771</v>
      </c>
      <c r="L1877" s="3">
        <v>52.38</v>
      </c>
      <c r="M1877" s="3">
        <v>55</v>
      </c>
      <c r="N1877" s="3">
        <v>109.99</v>
      </c>
      <c r="O1877" s="2" t="s">
        <v>97</v>
      </c>
      <c r="P1877" s="2" t="s">
        <v>98</v>
      </c>
      <c r="Q1877" s="2" t="s">
        <v>99</v>
      </c>
      <c r="R1877" s="2" t="s">
        <v>100</v>
      </c>
      <c r="S1877" s="2" t="s">
        <v>5434</v>
      </c>
      <c r="T1877" s="2" t="s">
        <v>359</v>
      </c>
      <c r="U1877" s="2" t="s">
        <v>1508</v>
      </c>
      <c r="V1877" s="2" t="s">
        <v>734</v>
      </c>
      <c r="W1877" s="2" t="s">
        <v>756</v>
      </c>
      <c r="X1877" s="2" t="s">
        <v>345</v>
      </c>
      <c r="Y1877" s="2" t="s">
        <v>5435</v>
      </c>
      <c r="Z1877" s="4">
        <v>289</v>
      </c>
      <c r="AA1877" s="4">
        <f>=ROUNDDOWN(28.9,0)</f>
      </c>
      <c r="AB1877" s="5">
        <v>10</v>
      </c>
      <c r="AC1877" s="2" t="s">
        <v>2598</v>
      </c>
      <c r="AD1877" s="4">
        <v>110</v>
      </c>
      <c r="AE1877" s="4">
        <v>110</v>
      </c>
      <c r="AF1877" s="6">
        <v>65</v>
      </c>
      <c r="AG1877" s="6"/>
      <c r="AH1877" s="7">
        <v>1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>
        <v>0</v>
      </c>
      <c r="AP1877" s="4"/>
      <c r="AQ1877" s="8"/>
      <c r="AR1877" s="4"/>
      <c r="AS1877" s="8"/>
      <c r="AT1877" s="7"/>
      <c r="AU1877" s="7"/>
      <c r="AV1877" s="4">
        <v>1</v>
      </c>
      <c r="AW1877" s="8">
        <v>65.51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/>
      <c r="BC1877" s="4">
        <v>1</v>
      </c>
      <c r="BD1877" s="8">
        <v>65.51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>
        <v>1</v>
      </c>
      <c r="BJ1877" s="4">
        <v>5</v>
      </c>
      <c r="BK1877" s="8">
        <v>289.36</v>
      </c>
      <c r="BL1877" s="2" t="s">
        <v>3624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109</v>
      </c>
      <c r="BV1877" s="2" t="s">
        <v>97</v>
      </c>
      <c r="BW1877" s="2" t="s">
        <v>4345</v>
      </c>
      <c r="BX1877" s="2" t="s">
        <v>2847</v>
      </c>
      <c r="BY1877" s="2" t="s">
        <v>112</v>
      </c>
      <c r="BZ1877" s="2" t="s">
        <v>100</v>
      </c>
    </row>
    <row r="1878">
      <c r="A1878" s="2" t="s">
        <v>5436</v>
      </c>
      <c r="B1878" s="2" t="s">
        <v>87</v>
      </c>
      <c r="C1878" s="2" t="s">
        <v>5420</v>
      </c>
      <c r="D1878" s="2" t="s">
        <v>2230</v>
      </c>
      <c r="E1878" s="2" t="s">
        <v>5421</v>
      </c>
      <c r="F1878" s="2" t="s">
        <v>5432</v>
      </c>
      <c r="G1878" s="2" t="s">
        <v>5432</v>
      </c>
      <c r="H1878" s="2" t="s">
        <v>5432</v>
      </c>
      <c r="I1878" s="2" t="s">
        <v>5433</v>
      </c>
      <c r="J1878" s="2" t="s">
        <v>795</v>
      </c>
      <c r="K1878" s="2" t="s">
        <v>771</v>
      </c>
      <c r="L1878" s="3">
        <v>59.42</v>
      </c>
      <c r="M1878" s="3">
        <v>62.39</v>
      </c>
      <c r="N1878" s="3">
        <v>129.99</v>
      </c>
      <c r="O1878" s="2" t="s">
        <v>97</v>
      </c>
      <c r="P1878" s="2" t="s">
        <v>98</v>
      </c>
      <c r="Q1878" s="2" t="s">
        <v>99</v>
      </c>
      <c r="R1878" s="2" t="s">
        <v>100</v>
      </c>
      <c r="S1878" s="2" t="s">
        <v>5434</v>
      </c>
      <c r="T1878" s="2" t="s">
        <v>359</v>
      </c>
      <c r="U1878" s="2" t="s">
        <v>1508</v>
      </c>
      <c r="V1878" s="2" t="s">
        <v>734</v>
      </c>
      <c r="W1878" s="2" t="s">
        <v>756</v>
      </c>
      <c r="X1878" s="2" t="s">
        <v>345</v>
      </c>
      <c r="Y1878" s="2" t="s">
        <v>5435</v>
      </c>
      <c r="Z1878" s="4">
        <v>392</v>
      </c>
      <c r="AA1878" s="4">
        <f>=ROUNDDOWN(30.1538461538462,0)</f>
      </c>
      <c r="AB1878" s="5">
        <v>13</v>
      </c>
      <c r="AC1878" s="2" t="s">
        <v>2598</v>
      </c>
      <c r="AD1878" s="4">
        <v>190</v>
      </c>
      <c r="AE1878" s="4">
        <v>190</v>
      </c>
      <c r="AF1878" s="6">
        <v>65</v>
      </c>
      <c r="AG1878" s="6"/>
      <c r="AH1878" s="7">
        <v>1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>
        <v>0</v>
      </c>
      <c r="AP1878" s="4">
        <v>1</v>
      </c>
      <c r="AQ1878" s="8">
        <v>65.51</v>
      </c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>
        <v>1</v>
      </c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 t="s">
        <v>100</v>
      </c>
      <c r="BJ1878" s="4">
        <v>17</v>
      </c>
      <c r="BK1878" s="8">
        <v>1151.9</v>
      </c>
      <c r="BL1878" s="2" t="s">
        <v>5437</v>
      </c>
      <c r="BM1878" s="7">
        <v>0.0588</v>
      </c>
      <c r="BN1878" s="7">
        <v>0.0569</v>
      </c>
      <c r="BO1878" s="4">
        <v>1</v>
      </c>
      <c r="BP1878" s="8">
        <v>65.51</v>
      </c>
      <c r="BQ1878" s="4"/>
      <c r="BR1878" s="8"/>
      <c r="BS1878" s="7"/>
      <c r="BT1878" s="7"/>
      <c r="BU1878" s="2" t="s">
        <v>109</v>
      </c>
      <c r="BV1878" s="2" t="s">
        <v>97</v>
      </c>
      <c r="BW1878" s="2" t="s">
        <v>4345</v>
      </c>
      <c r="BX1878" s="2" t="s">
        <v>5438</v>
      </c>
      <c r="BY1878" s="2" t="s">
        <v>112</v>
      </c>
      <c r="BZ1878" s="2" t="s">
        <v>100</v>
      </c>
    </row>
    <row r="1879">
      <c r="A1879" s="2" t="s">
        <v>5439</v>
      </c>
      <c r="B1879" s="2" t="s">
        <v>87</v>
      </c>
      <c r="C1879" s="2" t="s">
        <v>5420</v>
      </c>
      <c r="D1879" s="2" t="s">
        <v>2230</v>
      </c>
      <c r="E1879" s="2" t="s">
        <v>5421</v>
      </c>
      <c r="F1879" s="2" t="s">
        <v>5432</v>
      </c>
      <c r="G1879" s="2" t="s">
        <v>5432</v>
      </c>
      <c r="H1879" s="2" t="s">
        <v>5432</v>
      </c>
      <c r="I1879" s="2" t="s">
        <v>5433</v>
      </c>
      <c r="J1879" s="2" t="s">
        <v>785</v>
      </c>
      <c r="K1879" s="2" t="s">
        <v>253</v>
      </c>
      <c r="L1879" s="3">
        <v>52.38</v>
      </c>
      <c r="M1879" s="3">
        <v>55</v>
      </c>
      <c r="N1879" s="3">
        <v>109.99</v>
      </c>
      <c r="O1879" s="2" t="s">
        <v>97</v>
      </c>
      <c r="P1879" s="2" t="s">
        <v>98</v>
      </c>
      <c r="Q1879" s="2" t="s">
        <v>99</v>
      </c>
      <c r="R1879" s="2" t="s">
        <v>100</v>
      </c>
      <c r="S1879" s="2" t="s">
        <v>5440</v>
      </c>
      <c r="T1879" s="2" t="s">
        <v>359</v>
      </c>
      <c r="U1879" s="2" t="s">
        <v>1508</v>
      </c>
      <c r="V1879" s="2" t="s">
        <v>734</v>
      </c>
      <c r="W1879" s="2" t="s">
        <v>756</v>
      </c>
      <c r="X1879" s="2" t="s">
        <v>345</v>
      </c>
      <c r="Y1879" s="2" t="s">
        <v>5441</v>
      </c>
      <c r="Z1879" s="4">
        <v>308</v>
      </c>
      <c r="AA1879" s="4">
        <f>=ROUNDDOWN(25.6666666666667,0)</f>
      </c>
      <c r="AB1879" s="5">
        <v>12</v>
      </c>
      <c r="AC1879" s="2" t="s">
        <v>1304</v>
      </c>
      <c r="AD1879" s="4">
        <v>140</v>
      </c>
      <c r="AE1879" s="4">
        <v>440</v>
      </c>
      <c r="AF1879" s="6">
        <v>65</v>
      </c>
      <c r="AG1879" s="6"/>
      <c r="AH1879" s="7">
        <v>1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 t="s">
        <v>100</v>
      </c>
      <c r="AW1879" s="8" t="s">
        <v>100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 t="s">
        <v>100</v>
      </c>
      <c r="BJ1879" s="4">
        <v>12</v>
      </c>
      <c r="BK1879" s="8">
        <v>706.06</v>
      </c>
      <c r="BL1879" s="2" t="s">
        <v>5442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109</v>
      </c>
      <c r="BV1879" s="2" t="s">
        <v>97</v>
      </c>
      <c r="BW1879" s="2" t="s">
        <v>4345</v>
      </c>
      <c r="BX1879" s="2" t="s">
        <v>313</v>
      </c>
      <c r="BY1879" s="2" t="s">
        <v>112</v>
      </c>
      <c r="BZ1879" s="2" t="s">
        <v>100</v>
      </c>
    </row>
    <row r="1880">
      <c r="A1880" s="2" t="s">
        <v>5443</v>
      </c>
      <c r="B1880" s="2" t="s">
        <v>87</v>
      </c>
      <c r="C1880" s="2" t="s">
        <v>5420</v>
      </c>
      <c r="D1880" s="2" t="s">
        <v>2230</v>
      </c>
      <c r="E1880" s="2" t="s">
        <v>5421</v>
      </c>
      <c r="F1880" s="2" t="s">
        <v>5432</v>
      </c>
      <c r="G1880" s="2" t="s">
        <v>5432</v>
      </c>
      <c r="H1880" s="2" t="s">
        <v>5432</v>
      </c>
      <c r="I1880" s="2" t="s">
        <v>5433</v>
      </c>
      <c r="J1880" s="2" t="s">
        <v>795</v>
      </c>
      <c r="K1880" s="2" t="s">
        <v>253</v>
      </c>
      <c r="L1880" s="3">
        <v>59.42</v>
      </c>
      <c r="M1880" s="3">
        <v>62.39</v>
      </c>
      <c r="N1880" s="3">
        <v>129.99</v>
      </c>
      <c r="O1880" s="2" t="s">
        <v>97</v>
      </c>
      <c r="P1880" s="2" t="s">
        <v>98</v>
      </c>
      <c r="Q1880" s="2" t="s">
        <v>99</v>
      </c>
      <c r="R1880" s="2" t="s">
        <v>100</v>
      </c>
      <c r="S1880" s="2" t="s">
        <v>5440</v>
      </c>
      <c r="T1880" s="2" t="s">
        <v>359</v>
      </c>
      <c r="U1880" s="2" t="s">
        <v>1508</v>
      </c>
      <c r="V1880" s="2" t="s">
        <v>734</v>
      </c>
      <c r="W1880" s="2" t="s">
        <v>756</v>
      </c>
      <c r="X1880" s="2" t="s">
        <v>345</v>
      </c>
      <c r="Y1880" s="2" t="s">
        <v>5441</v>
      </c>
      <c r="Z1880" s="4">
        <v>582</v>
      </c>
      <c r="AA1880" s="4">
        <f>=ROUNDDOWN(41.5714285714286,0)</f>
      </c>
      <c r="AB1880" s="5">
        <v>14</v>
      </c>
      <c r="AC1880" s="2" t="s">
        <v>1304</v>
      </c>
      <c r="AD1880" s="4">
        <v>200</v>
      </c>
      <c r="AE1880" s="4">
        <v>270</v>
      </c>
      <c r="AF1880" s="6">
        <v>65</v>
      </c>
      <c r="AG1880" s="6"/>
      <c r="AH1880" s="7">
        <v>1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>
        <v>0</v>
      </c>
      <c r="AP1880" s="4"/>
      <c r="AQ1880" s="8"/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/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 t="s">
        <v>100</v>
      </c>
      <c r="BJ1880" s="4">
        <v>14</v>
      </c>
      <c r="BK1880" s="8">
        <v>914.56</v>
      </c>
      <c r="BL1880" s="2" t="s">
        <v>745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109</v>
      </c>
      <c r="BV1880" s="2" t="s">
        <v>97</v>
      </c>
      <c r="BW1880" s="2" t="s">
        <v>4345</v>
      </c>
      <c r="BX1880" s="2" t="s">
        <v>1194</v>
      </c>
      <c r="BY1880" s="2" t="s">
        <v>112</v>
      </c>
      <c r="BZ1880" s="2" t="s">
        <v>100</v>
      </c>
    </row>
    <row r="1881">
      <c r="A1881" s="2" t="s">
        <v>5444</v>
      </c>
      <c r="B1881" s="2" t="s">
        <v>87</v>
      </c>
      <c r="C1881" s="2" t="s">
        <v>5420</v>
      </c>
      <c r="D1881" s="2" t="s">
        <v>2230</v>
      </c>
      <c r="E1881" s="2" t="s">
        <v>5421</v>
      </c>
      <c r="F1881" s="2" t="s">
        <v>5445</v>
      </c>
      <c r="G1881" s="2" t="s">
        <v>5445</v>
      </c>
      <c r="H1881" s="2" t="s">
        <v>5445</v>
      </c>
      <c r="I1881" s="2" t="s">
        <v>5446</v>
      </c>
      <c r="J1881" s="2" t="s">
        <v>785</v>
      </c>
      <c r="K1881" s="2" t="s">
        <v>771</v>
      </c>
      <c r="L1881" s="3">
        <v>50.6</v>
      </c>
      <c r="M1881" s="3">
        <v>53.13</v>
      </c>
      <c r="N1881" s="3">
        <v>109.99</v>
      </c>
      <c r="O1881" s="2" t="s">
        <v>97</v>
      </c>
      <c r="P1881" s="2" t="s">
        <v>98</v>
      </c>
      <c r="Q1881" s="2" t="s">
        <v>99</v>
      </c>
      <c r="R1881" s="2" t="s">
        <v>100</v>
      </c>
      <c r="S1881" s="2" t="s">
        <v>5447</v>
      </c>
      <c r="T1881" s="2" t="s">
        <v>359</v>
      </c>
      <c r="U1881" s="2" t="s">
        <v>1508</v>
      </c>
      <c r="V1881" s="2" t="s">
        <v>1641</v>
      </c>
      <c r="W1881" s="2" t="s">
        <v>756</v>
      </c>
      <c r="X1881" s="2" t="s">
        <v>345</v>
      </c>
      <c r="Y1881" s="2" t="s">
        <v>5448</v>
      </c>
      <c r="Z1881" s="4">
        <v>409</v>
      </c>
      <c r="AA1881" s="4">
        <f>=ROUNDDOWN(45.4444444444444,0)</f>
      </c>
      <c r="AB1881" s="5">
        <v>9</v>
      </c>
      <c r="AC1881" s="2" t="s">
        <v>559</v>
      </c>
      <c r="AD1881" s="4">
        <v>400</v>
      </c>
      <c r="AE1881" s="4">
        <v>400</v>
      </c>
      <c r="AF1881" s="6">
        <v>66</v>
      </c>
      <c r="AG1881" s="6"/>
      <c r="AH1881" s="7">
        <v>1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>
        <v>0</v>
      </c>
      <c r="AP1881" s="4">
        <v>1</v>
      </c>
      <c r="AQ1881" s="8">
        <v>54.02</v>
      </c>
      <c r="AR1881" s="4"/>
      <c r="AS1881" s="8"/>
      <c r="AT1881" s="7"/>
      <c r="AU1881" s="7"/>
      <c r="AV1881" s="4">
        <v>1</v>
      </c>
      <c r="AW1881" s="8">
        <v>54.02</v>
      </c>
      <c r="AX1881" s="4" t="s">
        <v>100</v>
      </c>
      <c r="AY1881" s="8" t="s">
        <v>100</v>
      </c>
      <c r="AZ1881" s="7" t="s">
        <v>100</v>
      </c>
      <c r="BA1881" s="7" t="s">
        <v>100</v>
      </c>
      <c r="BB1881" s="7">
        <v>1</v>
      </c>
      <c r="BC1881" s="4">
        <v>1</v>
      </c>
      <c r="BD1881" s="8">
        <v>54.02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>
        <v>1</v>
      </c>
      <c r="BJ1881" s="4">
        <v>13</v>
      </c>
      <c r="BK1881" s="8">
        <v>713.12</v>
      </c>
      <c r="BL1881" s="2" t="s">
        <v>3407</v>
      </c>
      <c r="BM1881" s="7">
        <v>0.0769</v>
      </c>
      <c r="BN1881" s="7">
        <v>0.0758</v>
      </c>
      <c r="BO1881" s="4">
        <v>1</v>
      </c>
      <c r="BP1881" s="8">
        <v>54.02</v>
      </c>
      <c r="BQ1881" s="4"/>
      <c r="BR1881" s="8"/>
      <c r="BS1881" s="7"/>
      <c r="BT1881" s="7"/>
      <c r="BU1881" s="2" t="s">
        <v>109</v>
      </c>
      <c r="BV1881" s="2" t="s">
        <v>97</v>
      </c>
      <c r="BW1881" s="2" t="s">
        <v>4443</v>
      </c>
      <c r="BX1881" s="2" t="s">
        <v>5449</v>
      </c>
      <c r="BY1881" s="2" t="s">
        <v>112</v>
      </c>
      <c r="BZ1881" s="2" t="s">
        <v>100</v>
      </c>
    </row>
    <row r="1882">
      <c r="A1882" s="2" t="s">
        <v>5450</v>
      </c>
      <c r="B1882" s="2" t="s">
        <v>87</v>
      </c>
      <c r="C1882" s="2" t="s">
        <v>5420</v>
      </c>
      <c r="D1882" s="2" t="s">
        <v>2230</v>
      </c>
      <c r="E1882" s="2" t="s">
        <v>5421</v>
      </c>
      <c r="F1882" s="2" t="s">
        <v>5445</v>
      </c>
      <c r="G1882" s="2" t="s">
        <v>5445</v>
      </c>
      <c r="H1882" s="2" t="s">
        <v>5445</v>
      </c>
      <c r="I1882" s="2" t="s">
        <v>5446</v>
      </c>
      <c r="J1882" s="2" t="s">
        <v>795</v>
      </c>
      <c r="K1882" s="2" t="s">
        <v>771</v>
      </c>
      <c r="L1882" s="3">
        <v>57.6</v>
      </c>
      <c r="M1882" s="3">
        <v>60.47</v>
      </c>
      <c r="N1882" s="3">
        <v>119.99</v>
      </c>
      <c r="O1882" s="2" t="s">
        <v>97</v>
      </c>
      <c r="P1882" s="2" t="s">
        <v>98</v>
      </c>
      <c r="Q1882" s="2" t="s">
        <v>99</v>
      </c>
      <c r="R1882" s="2" t="s">
        <v>100</v>
      </c>
      <c r="S1882" s="2" t="s">
        <v>5447</v>
      </c>
      <c r="T1882" s="2" t="s">
        <v>359</v>
      </c>
      <c r="U1882" s="2" t="s">
        <v>1508</v>
      </c>
      <c r="V1882" s="2" t="s">
        <v>1641</v>
      </c>
      <c r="W1882" s="2" t="s">
        <v>756</v>
      </c>
      <c r="X1882" s="2" t="s">
        <v>345</v>
      </c>
      <c r="Y1882" s="2" t="s">
        <v>5448</v>
      </c>
      <c r="Z1882" s="4">
        <v>418</v>
      </c>
      <c r="AA1882" s="4">
        <f>=ROUNDDOWN(32.1538461538462,0)</f>
      </c>
      <c r="AB1882" s="5">
        <v>13</v>
      </c>
      <c r="AC1882" s="2" t="s">
        <v>559</v>
      </c>
      <c r="AD1882" s="4">
        <v>400</v>
      </c>
      <c r="AE1882" s="4">
        <v>400</v>
      </c>
      <c r="AF1882" s="6">
        <v>66</v>
      </c>
      <c r="AG1882" s="6"/>
      <c r="AH1882" s="7">
        <v>1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>
        <v>0</v>
      </c>
      <c r="AP1882" s="4"/>
      <c r="AQ1882" s="8"/>
      <c r="AR1882" s="4"/>
      <c r="AS1882" s="8"/>
      <c r="AT1882" s="7"/>
      <c r="AU1882" s="7"/>
      <c r="AV1882" s="4" t="s">
        <v>100</v>
      </c>
      <c r="AW1882" s="8" t="s">
        <v>100</v>
      </c>
      <c r="AX1882" s="4" t="s">
        <v>100</v>
      </c>
      <c r="AY1882" s="8" t="s">
        <v>100</v>
      </c>
      <c r="AZ1882" s="7" t="s">
        <v>100</v>
      </c>
      <c r="BA1882" s="7" t="s">
        <v>100</v>
      </c>
      <c r="BB1882" s="7"/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 t="s">
        <v>100</v>
      </c>
      <c r="BJ1882" s="4">
        <v>7</v>
      </c>
      <c r="BK1882" s="8">
        <v>426.42</v>
      </c>
      <c r="BL1882" s="2" t="s">
        <v>1461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109</v>
      </c>
      <c r="BV1882" s="2" t="s">
        <v>97</v>
      </c>
      <c r="BW1882" s="2" t="s">
        <v>4443</v>
      </c>
      <c r="BX1882" s="2" t="s">
        <v>5451</v>
      </c>
      <c r="BY1882" s="2" t="s">
        <v>112</v>
      </c>
      <c r="BZ1882" s="2" t="s">
        <v>100</v>
      </c>
    </row>
    <row r="1883">
      <c r="A1883" s="2" t="s">
        <v>5452</v>
      </c>
      <c r="B1883" s="2" t="s">
        <v>87</v>
      </c>
      <c r="C1883" s="2" t="s">
        <v>5420</v>
      </c>
      <c r="D1883" s="2" t="s">
        <v>2230</v>
      </c>
      <c r="E1883" s="2" t="s">
        <v>5421</v>
      </c>
      <c r="F1883" s="2" t="s">
        <v>1172</v>
      </c>
      <c r="G1883" s="2" t="s">
        <v>1172</v>
      </c>
      <c r="H1883" s="2" t="s">
        <v>1172</v>
      </c>
      <c r="I1883" s="2" t="s">
        <v>5453</v>
      </c>
      <c r="J1883" s="2" t="s">
        <v>785</v>
      </c>
      <c r="K1883" s="2" t="s">
        <v>771</v>
      </c>
      <c r="L1883" s="3">
        <v>49.99</v>
      </c>
      <c r="M1883" s="3">
        <v>52.49</v>
      </c>
      <c r="N1883" s="3">
        <v>99.99</v>
      </c>
      <c r="O1883" s="2" t="s">
        <v>97</v>
      </c>
      <c r="P1883" s="2" t="s">
        <v>98</v>
      </c>
      <c r="Q1883" s="2" t="s">
        <v>99</v>
      </c>
      <c r="R1883" s="2" t="s">
        <v>100</v>
      </c>
      <c r="S1883" s="2" t="s">
        <v>5454</v>
      </c>
      <c r="T1883" s="2" t="s">
        <v>100</v>
      </c>
      <c r="U1883" s="2" t="s">
        <v>100</v>
      </c>
      <c r="V1883" s="2" t="s">
        <v>1112</v>
      </c>
      <c r="W1883" s="2" t="s">
        <v>756</v>
      </c>
      <c r="X1883" s="2" t="s">
        <v>563</v>
      </c>
      <c r="Y1883" s="2" t="s">
        <v>131</v>
      </c>
      <c r="Z1883" s="4">
        <v>92</v>
      </c>
      <c r="AA1883" s="4">
        <f>=ROUNDDOWN(11.5,0)</f>
      </c>
      <c r="AB1883" s="5">
        <v>8</v>
      </c>
      <c r="AC1883" s="2" t="s">
        <v>406</v>
      </c>
      <c r="AD1883" s="4">
        <v>60</v>
      </c>
      <c r="AE1883" s="4">
        <v>110</v>
      </c>
      <c r="AF1883" s="6">
        <v>69</v>
      </c>
      <c r="AG1883" s="6"/>
      <c r="AH1883" s="7">
        <v>1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>
        <v>0</v>
      </c>
      <c r="AP1883" s="4">
        <v>1</v>
      </c>
      <c r="AQ1883" s="8">
        <v>52.83</v>
      </c>
      <c r="AR1883" s="4"/>
      <c r="AS1883" s="8"/>
      <c r="AT1883" s="7"/>
      <c r="AU1883" s="7"/>
      <c r="AV1883" s="4">
        <v>1</v>
      </c>
      <c r="AW1883" s="8">
        <v>52.83</v>
      </c>
      <c r="AX1883" s="4" t="s">
        <v>100</v>
      </c>
      <c r="AY1883" s="8" t="s">
        <v>100</v>
      </c>
      <c r="AZ1883" s="7" t="s">
        <v>100</v>
      </c>
      <c r="BA1883" s="7" t="s">
        <v>100</v>
      </c>
      <c r="BB1883" s="7">
        <v>1</v>
      </c>
      <c r="BC1883" s="4">
        <v>1</v>
      </c>
      <c r="BD1883" s="8">
        <v>52.83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>
        <v>1</v>
      </c>
      <c r="BJ1883" s="4">
        <v>10</v>
      </c>
      <c r="BK1883" s="8">
        <v>472.18</v>
      </c>
      <c r="BL1883" s="2" t="s">
        <v>2262</v>
      </c>
      <c r="BM1883" s="7">
        <v>0.1</v>
      </c>
      <c r="BN1883" s="7">
        <v>0.1119</v>
      </c>
      <c r="BO1883" s="4">
        <v>1</v>
      </c>
      <c r="BP1883" s="8">
        <v>52.83</v>
      </c>
      <c r="BQ1883" s="4"/>
      <c r="BR1883" s="8"/>
      <c r="BS1883" s="7"/>
      <c r="BT1883" s="7"/>
      <c r="BU1883" s="2" t="s">
        <v>109</v>
      </c>
      <c r="BV1883" s="2" t="s">
        <v>97</v>
      </c>
      <c r="BW1883" s="2" t="s">
        <v>402</v>
      </c>
      <c r="BX1883" s="2" t="s">
        <v>260</v>
      </c>
      <c r="BY1883" s="2" t="s">
        <v>112</v>
      </c>
      <c r="BZ1883" s="2" t="s">
        <v>100</v>
      </c>
    </row>
    <row r="1884">
      <c r="A1884" s="2" t="s">
        <v>5455</v>
      </c>
      <c r="B1884" s="2" t="s">
        <v>87</v>
      </c>
      <c r="C1884" s="2" t="s">
        <v>5420</v>
      </c>
      <c r="D1884" s="2" t="s">
        <v>2230</v>
      </c>
      <c r="E1884" s="2" t="s">
        <v>5421</v>
      </c>
      <c r="F1884" s="2" t="s">
        <v>1172</v>
      </c>
      <c r="G1884" s="2" t="s">
        <v>1172</v>
      </c>
      <c r="H1884" s="2" t="s">
        <v>1172</v>
      </c>
      <c r="I1884" s="2" t="s">
        <v>5453</v>
      </c>
      <c r="J1884" s="2" t="s">
        <v>795</v>
      </c>
      <c r="K1884" s="2" t="s">
        <v>771</v>
      </c>
      <c r="L1884" s="3">
        <v>54.99</v>
      </c>
      <c r="M1884" s="3">
        <v>57.74</v>
      </c>
      <c r="N1884" s="3">
        <v>109.99</v>
      </c>
      <c r="O1884" s="2" t="s">
        <v>97</v>
      </c>
      <c r="P1884" s="2" t="s">
        <v>98</v>
      </c>
      <c r="Q1884" s="2" t="s">
        <v>99</v>
      </c>
      <c r="R1884" s="2" t="s">
        <v>100</v>
      </c>
      <c r="S1884" s="2" t="s">
        <v>5454</v>
      </c>
      <c r="T1884" s="2" t="s">
        <v>100</v>
      </c>
      <c r="U1884" s="2" t="s">
        <v>100</v>
      </c>
      <c r="V1884" s="2" t="s">
        <v>1112</v>
      </c>
      <c r="W1884" s="2" t="s">
        <v>756</v>
      </c>
      <c r="X1884" s="2" t="s">
        <v>563</v>
      </c>
      <c r="Y1884" s="2" t="s">
        <v>131</v>
      </c>
      <c r="Z1884" s="4">
        <v>77</v>
      </c>
      <c r="AA1884" s="4">
        <f>=ROUNDDOWN(19.25,0)</f>
      </c>
      <c r="AB1884" s="5">
        <v>4</v>
      </c>
      <c r="AC1884" s="2" t="s">
        <v>406</v>
      </c>
      <c r="AD1884" s="4">
        <v>90</v>
      </c>
      <c r="AE1884" s="4">
        <v>150</v>
      </c>
      <c r="AF1884" s="6">
        <v>69</v>
      </c>
      <c r="AG1884" s="6"/>
      <c r="AH1884" s="7">
        <v>1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>
        <v>0</v>
      </c>
      <c r="AP1884" s="4"/>
      <c r="AQ1884" s="8"/>
      <c r="AR1884" s="4"/>
      <c r="AS1884" s="8"/>
      <c r="AT1884" s="7"/>
      <c r="AU1884" s="7"/>
      <c r="AV1884" s="4" t="s">
        <v>100</v>
      </c>
      <c r="AW1884" s="8" t="s">
        <v>100</v>
      </c>
      <c r="AX1884" s="4" t="s">
        <v>100</v>
      </c>
      <c r="AY1884" s="8" t="s">
        <v>100</v>
      </c>
      <c r="AZ1884" s="7" t="s">
        <v>100</v>
      </c>
      <c r="BA1884" s="7" t="s">
        <v>100</v>
      </c>
      <c r="BB1884" s="7"/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 t="s">
        <v>100</v>
      </c>
      <c r="BJ1884" s="4">
        <v>4</v>
      </c>
      <c r="BK1884" s="8">
        <v>212.84</v>
      </c>
      <c r="BL1884" s="2" t="s">
        <v>625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109</v>
      </c>
      <c r="BV1884" s="2" t="s">
        <v>97</v>
      </c>
      <c r="BW1884" s="2" t="s">
        <v>723</v>
      </c>
      <c r="BX1884" s="2" t="s">
        <v>170</v>
      </c>
      <c r="BY1884" s="2" t="s">
        <v>112</v>
      </c>
      <c r="BZ1884" s="2" t="s">
        <v>100</v>
      </c>
    </row>
    <row r="1885">
      <c r="A1885" s="2" t="s">
        <v>5456</v>
      </c>
      <c r="B1885" s="2" t="s">
        <v>87</v>
      </c>
      <c r="C1885" s="2" t="s">
        <v>5420</v>
      </c>
      <c r="D1885" s="2" t="s">
        <v>2230</v>
      </c>
      <c r="E1885" s="2" t="s">
        <v>5421</v>
      </c>
      <c r="F1885" s="2" t="s">
        <v>1172</v>
      </c>
      <c r="G1885" s="2" t="s">
        <v>1172</v>
      </c>
      <c r="H1885" s="2" t="s">
        <v>1172</v>
      </c>
      <c r="I1885" s="2" t="s">
        <v>5457</v>
      </c>
      <c r="J1885" s="2" t="s">
        <v>785</v>
      </c>
      <c r="K1885" s="2" t="s">
        <v>434</v>
      </c>
      <c r="L1885" s="3">
        <v>49.99</v>
      </c>
      <c r="M1885" s="3">
        <v>52.49</v>
      </c>
      <c r="N1885" s="3">
        <v>99.99</v>
      </c>
      <c r="O1885" s="2" t="s">
        <v>97</v>
      </c>
      <c r="P1885" s="2" t="s">
        <v>98</v>
      </c>
      <c r="Q1885" s="2" t="s">
        <v>99</v>
      </c>
      <c r="R1885" s="2" t="s">
        <v>100</v>
      </c>
      <c r="S1885" s="2" t="s">
        <v>5454</v>
      </c>
      <c r="T1885" s="2" t="s">
        <v>100</v>
      </c>
      <c r="U1885" s="2" t="s">
        <v>100</v>
      </c>
      <c r="V1885" s="2" t="s">
        <v>1112</v>
      </c>
      <c r="W1885" s="2" t="s">
        <v>756</v>
      </c>
      <c r="X1885" s="2" t="s">
        <v>563</v>
      </c>
      <c r="Y1885" s="2" t="s">
        <v>131</v>
      </c>
      <c r="Z1885" s="4">
        <v>236</v>
      </c>
      <c r="AA1885" s="4">
        <f>=ROUNDDOWN(23.6,0)</f>
      </c>
      <c r="AB1885" s="5">
        <v>10</v>
      </c>
      <c r="AC1885" s="2" t="s">
        <v>406</v>
      </c>
      <c r="AD1885" s="4">
        <v>90</v>
      </c>
      <c r="AE1885" s="4">
        <v>120</v>
      </c>
      <c r="AF1885" s="6">
        <v>69</v>
      </c>
      <c r="AG1885" s="6"/>
      <c r="AH1885" s="7">
        <v>1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>
        <v>0</v>
      </c>
      <c r="AP1885" s="4"/>
      <c r="AQ1885" s="8"/>
      <c r="AR1885" s="4"/>
      <c r="AS1885" s="8"/>
      <c r="AT1885" s="7"/>
      <c r="AU1885" s="7"/>
      <c r="AV1885" s="4" t="s">
        <v>100</v>
      </c>
      <c r="AW1885" s="8" t="s">
        <v>100</v>
      </c>
      <c r="AX1885" s="4" t="s">
        <v>100</v>
      </c>
      <c r="AY1885" s="8" t="s">
        <v>100</v>
      </c>
      <c r="AZ1885" s="7" t="s">
        <v>100</v>
      </c>
      <c r="BA1885" s="7" t="s">
        <v>100</v>
      </c>
      <c r="BB1885" s="7"/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 t="s">
        <v>100</v>
      </c>
      <c r="BJ1885" s="4">
        <v>12</v>
      </c>
      <c r="BK1885" s="8">
        <v>554.37</v>
      </c>
      <c r="BL1885" s="2" t="s">
        <v>858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109</v>
      </c>
      <c r="BV1885" s="2" t="s">
        <v>97</v>
      </c>
      <c r="BW1885" s="2" t="s">
        <v>723</v>
      </c>
      <c r="BX1885" s="2" t="s">
        <v>170</v>
      </c>
      <c r="BY1885" s="2" t="s">
        <v>112</v>
      </c>
      <c r="BZ1885" s="2" t="s">
        <v>100</v>
      </c>
    </row>
    <row r="1886">
      <c r="A1886" s="2" t="s">
        <v>5458</v>
      </c>
      <c r="B1886" s="2" t="s">
        <v>87</v>
      </c>
      <c r="C1886" s="2" t="s">
        <v>5420</v>
      </c>
      <c r="D1886" s="2" t="s">
        <v>2230</v>
      </c>
      <c r="E1886" s="2" t="s">
        <v>5421</v>
      </c>
      <c r="F1886" s="2" t="s">
        <v>1172</v>
      </c>
      <c r="G1886" s="2" t="s">
        <v>1172</v>
      </c>
      <c r="H1886" s="2" t="s">
        <v>1172</v>
      </c>
      <c r="I1886" s="2" t="s">
        <v>5457</v>
      </c>
      <c r="J1886" s="2" t="s">
        <v>795</v>
      </c>
      <c r="K1886" s="2" t="s">
        <v>434</v>
      </c>
      <c r="L1886" s="3">
        <v>54.99</v>
      </c>
      <c r="M1886" s="3">
        <v>57.74</v>
      </c>
      <c r="N1886" s="3">
        <v>109.99</v>
      </c>
      <c r="O1886" s="2" t="s">
        <v>97</v>
      </c>
      <c r="P1886" s="2" t="s">
        <v>98</v>
      </c>
      <c r="Q1886" s="2" t="s">
        <v>99</v>
      </c>
      <c r="R1886" s="2" t="s">
        <v>100</v>
      </c>
      <c r="S1886" s="2" t="s">
        <v>5454</v>
      </c>
      <c r="T1886" s="2" t="s">
        <v>100</v>
      </c>
      <c r="U1886" s="2" t="s">
        <v>100</v>
      </c>
      <c r="V1886" s="2" t="s">
        <v>1112</v>
      </c>
      <c r="W1886" s="2" t="s">
        <v>756</v>
      </c>
      <c r="X1886" s="2" t="s">
        <v>563</v>
      </c>
      <c r="Y1886" s="2" t="s">
        <v>131</v>
      </c>
      <c r="Z1886" s="4">
        <v>207</v>
      </c>
      <c r="AA1886" s="4">
        <f>=ROUNDDOWN(25.875,0)</f>
      </c>
      <c r="AB1886" s="5">
        <v>8</v>
      </c>
      <c r="AC1886" s="2" t="s">
        <v>406</v>
      </c>
      <c r="AD1886" s="4">
        <v>50</v>
      </c>
      <c r="AE1886" s="4">
        <v>150</v>
      </c>
      <c r="AF1886" s="6">
        <v>69</v>
      </c>
      <c r="AG1886" s="6"/>
      <c r="AH1886" s="7">
        <v>1</v>
      </c>
      <c r="AI1886" s="4"/>
      <c r="AJ1886" s="4">
        <f>=ROUNDDOWN({0},0)</f>
      </c>
      <c r="AK1886" s="5"/>
      <c r="AL1886" s="2" t="s">
        <v>100</v>
      </c>
      <c r="AM1886" s="4"/>
      <c r="AN1886" s="4"/>
      <c r="AO1886" s="7">
        <v>0</v>
      </c>
      <c r="AP1886" s="4"/>
      <c r="AQ1886" s="8"/>
      <c r="AR1886" s="4"/>
      <c r="AS1886" s="8"/>
      <c r="AT1886" s="7"/>
      <c r="AU1886" s="7"/>
      <c r="AV1886" s="4" t="s">
        <v>100</v>
      </c>
      <c r="AW1886" s="8" t="s">
        <v>100</v>
      </c>
      <c r="AX1886" s="4" t="s">
        <v>100</v>
      </c>
      <c r="AY1886" s="8" t="s">
        <v>100</v>
      </c>
      <c r="AZ1886" s="7" t="s">
        <v>100</v>
      </c>
      <c r="BA1886" s="7" t="s">
        <v>100</v>
      </c>
      <c r="BB1886" s="7"/>
      <c r="BC1886" s="4" t="s">
        <v>100</v>
      </c>
      <c r="BD1886" s="8" t="s">
        <v>100</v>
      </c>
      <c r="BE1886" s="4" t="s">
        <v>100</v>
      </c>
      <c r="BF1886" s="8" t="s">
        <v>100</v>
      </c>
      <c r="BG1886" s="7" t="s">
        <v>100</v>
      </c>
      <c r="BH1886" s="7" t="s">
        <v>100</v>
      </c>
      <c r="BI1886" s="7" t="s">
        <v>100</v>
      </c>
      <c r="BJ1886" s="4">
        <v>6</v>
      </c>
      <c r="BK1886" s="8">
        <v>299.62</v>
      </c>
      <c r="BL1886" s="2" t="s">
        <v>391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109</v>
      </c>
      <c r="BV1886" s="2" t="s">
        <v>97</v>
      </c>
      <c r="BW1886" s="2" t="s">
        <v>723</v>
      </c>
      <c r="BX1886" s="2" t="s">
        <v>216</v>
      </c>
      <c r="BY1886" s="2" t="s">
        <v>112</v>
      </c>
      <c r="BZ1886" s="2" t="s">
        <v>100</v>
      </c>
    </row>
    <row r="1887">
      <c r="A1887" s="2" t="s">
        <v>5459</v>
      </c>
      <c r="B1887" s="2" t="s">
        <v>87</v>
      </c>
      <c r="C1887" s="2" t="s">
        <v>5420</v>
      </c>
      <c r="D1887" s="2" t="s">
        <v>2230</v>
      </c>
      <c r="E1887" s="2" t="s">
        <v>5421</v>
      </c>
      <c r="F1887" s="2" t="s">
        <v>5460</v>
      </c>
      <c r="G1887" s="2" t="s">
        <v>5460</v>
      </c>
      <c r="H1887" s="2" t="s">
        <v>100</v>
      </c>
      <c r="I1887" s="2" t="s">
        <v>5461</v>
      </c>
      <c r="J1887" s="2" t="s">
        <v>785</v>
      </c>
      <c r="K1887" s="2" t="s">
        <v>1263</v>
      </c>
      <c r="L1887" s="3">
        <v>49.99</v>
      </c>
      <c r="M1887" s="3">
        <v>52.49</v>
      </c>
      <c r="N1887" s="3">
        <v>99.99</v>
      </c>
      <c r="O1887" s="2" t="s">
        <v>473</v>
      </c>
      <c r="P1887" s="2" t="s">
        <v>447</v>
      </c>
      <c r="Q1887" s="2" t="s">
        <v>99</v>
      </c>
      <c r="R1887" s="2" t="s">
        <v>100</v>
      </c>
      <c r="S1887" s="2" t="s">
        <v>5462</v>
      </c>
      <c r="T1887" s="2" t="s">
        <v>100</v>
      </c>
      <c r="U1887" s="2" t="s">
        <v>100</v>
      </c>
      <c r="V1887" s="2" t="s">
        <v>734</v>
      </c>
      <c r="W1887" s="2" t="s">
        <v>756</v>
      </c>
      <c r="X1887" s="2" t="s">
        <v>563</v>
      </c>
      <c r="Y1887" s="2" t="s">
        <v>5463</v>
      </c>
      <c r="Z1887" s="4">
        <v>78</v>
      </c>
      <c r="AA1887" s="4">
        <f>=ROUNDDOWN(15,0)</f>
      </c>
      <c r="AB1887" s="5">
        <v>5.2</v>
      </c>
      <c r="AC1887" s="2" t="s">
        <v>100</v>
      </c>
      <c r="AD1887" s="4"/>
      <c r="AE1887" s="4"/>
      <c r="AF1887" s="6">
        <v>65</v>
      </c>
      <c r="AG1887" s="6"/>
      <c r="AH1887" s="7">
        <v>1</v>
      </c>
      <c r="AI1887" s="4"/>
      <c r="AJ1887" s="4">
        <f>=ROUNDDOWN({0},0)</f>
      </c>
      <c r="AK1887" s="5"/>
      <c r="AL1887" s="2" t="s">
        <v>100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 t="s">
        <v>100</v>
      </c>
      <c r="AW1887" s="8" t="s">
        <v>100</v>
      </c>
      <c r="AX1887" s="4" t="s">
        <v>100</v>
      </c>
      <c r="AY1887" s="8" t="s">
        <v>100</v>
      </c>
      <c r="AZ1887" s="7" t="s">
        <v>100</v>
      </c>
      <c r="BA1887" s="7" t="s">
        <v>100</v>
      </c>
      <c r="BB1887" s="7"/>
      <c r="BC1887" s="4" t="s">
        <v>100</v>
      </c>
      <c r="BD1887" s="8" t="s">
        <v>100</v>
      </c>
      <c r="BE1887" s="4" t="s">
        <v>100</v>
      </c>
      <c r="BF1887" s="8" t="s">
        <v>100</v>
      </c>
      <c r="BG1887" s="7" t="s">
        <v>100</v>
      </c>
      <c r="BH1887" s="7" t="s">
        <v>100</v>
      </c>
      <c r="BI1887" s="7"/>
      <c r="BJ1887" s="4">
        <v>5</v>
      </c>
      <c r="BK1887" s="8">
        <v>184.21</v>
      </c>
      <c r="BL1887" s="2" t="s">
        <v>204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109</v>
      </c>
      <c r="BV1887" s="2" t="s">
        <v>97</v>
      </c>
      <c r="BW1887" s="2" t="s">
        <v>723</v>
      </c>
      <c r="BX1887" s="2" t="s">
        <v>192</v>
      </c>
      <c r="BY1887" s="2" t="s">
        <v>112</v>
      </c>
      <c r="BZ1887" s="2" t="s">
        <v>100</v>
      </c>
    </row>
    <row r="1888">
      <c r="A1888" s="2" t="s">
        <v>5464</v>
      </c>
      <c r="B1888" s="2" t="s">
        <v>87</v>
      </c>
      <c r="C1888" s="2" t="s">
        <v>5420</v>
      </c>
      <c r="D1888" s="2" t="s">
        <v>2230</v>
      </c>
      <c r="E1888" s="2" t="s">
        <v>5421</v>
      </c>
      <c r="F1888" s="2" t="s">
        <v>5460</v>
      </c>
      <c r="G1888" s="2" t="s">
        <v>5460</v>
      </c>
      <c r="H1888" s="2" t="s">
        <v>100</v>
      </c>
      <c r="I1888" s="2" t="s">
        <v>5461</v>
      </c>
      <c r="J1888" s="2" t="s">
        <v>795</v>
      </c>
      <c r="K1888" s="2" t="s">
        <v>1263</v>
      </c>
      <c r="L1888" s="3">
        <v>54.99</v>
      </c>
      <c r="M1888" s="3">
        <v>57.74</v>
      </c>
      <c r="N1888" s="3">
        <v>109.99</v>
      </c>
      <c r="O1888" s="2" t="s">
        <v>473</v>
      </c>
      <c r="P1888" s="2" t="s">
        <v>447</v>
      </c>
      <c r="Q1888" s="2" t="s">
        <v>99</v>
      </c>
      <c r="R1888" s="2" t="s">
        <v>100</v>
      </c>
      <c r="S1888" s="2" t="s">
        <v>5462</v>
      </c>
      <c r="T1888" s="2" t="s">
        <v>100</v>
      </c>
      <c r="U1888" s="2" t="s">
        <v>100</v>
      </c>
      <c r="V1888" s="2" t="s">
        <v>734</v>
      </c>
      <c r="W1888" s="2" t="s">
        <v>756</v>
      </c>
      <c r="X1888" s="2" t="s">
        <v>563</v>
      </c>
      <c r="Y1888" s="2" t="s">
        <v>5463</v>
      </c>
      <c r="Z1888" s="4">
        <v>343</v>
      </c>
      <c r="AA1888" s="4">
        <f>=ROUNDDOWN(64.7169811320755,0)</f>
      </c>
      <c r="AB1888" s="5">
        <v>5.3</v>
      </c>
      <c r="AC1888" s="2" t="s">
        <v>100</v>
      </c>
      <c r="AD1888" s="4"/>
      <c r="AE1888" s="4"/>
      <c r="AF1888" s="6">
        <v>65</v>
      </c>
      <c r="AG1888" s="6"/>
      <c r="AH1888" s="7">
        <v>1</v>
      </c>
      <c r="AI1888" s="4"/>
      <c r="AJ1888" s="4">
        <f>=ROUNDDOWN({0},0)</f>
      </c>
      <c r="AK1888" s="5"/>
      <c r="AL1888" s="2" t="s">
        <v>100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 t="s">
        <v>100</v>
      </c>
      <c r="AW1888" s="8" t="s">
        <v>100</v>
      </c>
      <c r="AX1888" s="4" t="s">
        <v>100</v>
      </c>
      <c r="AY1888" s="8" t="s">
        <v>100</v>
      </c>
      <c r="AZ1888" s="7" t="s">
        <v>100</v>
      </c>
      <c r="BA1888" s="7" t="s">
        <v>100</v>
      </c>
      <c r="BB1888" s="7"/>
      <c r="BC1888" s="4" t="s">
        <v>100</v>
      </c>
      <c r="BD1888" s="8" t="s">
        <v>100</v>
      </c>
      <c r="BE1888" s="4" t="s">
        <v>100</v>
      </c>
      <c r="BF1888" s="8" t="s">
        <v>100</v>
      </c>
      <c r="BG1888" s="7" t="s">
        <v>100</v>
      </c>
      <c r="BH1888" s="7" t="s">
        <v>100</v>
      </c>
      <c r="BI1888" s="7"/>
      <c r="BJ1888" s="4">
        <v>3</v>
      </c>
      <c r="BK1888" s="8">
        <v>146</v>
      </c>
      <c r="BL1888" s="2" t="s">
        <v>1490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109</v>
      </c>
      <c r="BV1888" s="2" t="s">
        <v>97</v>
      </c>
      <c r="BW1888" s="2" t="s">
        <v>723</v>
      </c>
      <c r="BX1888" s="2" t="s">
        <v>170</v>
      </c>
      <c r="BY1888" s="2" t="s">
        <v>112</v>
      </c>
      <c r="BZ1888" s="2" t="s">
        <v>100</v>
      </c>
    </row>
    <row r="1889">
      <c r="A1889" s="2" t="s">
        <v>5465</v>
      </c>
      <c r="B1889" s="2" t="s">
        <v>87</v>
      </c>
      <c r="C1889" s="2" t="s">
        <v>5420</v>
      </c>
      <c r="D1889" s="2" t="s">
        <v>2230</v>
      </c>
      <c r="E1889" s="2" t="s">
        <v>5421</v>
      </c>
      <c r="F1889" s="2" t="s">
        <v>732</v>
      </c>
      <c r="G1889" s="2" t="s">
        <v>732</v>
      </c>
      <c r="H1889" s="2" t="s">
        <v>732</v>
      </c>
      <c r="I1889" s="2" t="s">
        <v>5466</v>
      </c>
      <c r="J1889" s="2" t="s">
        <v>785</v>
      </c>
      <c r="K1889" s="2" t="s">
        <v>409</v>
      </c>
      <c r="L1889" s="3">
        <v>52.38</v>
      </c>
      <c r="M1889" s="3">
        <v>55</v>
      </c>
      <c r="N1889" s="3">
        <v>109.99</v>
      </c>
      <c r="O1889" s="2" t="s">
        <v>1715</v>
      </c>
      <c r="P1889" s="2" t="s">
        <v>447</v>
      </c>
      <c r="Q1889" s="2" t="s">
        <v>99</v>
      </c>
      <c r="R1889" s="2" t="s">
        <v>100</v>
      </c>
      <c r="S1889" s="2" t="s">
        <v>5467</v>
      </c>
      <c r="T1889" s="2" t="s">
        <v>359</v>
      </c>
      <c r="U1889" s="2" t="s">
        <v>1508</v>
      </c>
      <c r="V1889" s="2" t="s">
        <v>734</v>
      </c>
      <c r="W1889" s="2" t="s">
        <v>756</v>
      </c>
      <c r="X1889" s="2" t="s">
        <v>345</v>
      </c>
      <c r="Y1889" s="2" t="s">
        <v>5441</v>
      </c>
      <c r="Z1889" s="4">
        <v>153</v>
      </c>
      <c r="AA1889" s="4">
        <f>=ROUNDDOWN(127.5,0)</f>
      </c>
      <c r="AB1889" s="5">
        <v>1.2</v>
      </c>
      <c r="AC1889" s="2" t="s">
        <v>100</v>
      </c>
      <c r="AD1889" s="4"/>
      <c r="AE1889" s="4"/>
      <c r="AF1889" s="6">
        <v>65</v>
      </c>
      <c r="AG1889" s="6"/>
      <c r="AH1889" s="7">
        <v>1</v>
      </c>
      <c r="AI1889" s="4"/>
      <c r="AJ1889" s="4">
        <f>=ROUNDDOWN({0},0)</f>
      </c>
      <c r="AK1889" s="5"/>
      <c r="AL1889" s="2" t="s">
        <v>100</v>
      </c>
      <c r="AM1889" s="4"/>
      <c r="AN1889" s="4"/>
      <c r="AO1889" s="7">
        <v>0</v>
      </c>
      <c r="AP1889" s="4"/>
      <c r="AQ1889" s="8"/>
      <c r="AR1889" s="4"/>
      <c r="AS1889" s="8"/>
      <c r="AT1889" s="7"/>
      <c r="AU1889" s="7"/>
      <c r="AV1889" s="4" t="s">
        <v>100</v>
      </c>
      <c r="AW1889" s="8" t="s">
        <v>100</v>
      </c>
      <c r="AX1889" s="4" t="s">
        <v>100</v>
      </c>
      <c r="AY1889" s="8" t="s">
        <v>100</v>
      </c>
      <c r="AZ1889" s="7" t="s">
        <v>100</v>
      </c>
      <c r="BA1889" s="7" t="s">
        <v>100</v>
      </c>
      <c r="BB1889" s="7"/>
      <c r="BC1889" s="4" t="s">
        <v>100</v>
      </c>
      <c r="BD1889" s="8" t="s">
        <v>100</v>
      </c>
      <c r="BE1889" s="4" t="s">
        <v>100</v>
      </c>
      <c r="BF1889" s="8" t="s">
        <v>100</v>
      </c>
      <c r="BG1889" s="7" t="s">
        <v>100</v>
      </c>
      <c r="BH1889" s="7" t="s">
        <v>100</v>
      </c>
      <c r="BI1889" s="7"/>
      <c r="BJ1889" s="4">
        <v>2</v>
      </c>
      <c r="BK1889" s="8">
        <v>81.89</v>
      </c>
      <c r="BL1889" s="2" t="s">
        <v>1490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1338</v>
      </c>
      <c r="BV1889" s="2" t="s">
        <v>97</v>
      </c>
      <c r="BW1889" s="2" t="s">
        <v>100</v>
      </c>
      <c r="BX1889" s="2" t="s">
        <v>100</v>
      </c>
      <c r="BY1889" s="2" t="s">
        <v>112</v>
      </c>
      <c r="BZ1889" s="2" t="s">
        <v>100</v>
      </c>
    </row>
    <row r="1890">
      <c r="A1890" s="2" t="s">
        <v>5468</v>
      </c>
      <c r="B1890" s="2" t="s">
        <v>87</v>
      </c>
      <c r="C1890" s="2" t="s">
        <v>5420</v>
      </c>
      <c r="D1890" s="2" t="s">
        <v>2230</v>
      </c>
      <c r="E1890" s="2" t="s">
        <v>5421</v>
      </c>
      <c r="F1890" s="2" t="s">
        <v>732</v>
      </c>
      <c r="G1890" s="2" t="s">
        <v>732</v>
      </c>
      <c r="H1890" s="2" t="s">
        <v>732</v>
      </c>
      <c r="I1890" s="2" t="s">
        <v>5466</v>
      </c>
      <c r="J1890" s="2" t="s">
        <v>795</v>
      </c>
      <c r="K1890" s="2" t="s">
        <v>409</v>
      </c>
      <c r="L1890" s="3">
        <v>59.42</v>
      </c>
      <c r="M1890" s="3">
        <v>62.39</v>
      </c>
      <c r="N1890" s="3">
        <v>129.99</v>
      </c>
      <c r="O1890" s="2" t="s">
        <v>1715</v>
      </c>
      <c r="P1890" s="2" t="s">
        <v>447</v>
      </c>
      <c r="Q1890" s="2" t="s">
        <v>99</v>
      </c>
      <c r="R1890" s="2" t="s">
        <v>100</v>
      </c>
      <c r="S1890" s="2" t="s">
        <v>5467</v>
      </c>
      <c r="T1890" s="2" t="s">
        <v>359</v>
      </c>
      <c r="U1890" s="2" t="s">
        <v>1508</v>
      </c>
      <c r="V1890" s="2" t="s">
        <v>734</v>
      </c>
      <c r="W1890" s="2" t="s">
        <v>756</v>
      </c>
      <c r="X1890" s="2" t="s">
        <v>345</v>
      </c>
      <c r="Y1890" s="2" t="s">
        <v>5441</v>
      </c>
      <c r="Z1890" s="4">
        <v>129</v>
      </c>
      <c r="AA1890" s="4">
        <f>=ROUNDDOWN(46.0714285714286,0)</f>
      </c>
      <c r="AB1890" s="5">
        <v>2.8</v>
      </c>
      <c r="AC1890" s="2" t="s">
        <v>100</v>
      </c>
      <c r="AD1890" s="4"/>
      <c r="AE1890" s="4"/>
      <c r="AF1890" s="6">
        <v>65</v>
      </c>
      <c r="AG1890" s="6"/>
      <c r="AH1890" s="7">
        <v>1</v>
      </c>
      <c r="AI1890" s="4"/>
      <c r="AJ1890" s="4">
        <f>=ROUNDDOWN({0},0)</f>
      </c>
      <c r="AK1890" s="5"/>
      <c r="AL1890" s="2" t="s">
        <v>100</v>
      </c>
      <c r="AM1890" s="4"/>
      <c r="AN1890" s="4"/>
      <c r="AO1890" s="7">
        <v>0</v>
      </c>
      <c r="AP1890" s="4"/>
      <c r="AQ1890" s="8"/>
      <c r="AR1890" s="4"/>
      <c r="AS1890" s="8"/>
      <c r="AT1890" s="7"/>
      <c r="AU1890" s="7"/>
      <c r="AV1890" s="4" t="s">
        <v>100</v>
      </c>
      <c r="AW1890" s="8" t="s">
        <v>100</v>
      </c>
      <c r="AX1890" s="4" t="s">
        <v>100</v>
      </c>
      <c r="AY1890" s="8" t="s">
        <v>100</v>
      </c>
      <c r="AZ1890" s="7" t="s">
        <v>100</v>
      </c>
      <c r="BA1890" s="7" t="s">
        <v>100</v>
      </c>
      <c r="BB1890" s="7"/>
      <c r="BC1890" s="4" t="s">
        <v>100</v>
      </c>
      <c r="BD1890" s="8" t="s">
        <v>100</v>
      </c>
      <c r="BE1890" s="4" t="s">
        <v>100</v>
      </c>
      <c r="BF1890" s="8" t="s">
        <v>100</v>
      </c>
      <c r="BG1890" s="7" t="s">
        <v>100</v>
      </c>
      <c r="BH1890" s="7" t="s">
        <v>100</v>
      </c>
      <c r="BI1890" s="7"/>
      <c r="BJ1890" s="4">
        <v>2</v>
      </c>
      <c r="BK1890" s="8">
        <v>66.92</v>
      </c>
      <c r="BL1890" s="2" t="s">
        <v>5469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1338</v>
      </c>
      <c r="BV1890" s="2" t="s">
        <v>97</v>
      </c>
      <c r="BW1890" s="2" t="s">
        <v>100</v>
      </c>
      <c r="BX1890" s="2" t="s">
        <v>100</v>
      </c>
      <c r="BY1890" s="2" t="s">
        <v>112</v>
      </c>
      <c r="BZ1890" s="2" t="s">
        <v>100</v>
      </c>
    </row>
    <row r="1891">
      <c r="A1891" s="2" t="s">
        <v>5470</v>
      </c>
      <c r="B1891" s="2" t="s">
        <v>87</v>
      </c>
      <c r="C1891" s="2" t="s">
        <v>5420</v>
      </c>
      <c r="D1891" s="2" t="s">
        <v>2230</v>
      </c>
      <c r="E1891" s="2" t="s">
        <v>5421</v>
      </c>
      <c r="F1891" s="2" t="s">
        <v>5471</v>
      </c>
      <c r="G1891" s="2" t="s">
        <v>5471</v>
      </c>
      <c r="H1891" s="2" t="s">
        <v>5471</v>
      </c>
      <c r="I1891" s="2" t="s">
        <v>5453</v>
      </c>
      <c r="J1891" s="2" t="s">
        <v>785</v>
      </c>
      <c r="K1891" s="2" t="s">
        <v>434</v>
      </c>
      <c r="L1891" s="3">
        <v>49.99</v>
      </c>
      <c r="M1891" s="3">
        <v>52.49</v>
      </c>
      <c r="N1891" s="3">
        <v>109.99</v>
      </c>
      <c r="O1891" s="2" t="s">
        <v>97</v>
      </c>
      <c r="P1891" s="2" t="s">
        <v>242</v>
      </c>
      <c r="Q1891" s="2" t="s">
        <v>99</v>
      </c>
      <c r="R1891" s="2" t="s">
        <v>100</v>
      </c>
      <c r="S1891" s="2" t="s">
        <v>5454</v>
      </c>
      <c r="T1891" s="2" t="s">
        <v>100</v>
      </c>
      <c r="U1891" s="2" t="s">
        <v>100</v>
      </c>
      <c r="V1891" s="2" t="s">
        <v>1112</v>
      </c>
      <c r="W1891" s="2" t="s">
        <v>756</v>
      </c>
      <c r="X1891" s="2" t="s">
        <v>563</v>
      </c>
      <c r="Y1891" s="2" t="s">
        <v>131</v>
      </c>
      <c r="Z1891" s="4">
        <v>127</v>
      </c>
      <c r="AA1891" s="4">
        <f>=ROUNDDOWN(15.875,0)</f>
      </c>
      <c r="AB1891" s="5">
        <v>8</v>
      </c>
      <c r="AC1891" s="2" t="s">
        <v>400</v>
      </c>
      <c r="AD1891" s="4">
        <v>70</v>
      </c>
      <c r="AE1891" s="4">
        <v>320</v>
      </c>
      <c r="AF1891" s="6">
        <v>69</v>
      </c>
      <c r="AG1891" s="6"/>
      <c r="AH1891" s="7">
        <v>1</v>
      </c>
      <c r="AI1891" s="4"/>
      <c r="AJ1891" s="4">
        <f>=ROUNDDOWN({0},0)</f>
      </c>
      <c r="AK1891" s="5"/>
      <c r="AL1891" s="2" t="s">
        <v>100</v>
      </c>
      <c r="AM1891" s="4"/>
      <c r="AN1891" s="4"/>
      <c r="AO1891" s="7">
        <v>0</v>
      </c>
      <c r="AP1891" s="4"/>
      <c r="AQ1891" s="8"/>
      <c r="AR1891" s="4"/>
      <c r="AS1891" s="8"/>
      <c r="AT1891" s="7"/>
      <c r="AU1891" s="7"/>
      <c r="AV1891" s="4" t="s">
        <v>100</v>
      </c>
      <c r="AW1891" s="8" t="s">
        <v>100</v>
      </c>
      <c r="AX1891" s="4" t="s">
        <v>100</v>
      </c>
      <c r="AY1891" s="8" t="s">
        <v>100</v>
      </c>
      <c r="AZ1891" s="7" t="s">
        <v>100</v>
      </c>
      <c r="BA1891" s="7" t="s">
        <v>100</v>
      </c>
      <c r="BB1891" s="7"/>
      <c r="BC1891" s="4" t="s">
        <v>100</v>
      </c>
      <c r="BD1891" s="8" t="s">
        <v>100</v>
      </c>
      <c r="BE1891" s="4" t="s">
        <v>100</v>
      </c>
      <c r="BF1891" s="8" t="s">
        <v>100</v>
      </c>
      <c r="BG1891" s="7" t="s">
        <v>100</v>
      </c>
      <c r="BH1891" s="7" t="s">
        <v>100</v>
      </c>
      <c r="BI1891" s="7"/>
      <c r="BJ1891" s="4">
        <v>6</v>
      </c>
      <c r="BK1891" s="8">
        <v>309.7</v>
      </c>
      <c r="BL1891" s="2" t="s">
        <v>1963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109</v>
      </c>
      <c r="BV1891" s="2" t="s">
        <v>97</v>
      </c>
      <c r="BW1891" s="2" t="s">
        <v>723</v>
      </c>
      <c r="BX1891" s="2" t="s">
        <v>5472</v>
      </c>
      <c r="BY1891" s="2" t="s">
        <v>112</v>
      </c>
      <c r="BZ1891" s="2" t="s">
        <v>100</v>
      </c>
    </row>
    <row r="1892">
      <c r="A1892" s="2" t="s">
        <v>5473</v>
      </c>
      <c r="B1892" s="2" t="s">
        <v>87</v>
      </c>
      <c r="C1892" s="2" t="s">
        <v>5420</v>
      </c>
      <c r="D1892" s="2" t="s">
        <v>2230</v>
      </c>
      <c r="E1892" s="2" t="s">
        <v>5421</v>
      </c>
      <c r="F1892" s="2" t="s">
        <v>5471</v>
      </c>
      <c r="G1892" s="2" t="s">
        <v>5471</v>
      </c>
      <c r="H1892" s="2" t="s">
        <v>5471</v>
      </c>
      <c r="I1892" s="2" t="s">
        <v>5453</v>
      </c>
      <c r="J1892" s="2" t="s">
        <v>795</v>
      </c>
      <c r="K1892" s="2" t="s">
        <v>434</v>
      </c>
      <c r="L1892" s="3">
        <v>54.99</v>
      </c>
      <c r="M1892" s="3">
        <v>57.74</v>
      </c>
      <c r="N1892" s="3">
        <v>119.99</v>
      </c>
      <c r="O1892" s="2" t="s">
        <v>97</v>
      </c>
      <c r="P1892" s="2" t="s">
        <v>242</v>
      </c>
      <c r="Q1892" s="2" t="s">
        <v>99</v>
      </c>
      <c r="R1892" s="2" t="s">
        <v>100</v>
      </c>
      <c r="S1892" s="2" t="s">
        <v>5454</v>
      </c>
      <c r="T1892" s="2" t="s">
        <v>100</v>
      </c>
      <c r="U1892" s="2" t="s">
        <v>100</v>
      </c>
      <c r="V1892" s="2" t="s">
        <v>1112</v>
      </c>
      <c r="W1892" s="2" t="s">
        <v>756</v>
      </c>
      <c r="X1892" s="2" t="s">
        <v>563</v>
      </c>
      <c r="Y1892" s="2" t="s">
        <v>131</v>
      </c>
      <c r="Z1892" s="4">
        <v>146</v>
      </c>
      <c r="AA1892" s="4">
        <f>=ROUNDDOWN(16.2222222222222,0)</f>
      </c>
      <c r="AB1892" s="5">
        <v>9</v>
      </c>
      <c r="AC1892" s="2" t="s">
        <v>400</v>
      </c>
      <c r="AD1892" s="4">
        <v>80</v>
      </c>
      <c r="AE1892" s="4">
        <v>410</v>
      </c>
      <c r="AF1892" s="6">
        <v>69</v>
      </c>
      <c r="AG1892" s="6"/>
      <c r="AH1892" s="7">
        <v>1</v>
      </c>
      <c r="AI1892" s="4"/>
      <c r="AJ1892" s="4">
        <f>=ROUNDDOWN({0},0)</f>
      </c>
      <c r="AK1892" s="5"/>
      <c r="AL1892" s="2" t="s">
        <v>100</v>
      </c>
      <c r="AM1892" s="4"/>
      <c r="AN1892" s="4"/>
      <c r="AO1892" s="7">
        <v>0</v>
      </c>
      <c r="AP1892" s="4"/>
      <c r="AQ1892" s="8"/>
      <c r="AR1892" s="4"/>
      <c r="AS1892" s="8"/>
      <c r="AT1892" s="7"/>
      <c r="AU1892" s="7"/>
      <c r="AV1892" s="4" t="s">
        <v>100</v>
      </c>
      <c r="AW1892" s="8" t="s">
        <v>100</v>
      </c>
      <c r="AX1892" s="4" t="s">
        <v>100</v>
      </c>
      <c r="AY1892" s="8" t="s">
        <v>100</v>
      </c>
      <c r="AZ1892" s="7" t="s">
        <v>100</v>
      </c>
      <c r="BA1892" s="7" t="s">
        <v>100</v>
      </c>
      <c r="BB1892" s="7"/>
      <c r="BC1892" s="4" t="s">
        <v>100</v>
      </c>
      <c r="BD1892" s="8" t="s">
        <v>100</v>
      </c>
      <c r="BE1892" s="4" t="s">
        <v>100</v>
      </c>
      <c r="BF1892" s="8" t="s">
        <v>100</v>
      </c>
      <c r="BG1892" s="7" t="s">
        <v>100</v>
      </c>
      <c r="BH1892" s="7" t="s">
        <v>100</v>
      </c>
      <c r="BI1892" s="7"/>
      <c r="BJ1892" s="4">
        <v>9</v>
      </c>
      <c r="BK1892" s="8">
        <v>498.65</v>
      </c>
      <c r="BL1892" s="2" t="s">
        <v>1963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109</v>
      </c>
      <c r="BV1892" s="2" t="s">
        <v>97</v>
      </c>
      <c r="BW1892" s="2" t="s">
        <v>723</v>
      </c>
      <c r="BX1892" s="2" t="s">
        <v>457</v>
      </c>
      <c r="BY1892" s="2" t="s">
        <v>112</v>
      </c>
      <c r="BZ1892" s="2" t="s">
        <v>100</v>
      </c>
    </row>
    <row r="1893">
      <c r="A1893" s="2" t="s">
        <v>5474</v>
      </c>
      <c r="B1893" s="2" t="s">
        <v>87</v>
      </c>
      <c r="C1893" s="2" t="s">
        <v>5420</v>
      </c>
      <c r="D1893" s="2" t="s">
        <v>2230</v>
      </c>
      <c r="E1893" s="2" t="s">
        <v>5421</v>
      </c>
      <c r="F1893" s="2" t="s">
        <v>5475</v>
      </c>
      <c r="G1893" s="2" t="s">
        <v>5475</v>
      </c>
      <c r="H1893" s="2" t="s">
        <v>5475</v>
      </c>
      <c r="I1893" s="2" t="s">
        <v>5466</v>
      </c>
      <c r="J1893" s="2" t="s">
        <v>785</v>
      </c>
      <c r="K1893" s="2" t="s">
        <v>409</v>
      </c>
      <c r="L1893" s="3">
        <v>52.8</v>
      </c>
      <c r="M1893" s="3">
        <v>55.43</v>
      </c>
      <c r="N1893" s="3">
        <v>109.99</v>
      </c>
      <c r="O1893" s="2" t="s">
        <v>97</v>
      </c>
      <c r="P1893" s="2" t="s">
        <v>98</v>
      </c>
      <c r="Q1893" s="2" t="s">
        <v>99</v>
      </c>
      <c r="R1893" s="2" t="s">
        <v>100</v>
      </c>
      <c r="S1893" s="2" t="s">
        <v>5476</v>
      </c>
      <c r="T1893" s="2" t="s">
        <v>359</v>
      </c>
      <c r="U1893" s="2" t="s">
        <v>1508</v>
      </c>
      <c r="V1893" s="2" t="s">
        <v>2876</v>
      </c>
      <c r="W1893" s="2" t="s">
        <v>756</v>
      </c>
      <c r="X1893" s="2" t="s">
        <v>244</v>
      </c>
      <c r="Y1893" s="2" t="s">
        <v>5477</v>
      </c>
      <c r="Z1893" s="4">
        <v>157</v>
      </c>
      <c r="AA1893" s="4">
        <f>=ROUNDDOWN(17.4444444444444,0)</f>
      </c>
      <c r="AB1893" s="5">
        <v>9</v>
      </c>
      <c r="AC1893" s="2" t="s">
        <v>1629</v>
      </c>
      <c r="AD1893" s="4">
        <v>50</v>
      </c>
      <c r="AE1893" s="4">
        <v>440</v>
      </c>
      <c r="AF1893" s="6">
        <v>69</v>
      </c>
      <c r="AG1893" s="6"/>
      <c r="AH1893" s="7">
        <v>1</v>
      </c>
      <c r="AI1893" s="4"/>
      <c r="AJ1893" s="4">
        <f>=ROUNDDOWN({0},0)</f>
      </c>
      <c r="AK1893" s="5"/>
      <c r="AL1893" s="2" t="s">
        <v>100</v>
      </c>
      <c r="AM1893" s="4"/>
      <c r="AN1893" s="4"/>
      <c r="AO1893" s="7">
        <v>0</v>
      </c>
      <c r="AP1893" s="4"/>
      <c r="AQ1893" s="8"/>
      <c r="AR1893" s="4"/>
      <c r="AS1893" s="8"/>
      <c r="AT1893" s="7"/>
      <c r="AU1893" s="7"/>
      <c r="AV1893" s="4" t="s">
        <v>100</v>
      </c>
      <c r="AW1893" s="8" t="s">
        <v>100</v>
      </c>
      <c r="AX1893" s="4" t="s">
        <v>100</v>
      </c>
      <c r="AY1893" s="8" t="s">
        <v>100</v>
      </c>
      <c r="AZ1893" s="7" t="s">
        <v>100</v>
      </c>
      <c r="BA1893" s="7" t="s">
        <v>100</v>
      </c>
      <c r="BB1893" s="7"/>
      <c r="BC1893" s="4" t="s">
        <v>100</v>
      </c>
      <c r="BD1893" s="8" t="s">
        <v>100</v>
      </c>
      <c r="BE1893" s="4" t="s">
        <v>100</v>
      </c>
      <c r="BF1893" s="8" t="s">
        <v>100</v>
      </c>
      <c r="BG1893" s="7" t="s">
        <v>100</v>
      </c>
      <c r="BH1893" s="7" t="s">
        <v>100</v>
      </c>
      <c r="BI1893" s="7"/>
      <c r="BJ1893" s="4">
        <v>5</v>
      </c>
      <c r="BK1893" s="8">
        <v>296.7</v>
      </c>
      <c r="BL1893" s="2" t="s">
        <v>1974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109</v>
      </c>
      <c r="BV1893" s="2" t="s">
        <v>97</v>
      </c>
      <c r="BW1893" s="2" t="s">
        <v>4443</v>
      </c>
      <c r="BX1893" s="2" t="s">
        <v>5478</v>
      </c>
      <c r="BY1893" s="2" t="s">
        <v>112</v>
      </c>
      <c r="BZ1893" s="2" t="s">
        <v>100</v>
      </c>
    </row>
    <row r="1894">
      <c r="A1894" s="2" t="s">
        <v>5479</v>
      </c>
      <c r="B1894" s="2" t="s">
        <v>87</v>
      </c>
      <c r="C1894" s="2" t="s">
        <v>5420</v>
      </c>
      <c r="D1894" s="2" t="s">
        <v>2230</v>
      </c>
      <c r="E1894" s="2" t="s">
        <v>5421</v>
      </c>
      <c r="F1894" s="2" t="s">
        <v>5475</v>
      </c>
      <c r="G1894" s="2" t="s">
        <v>5475</v>
      </c>
      <c r="H1894" s="2" t="s">
        <v>5475</v>
      </c>
      <c r="I1894" s="2" t="s">
        <v>5466</v>
      </c>
      <c r="J1894" s="2" t="s">
        <v>795</v>
      </c>
      <c r="K1894" s="2" t="s">
        <v>409</v>
      </c>
      <c r="L1894" s="3">
        <v>63.7</v>
      </c>
      <c r="M1894" s="3">
        <v>66.88</v>
      </c>
      <c r="N1894" s="3">
        <v>129.99</v>
      </c>
      <c r="O1894" s="2" t="s">
        <v>97</v>
      </c>
      <c r="P1894" s="2" t="s">
        <v>98</v>
      </c>
      <c r="Q1894" s="2" t="s">
        <v>99</v>
      </c>
      <c r="R1894" s="2" t="s">
        <v>100</v>
      </c>
      <c r="S1894" s="2" t="s">
        <v>5476</v>
      </c>
      <c r="T1894" s="2" t="s">
        <v>359</v>
      </c>
      <c r="U1894" s="2" t="s">
        <v>1508</v>
      </c>
      <c r="V1894" s="2" t="s">
        <v>2876</v>
      </c>
      <c r="W1894" s="2" t="s">
        <v>756</v>
      </c>
      <c r="X1894" s="2" t="s">
        <v>244</v>
      </c>
      <c r="Y1894" s="2" t="s">
        <v>5477</v>
      </c>
      <c r="Z1894" s="4">
        <v>172</v>
      </c>
      <c r="AA1894" s="4">
        <f>=ROUNDDOWN(24.5714285714286,0)</f>
      </c>
      <c r="AB1894" s="5">
        <v>7</v>
      </c>
      <c r="AC1894" s="2" t="s">
        <v>1629</v>
      </c>
      <c r="AD1894" s="4">
        <v>40</v>
      </c>
      <c r="AE1894" s="4">
        <v>290</v>
      </c>
      <c r="AF1894" s="6">
        <v>69</v>
      </c>
      <c r="AG1894" s="6"/>
      <c r="AH1894" s="7">
        <v>1</v>
      </c>
      <c r="AI1894" s="4"/>
      <c r="AJ1894" s="4">
        <f>=ROUNDDOWN({0},0)</f>
      </c>
      <c r="AK1894" s="5"/>
      <c r="AL1894" s="2" t="s">
        <v>100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 t="s">
        <v>100</v>
      </c>
      <c r="AW1894" s="8" t="s">
        <v>100</v>
      </c>
      <c r="AX1894" s="4" t="s">
        <v>100</v>
      </c>
      <c r="AY1894" s="8" t="s">
        <v>100</v>
      </c>
      <c r="AZ1894" s="7" t="s">
        <v>100</v>
      </c>
      <c r="BA1894" s="7" t="s">
        <v>100</v>
      </c>
      <c r="BB1894" s="7"/>
      <c r="BC1894" s="4" t="s">
        <v>100</v>
      </c>
      <c r="BD1894" s="8" t="s">
        <v>100</v>
      </c>
      <c r="BE1894" s="4" t="s">
        <v>100</v>
      </c>
      <c r="BF1894" s="8" t="s">
        <v>100</v>
      </c>
      <c r="BG1894" s="7" t="s">
        <v>100</v>
      </c>
      <c r="BH1894" s="7" t="s">
        <v>100</v>
      </c>
      <c r="BI1894" s="7"/>
      <c r="BJ1894" s="4">
        <v>3</v>
      </c>
      <c r="BK1894" s="8">
        <v>199.64</v>
      </c>
      <c r="BL1894" s="2" t="s">
        <v>391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109</v>
      </c>
      <c r="BV1894" s="2" t="s">
        <v>97</v>
      </c>
      <c r="BW1894" s="2" t="s">
        <v>4443</v>
      </c>
      <c r="BX1894" s="2" t="s">
        <v>5480</v>
      </c>
      <c r="BY1894" s="2" t="s">
        <v>112</v>
      </c>
      <c r="BZ1894" s="2" t="s">
        <v>100</v>
      </c>
    </row>
    <row r="1895">
      <c r="A1895" s="2" t="s">
        <v>5481</v>
      </c>
      <c r="B1895" s="2" t="s">
        <v>87</v>
      </c>
      <c r="C1895" s="2" t="s">
        <v>5420</v>
      </c>
      <c r="D1895" s="2" t="s">
        <v>2230</v>
      </c>
      <c r="E1895" s="2" t="s">
        <v>5421</v>
      </c>
      <c r="F1895" s="2" t="s">
        <v>5482</v>
      </c>
      <c r="G1895" s="2" t="s">
        <v>5482</v>
      </c>
      <c r="H1895" s="2" t="s">
        <v>5482</v>
      </c>
      <c r="I1895" s="2" t="s">
        <v>5466</v>
      </c>
      <c r="J1895" s="2" t="s">
        <v>785</v>
      </c>
      <c r="K1895" s="2" t="s">
        <v>434</v>
      </c>
      <c r="L1895" s="3">
        <v>49.99</v>
      </c>
      <c r="M1895" s="3">
        <v>52.49</v>
      </c>
      <c r="N1895" s="3">
        <v>109.99</v>
      </c>
      <c r="O1895" s="2" t="s">
        <v>97</v>
      </c>
      <c r="P1895" s="2" t="s">
        <v>242</v>
      </c>
      <c r="Q1895" s="2" t="s">
        <v>99</v>
      </c>
      <c r="R1895" s="2" t="s">
        <v>100</v>
      </c>
      <c r="S1895" s="2" t="s">
        <v>5483</v>
      </c>
      <c r="T1895" s="2" t="s">
        <v>100</v>
      </c>
      <c r="U1895" s="2" t="s">
        <v>100</v>
      </c>
      <c r="V1895" s="2" t="s">
        <v>1112</v>
      </c>
      <c r="W1895" s="2" t="s">
        <v>756</v>
      </c>
      <c r="X1895" s="2" t="s">
        <v>563</v>
      </c>
      <c r="Y1895" s="2" t="s">
        <v>131</v>
      </c>
      <c r="Z1895" s="4">
        <v>292</v>
      </c>
      <c r="AA1895" s="4">
        <f>=ROUNDDOWN(24.3333333333333,0)</f>
      </c>
      <c r="AB1895" s="5">
        <v>12</v>
      </c>
      <c r="AC1895" s="2" t="s">
        <v>1372</v>
      </c>
      <c r="AD1895" s="4">
        <v>80</v>
      </c>
      <c r="AE1895" s="4">
        <v>600</v>
      </c>
      <c r="AF1895" s="6">
        <v>69</v>
      </c>
      <c r="AG1895" s="6"/>
      <c r="AH1895" s="7">
        <v>1</v>
      </c>
      <c r="AI1895" s="4"/>
      <c r="AJ1895" s="4">
        <f>=ROUNDDOWN({0},0)</f>
      </c>
      <c r="AK1895" s="5"/>
      <c r="AL1895" s="2" t="s">
        <v>100</v>
      </c>
      <c r="AM1895" s="4"/>
      <c r="AN1895" s="4"/>
      <c r="AO1895" s="7">
        <v>0</v>
      </c>
      <c r="AP1895" s="4"/>
      <c r="AQ1895" s="8"/>
      <c r="AR1895" s="4"/>
      <c r="AS1895" s="8"/>
      <c r="AT1895" s="7"/>
      <c r="AU1895" s="7"/>
      <c r="AV1895" s="4" t="s">
        <v>100</v>
      </c>
      <c r="AW1895" s="8" t="s">
        <v>100</v>
      </c>
      <c r="AX1895" s="4" t="s">
        <v>100</v>
      </c>
      <c r="AY1895" s="8" t="s">
        <v>100</v>
      </c>
      <c r="AZ1895" s="7" t="s">
        <v>100</v>
      </c>
      <c r="BA1895" s="7" t="s">
        <v>100</v>
      </c>
      <c r="BB1895" s="7"/>
      <c r="BC1895" s="4" t="s">
        <v>100</v>
      </c>
      <c r="BD1895" s="8" t="s">
        <v>100</v>
      </c>
      <c r="BE1895" s="4" t="s">
        <v>100</v>
      </c>
      <c r="BF1895" s="8" t="s">
        <v>100</v>
      </c>
      <c r="BG1895" s="7" t="s">
        <v>100</v>
      </c>
      <c r="BH1895" s="7" t="s">
        <v>100</v>
      </c>
      <c r="BI1895" s="7"/>
      <c r="BJ1895" s="4">
        <v>13</v>
      </c>
      <c r="BK1895" s="8">
        <v>680.6</v>
      </c>
      <c r="BL1895" s="2" t="s">
        <v>5484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109</v>
      </c>
      <c r="BV1895" s="2" t="s">
        <v>97</v>
      </c>
      <c r="BW1895" s="2" t="s">
        <v>723</v>
      </c>
      <c r="BX1895" s="2" t="s">
        <v>2473</v>
      </c>
      <c r="BY1895" s="2" t="s">
        <v>112</v>
      </c>
      <c r="BZ1895" s="2" t="s">
        <v>100</v>
      </c>
    </row>
    <row r="1896">
      <c r="A1896" s="2" t="s">
        <v>5485</v>
      </c>
      <c r="B1896" s="2" t="s">
        <v>87</v>
      </c>
      <c r="C1896" s="2" t="s">
        <v>5420</v>
      </c>
      <c r="D1896" s="2" t="s">
        <v>2230</v>
      </c>
      <c r="E1896" s="2" t="s">
        <v>5421</v>
      </c>
      <c r="F1896" s="2" t="s">
        <v>5482</v>
      </c>
      <c r="G1896" s="2" t="s">
        <v>5482</v>
      </c>
      <c r="H1896" s="2" t="s">
        <v>5482</v>
      </c>
      <c r="I1896" s="2" t="s">
        <v>5466</v>
      </c>
      <c r="J1896" s="2" t="s">
        <v>795</v>
      </c>
      <c r="K1896" s="2" t="s">
        <v>434</v>
      </c>
      <c r="L1896" s="3">
        <v>54.99</v>
      </c>
      <c r="M1896" s="3">
        <v>57.74</v>
      </c>
      <c r="N1896" s="3">
        <v>119.99</v>
      </c>
      <c r="O1896" s="2" t="s">
        <v>97</v>
      </c>
      <c r="P1896" s="2" t="s">
        <v>242</v>
      </c>
      <c r="Q1896" s="2" t="s">
        <v>99</v>
      </c>
      <c r="R1896" s="2" t="s">
        <v>100</v>
      </c>
      <c r="S1896" s="2" t="s">
        <v>5483</v>
      </c>
      <c r="T1896" s="2" t="s">
        <v>100</v>
      </c>
      <c r="U1896" s="2" t="s">
        <v>100</v>
      </c>
      <c r="V1896" s="2" t="s">
        <v>1112</v>
      </c>
      <c r="W1896" s="2" t="s">
        <v>756</v>
      </c>
      <c r="X1896" s="2" t="s">
        <v>563</v>
      </c>
      <c r="Y1896" s="2" t="s">
        <v>131</v>
      </c>
      <c r="Z1896" s="4">
        <v>506</v>
      </c>
      <c r="AA1896" s="4">
        <f>=ROUNDDOWN(38.9230769230769,0)</f>
      </c>
      <c r="AB1896" s="5">
        <v>13</v>
      </c>
      <c r="AC1896" s="2" t="s">
        <v>406</v>
      </c>
      <c r="AD1896" s="4">
        <v>380</v>
      </c>
      <c r="AE1896" s="4">
        <v>480</v>
      </c>
      <c r="AF1896" s="6">
        <v>69</v>
      </c>
      <c r="AG1896" s="6"/>
      <c r="AH1896" s="7">
        <v>1</v>
      </c>
      <c r="AI1896" s="4"/>
      <c r="AJ1896" s="4">
        <f>=ROUNDDOWN({0},0)</f>
      </c>
      <c r="AK1896" s="5"/>
      <c r="AL1896" s="2" t="s">
        <v>100</v>
      </c>
      <c r="AM1896" s="4"/>
      <c r="AN1896" s="4"/>
      <c r="AO1896" s="7">
        <v>0</v>
      </c>
      <c r="AP1896" s="4"/>
      <c r="AQ1896" s="8"/>
      <c r="AR1896" s="4"/>
      <c r="AS1896" s="8"/>
      <c r="AT1896" s="7"/>
      <c r="AU1896" s="7"/>
      <c r="AV1896" s="4" t="s">
        <v>100</v>
      </c>
      <c r="AW1896" s="8" t="s">
        <v>100</v>
      </c>
      <c r="AX1896" s="4" t="s">
        <v>100</v>
      </c>
      <c r="AY1896" s="8" t="s">
        <v>100</v>
      </c>
      <c r="AZ1896" s="7" t="s">
        <v>100</v>
      </c>
      <c r="BA1896" s="7" t="s">
        <v>100</v>
      </c>
      <c r="BB1896" s="7"/>
      <c r="BC1896" s="4" t="s">
        <v>100</v>
      </c>
      <c r="BD1896" s="8" t="s">
        <v>100</v>
      </c>
      <c r="BE1896" s="4" t="s">
        <v>100</v>
      </c>
      <c r="BF1896" s="8" t="s">
        <v>100</v>
      </c>
      <c r="BG1896" s="7" t="s">
        <v>100</v>
      </c>
      <c r="BH1896" s="7" t="s">
        <v>100</v>
      </c>
      <c r="BI1896" s="7"/>
      <c r="BJ1896" s="4">
        <v>11</v>
      </c>
      <c r="BK1896" s="8">
        <v>646.3</v>
      </c>
      <c r="BL1896" s="2" t="s">
        <v>1963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109</v>
      </c>
      <c r="BV1896" s="2" t="s">
        <v>97</v>
      </c>
      <c r="BW1896" s="2" t="s">
        <v>723</v>
      </c>
      <c r="BX1896" s="2" t="s">
        <v>2758</v>
      </c>
      <c r="BY1896" s="2" t="s">
        <v>112</v>
      </c>
      <c r="BZ1896" s="2" t="s">
        <v>100</v>
      </c>
    </row>
    <row r="1897">
      <c r="A1897" s="2" t="s">
        <v>5486</v>
      </c>
      <c r="B1897" s="2" t="s">
        <v>87</v>
      </c>
      <c r="C1897" s="2" t="s">
        <v>5420</v>
      </c>
      <c r="D1897" s="2" t="s">
        <v>2230</v>
      </c>
      <c r="E1897" s="2" t="s">
        <v>5421</v>
      </c>
      <c r="F1897" s="2" t="s">
        <v>5487</v>
      </c>
      <c r="G1897" s="2" t="s">
        <v>5487</v>
      </c>
      <c r="H1897" s="2" t="s">
        <v>5487</v>
      </c>
      <c r="I1897" s="2" t="s">
        <v>5488</v>
      </c>
      <c r="J1897" s="2" t="s">
        <v>785</v>
      </c>
      <c r="K1897" s="2" t="s">
        <v>5489</v>
      </c>
      <c r="L1897" s="3">
        <v>48</v>
      </c>
      <c r="M1897" s="3">
        <v>50.39</v>
      </c>
      <c r="N1897" s="3">
        <v>99.99</v>
      </c>
      <c r="O1897" s="2" t="s">
        <v>97</v>
      </c>
      <c r="P1897" s="2" t="s">
        <v>98</v>
      </c>
      <c r="Q1897" s="2" t="s">
        <v>99</v>
      </c>
      <c r="R1897" s="2" t="s">
        <v>100</v>
      </c>
      <c r="S1897" s="2" t="s">
        <v>5490</v>
      </c>
      <c r="T1897" s="2" t="s">
        <v>359</v>
      </c>
      <c r="U1897" s="2" t="s">
        <v>1508</v>
      </c>
      <c r="V1897" s="2" t="s">
        <v>1112</v>
      </c>
      <c r="W1897" s="2" t="s">
        <v>756</v>
      </c>
      <c r="X1897" s="2" t="s">
        <v>788</v>
      </c>
      <c r="Y1897" s="2" t="s">
        <v>5491</v>
      </c>
      <c r="Z1897" s="4">
        <v>141</v>
      </c>
      <c r="AA1897" s="4">
        <f>=ROUNDDOWN(28.2,0)</f>
      </c>
      <c r="AB1897" s="5">
        <v>5</v>
      </c>
      <c r="AC1897" s="2" t="s">
        <v>680</v>
      </c>
      <c r="AD1897" s="4">
        <v>100</v>
      </c>
      <c r="AE1897" s="4">
        <v>420</v>
      </c>
      <c r="AF1897" s="6">
        <v>66</v>
      </c>
      <c r="AG1897" s="6"/>
      <c r="AH1897" s="7">
        <v>1</v>
      </c>
      <c r="AI1897" s="4"/>
      <c r="AJ1897" s="4">
        <f>=ROUNDDOWN({0},0)</f>
      </c>
      <c r="AK1897" s="5"/>
      <c r="AL1897" s="2" t="s">
        <v>100</v>
      </c>
      <c r="AM1897" s="4"/>
      <c r="AN1897" s="4"/>
      <c r="AO1897" s="7">
        <v>0</v>
      </c>
      <c r="AP1897" s="4"/>
      <c r="AQ1897" s="8"/>
      <c r="AR1897" s="4"/>
      <c r="AS1897" s="8"/>
      <c r="AT1897" s="7"/>
      <c r="AU1897" s="7"/>
      <c r="AV1897" s="4" t="s">
        <v>100</v>
      </c>
      <c r="AW1897" s="8" t="s">
        <v>100</v>
      </c>
      <c r="AX1897" s="4" t="s">
        <v>100</v>
      </c>
      <c r="AY1897" s="8" t="s">
        <v>100</v>
      </c>
      <c r="AZ1897" s="7" t="s">
        <v>100</v>
      </c>
      <c r="BA1897" s="7" t="s">
        <v>100</v>
      </c>
      <c r="BB1897" s="7"/>
      <c r="BC1897" s="4" t="s">
        <v>100</v>
      </c>
      <c r="BD1897" s="8" t="s">
        <v>100</v>
      </c>
      <c r="BE1897" s="4" t="s">
        <v>100</v>
      </c>
      <c r="BF1897" s="8" t="s">
        <v>100</v>
      </c>
      <c r="BG1897" s="7" t="s">
        <v>100</v>
      </c>
      <c r="BH1897" s="7" t="s">
        <v>100</v>
      </c>
      <c r="BI1897" s="7"/>
      <c r="BJ1897" s="4">
        <v>5</v>
      </c>
      <c r="BK1897" s="8">
        <v>249.87</v>
      </c>
      <c r="BL1897" s="2" t="s">
        <v>2340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109</v>
      </c>
      <c r="BV1897" s="2" t="s">
        <v>97</v>
      </c>
      <c r="BW1897" s="2" t="s">
        <v>4443</v>
      </c>
      <c r="BX1897" s="2" t="s">
        <v>5478</v>
      </c>
      <c r="BY1897" s="2" t="s">
        <v>112</v>
      </c>
      <c r="BZ1897" s="2" t="s">
        <v>100</v>
      </c>
    </row>
    <row r="1898">
      <c r="A1898" s="2" t="s">
        <v>5492</v>
      </c>
      <c r="B1898" s="2" t="s">
        <v>87</v>
      </c>
      <c r="C1898" s="2" t="s">
        <v>5420</v>
      </c>
      <c r="D1898" s="2" t="s">
        <v>2230</v>
      </c>
      <c r="E1898" s="2" t="s">
        <v>5421</v>
      </c>
      <c r="F1898" s="2" t="s">
        <v>5487</v>
      </c>
      <c r="G1898" s="2" t="s">
        <v>5487</v>
      </c>
      <c r="H1898" s="2" t="s">
        <v>5487</v>
      </c>
      <c r="I1898" s="2" t="s">
        <v>5488</v>
      </c>
      <c r="J1898" s="2" t="s">
        <v>795</v>
      </c>
      <c r="K1898" s="2" t="s">
        <v>5489</v>
      </c>
      <c r="L1898" s="3">
        <v>52.8</v>
      </c>
      <c r="M1898" s="3">
        <v>55.43</v>
      </c>
      <c r="N1898" s="3">
        <v>109.99</v>
      </c>
      <c r="O1898" s="2" t="s">
        <v>97</v>
      </c>
      <c r="P1898" s="2" t="s">
        <v>98</v>
      </c>
      <c r="Q1898" s="2" t="s">
        <v>99</v>
      </c>
      <c r="R1898" s="2" t="s">
        <v>100</v>
      </c>
      <c r="S1898" s="2" t="s">
        <v>5490</v>
      </c>
      <c r="T1898" s="2" t="s">
        <v>359</v>
      </c>
      <c r="U1898" s="2" t="s">
        <v>1508</v>
      </c>
      <c r="V1898" s="2" t="s">
        <v>1112</v>
      </c>
      <c r="W1898" s="2" t="s">
        <v>756</v>
      </c>
      <c r="X1898" s="2" t="s">
        <v>788</v>
      </c>
      <c r="Y1898" s="2" t="s">
        <v>5491</v>
      </c>
      <c r="Z1898" s="4">
        <v>125</v>
      </c>
      <c r="AA1898" s="4">
        <f>=ROUNDDOWN(20.8333333333333,0)</f>
      </c>
      <c r="AB1898" s="5">
        <v>6</v>
      </c>
      <c r="AC1898" s="2" t="s">
        <v>680</v>
      </c>
      <c r="AD1898" s="4">
        <v>180</v>
      </c>
      <c r="AE1898" s="4">
        <v>560</v>
      </c>
      <c r="AF1898" s="6">
        <v>66</v>
      </c>
      <c r="AG1898" s="6"/>
      <c r="AH1898" s="7">
        <v>1</v>
      </c>
      <c r="AI1898" s="4"/>
      <c r="AJ1898" s="4">
        <f>=ROUNDDOWN({0},0)</f>
      </c>
      <c r="AK1898" s="5"/>
      <c r="AL1898" s="2" t="s">
        <v>100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100</v>
      </c>
      <c r="AW1898" s="8" t="s">
        <v>100</v>
      </c>
      <c r="AX1898" s="4" t="s">
        <v>100</v>
      </c>
      <c r="AY1898" s="8" t="s">
        <v>100</v>
      </c>
      <c r="AZ1898" s="7" t="s">
        <v>100</v>
      </c>
      <c r="BA1898" s="7" t="s">
        <v>100</v>
      </c>
      <c r="BB1898" s="7"/>
      <c r="BC1898" s="4" t="s">
        <v>100</v>
      </c>
      <c r="BD1898" s="8" t="s">
        <v>100</v>
      </c>
      <c r="BE1898" s="4" t="s">
        <v>100</v>
      </c>
      <c r="BF1898" s="8" t="s">
        <v>100</v>
      </c>
      <c r="BG1898" s="7" t="s">
        <v>100</v>
      </c>
      <c r="BH1898" s="7" t="s">
        <v>100</v>
      </c>
      <c r="BI1898" s="7"/>
      <c r="BJ1898" s="4">
        <v>5</v>
      </c>
      <c r="BK1898" s="8">
        <v>280.65</v>
      </c>
      <c r="BL1898" s="2" t="s">
        <v>412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109</v>
      </c>
      <c r="BV1898" s="2" t="s">
        <v>97</v>
      </c>
      <c r="BW1898" s="2" t="s">
        <v>4443</v>
      </c>
      <c r="BX1898" s="2" t="s">
        <v>2573</v>
      </c>
      <c r="BY1898" s="2" t="s">
        <v>112</v>
      </c>
      <c r="BZ1898" s="2" t="s">
        <v>100</v>
      </c>
    </row>
    <row r="1899">
      <c r="A1899" s="2" t="s">
        <v>5493</v>
      </c>
      <c r="B1899" s="2" t="s">
        <v>87</v>
      </c>
      <c r="C1899" s="2" t="s">
        <v>5420</v>
      </c>
      <c r="D1899" s="2" t="s">
        <v>2230</v>
      </c>
      <c r="E1899" s="2" t="s">
        <v>5421</v>
      </c>
      <c r="F1899" s="2" t="s">
        <v>5494</v>
      </c>
      <c r="G1899" s="2" t="s">
        <v>5494</v>
      </c>
      <c r="H1899" s="2" t="s">
        <v>5494</v>
      </c>
      <c r="I1899" s="2" t="s">
        <v>5495</v>
      </c>
      <c r="J1899" s="2" t="s">
        <v>785</v>
      </c>
      <c r="K1899" s="2" t="s">
        <v>5496</v>
      </c>
      <c r="L1899" s="3">
        <v>48</v>
      </c>
      <c r="M1899" s="3">
        <v>50.39</v>
      </c>
      <c r="N1899" s="3">
        <v>99.99</v>
      </c>
      <c r="O1899" s="2" t="s">
        <v>473</v>
      </c>
      <c r="P1899" s="2" t="s">
        <v>447</v>
      </c>
      <c r="Q1899" s="2" t="s">
        <v>99</v>
      </c>
      <c r="R1899" s="2" t="s">
        <v>100</v>
      </c>
      <c r="S1899" s="2" t="s">
        <v>100</v>
      </c>
      <c r="T1899" s="2" t="s">
        <v>100</v>
      </c>
      <c r="U1899" s="2" t="s">
        <v>100</v>
      </c>
      <c r="V1899" s="2" t="s">
        <v>1112</v>
      </c>
      <c r="W1899" s="2" t="s">
        <v>756</v>
      </c>
      <c r="X1899" s="2" t="s">
        <v>563</v>
      </c>
      <c r="Y1899" s="2" t="s">
        <v>5408</v>
      </c>
      <c r="Z1899" s="4">
        <v>325</v>
      </c>
      <c r="AA1899" s="4">
        <f>=ROUNDDOWN(54.1666666666667,0)</f>
      </c>
      <c r="AB1899" s="5">
        <v>6</v>
      </c>
      <c r="AC1899" s="2" t="s">
        <v>100</v>
      </c>
      <c r="AD1899" s="4"/>
      <c r="AE1899" s="4"/>
      <c r="AF1899" s="6">
        <v>66</v>
      </c>
      <c r="AG1899" s="6"/>
      <c r="AH1899" s="7">
        <v>1</v>
      </c>
      <c r="AI1899" s="4"/>
      <c r="AJ1899" s="4">
        <f>=ROUNDDOWN({0},0)</f>
      </c>
      <c r="AK1899" s="5"/>
      <c r="AL1899" s="2" t="s">
        <v>100</v>
      </c>
      <c r="AM1899" s="4"/>
      <c r="AN1899" s="4"/>
      <c r="AO1899" s="7">
        <v>0</v>
      </c>
      <c r="AP1899" s="4"/>
      <c r="AQ1899" s="8"/>
      <c r="AR1899" s="4"/>
      <c r="AS1899" s="8"/>
      <c r="AT1899" s="7"/>
      <c r="AU1899" s="7"/>
      <c r="AV1899" s="4" t="s">
        <v>100</v>
      </c>
      <c r="AW1899" s="8" t="s">
        <v>100</v>
      </c>
      <c r="AX1899" s="4" t="s">
        <v>100</v>
      </c>
      <c r="AY1899" s="8" t="s">
        <v>100</v>
      </c>
      <c r="AZ1899" s="7" t="s">
        <v>100</v>
      </c>
      <c r="BA1899" s="7" t="s">
        <v>100</v>
      </c>
      <c r="BB1899" s="7"/>
      <c r="BC1899" s="4" t="s">
        <v>100</v>
      </c>
      <c r="BD1899" s="8" t="s">
        <v>100</v>
      </c>
      <c r="BE1899" s="4" t="s">
        <v>100</v>
      </c>
      <c r="BF1899" s="8" t="s">
        <v>100</v>
      </c>
      <c r="BG1899" s="7" t="s">
        <v>100</v>
      </c>
      <c r="BH1899" s="7" t="s">
        <v>100</v>
      </c>
      <c r="BI1899" s="7"/>
      <c r="BJ1899" s="4">
        <v>5</v>
      </c>
      <c r="BK1899" s="8">
        <v>248.31</v>
      </c>
      <c r="BL1899" s="2" t="s">
        <v>830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109</v>
      </c>
      <c r="BV1899" s="2" t="s">
        <v>97</v>
      </c>
      <c r="BW1899" s="2" t="s">
        <v>723</v>
      </c>
      <c r="BX1899" s="2" t="s">
        <v>1842</v>
      </c>
      <c r="BY1899" s="2" t="s">
        <v>112</v>
      </c>
      <c r="BZ1899" s="2" t="s">
        <v>100</v>
      </c>
    </row>
    <row r="1900">
      <c r="A1900" s="2" t="s">
        <v>5497</v>
      </c>
      <c r="B1900" s="2" t="s">
        <v>87</v>
      </c>
      <c r="C1900" s="2" t="s">
        <v>5420</v>
      </c>
      <c r="D1900" s="2" t="s">
        <v>2230</v>
      </c>
      <c r="E1900" s="2" t="s">
        <v>5421</v>
      </c>
      <c r="F1900" s="2" t="s">
        <v>5494</v>
      </c>
      <c r="G1900" s="2" t="s">
        <v>5494</v>
      </c>
      <c r="H1900" s="2" t="s">
        <v>5494</v>
      </c>
      <c r="I1900" s="2" t="s">
        <v>5495</v>
      </c>
      <c r="J1900" s="2" t="s">
        <v>795</v>
      </c>
      <c r="K1900" s="2" t="s">
        <v>5496</v>
      </c>
      <c r="L1900" s="3">
        <v>52.8</v>
      </c>
      <c r="M1900" s="3">
        <v>55.43</v>
      </c>
      <c r="N1900" s="3">
        <v>109.99</v>
      </c>
      <c r="O1900" s="2" t="s">
        <v>473</v>
      </c>
      <c r="P1900" s="2" t="s">
        <v>447</v>
      </c>
      <c r="Q1900" s="2" t="s">
        <v>99</v>
      </c>
      <c r="R1900" s="2" t="s">
        <v>100</v>
      </c>
      <c r="S1900" s="2" t="s">
        <v>100</v>
      </c>
      <c r="T1900" s="2" t="s">
        <v>100</v>
      </c>
      <c r="U1900" s="2" t="s">
        <v>100</v>
      </c>
      <c r="V1900" s="2" t="s">
        <v>1112</v>
      </c>
      <c r="W1900" s="2" t="s">
        <v>756</v>
      </c>
      <c r="X1900" s="2" t="s">
        <v>563</v>
      </c>
      <c r="Y1900" s="2" t="s">
        <v>5408</v>
      </c>
      <c r="Z1900" s="4">
        <v>143</v>
      </c>
      <c r="AA1900" s="4">
        <f>=ROUNDDOWN(23.8333333333333,0)</f>
      </c>
      <c r="AB1900" s="5">
        <v>6</v>
      </c>
      <c r="AC1900" s="2" t="s">
        <v>100</v>
      </c>
      <c r="AD1900" s="4"/>
      <c r="AE1900" s="4"/>
      <c r="AF1900" s="6">
        <v>66</v>
      </c>
      <c r="AG1900" s="6"/>
      <c r="AH1900" s="7">
        <v>1</v>
      </c>
      <c r="AI1900" s="4"/>
      <c r="AJ1900" s="4">
        <f>=ROUNDDOWN({0},0)</f>
      </c>
      <c r="AK1900" s="5"/>
      <c r="AL1900" s="2" t="s">
        <v>100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 t="s">
        <v>100</v>
      </c>
      <c r="AW1900" s="8" t="s">
        <v>100</v>
      </c>
      <c r="AX1900" s="4" t="s">
        <v>100</v>
      </c>
      <c r="AY1900" s="8" t="s">
        <v>100</v>
      </c>
      <c r="AZ1900" s="7" t="s">
        <v>100</v>
      </c>
      <c r="BA1900" s="7" t="s">
        <v>100</v>
      </c>
      <c r="BB1900" s="7"/>
      <c r="BC1900" s="4" t="s">
        <v>100</v>
      </c>
      <c r="BD1900" s="8" t="s">
        <v>100</v>
      </c>
      <c r="BE1900" s="4" t="s">
        <v>100</v>
      </c>
      <c r="BF1900" s="8" t="s">
        <v>100</v>
      </c>
      <c r="BG1900" s="7" t="s">
        <v>100</v>
      </c>
      <c r="BH1900" s="7" t="s">
        <v>100</v>
      </c>
      <c r="BI1900" s="7"/>
      <c r="BJ1900" s="4">
        <v>3</v>
      </c>
      <c r="BK1900" s="8">
        <v>170.28</v>
      </c>
      <c r="BL1900" s="2" t="s">
        <v>1974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109</v>
      </c>
      <c r="BV1900" s="2" t="s">
        <v>97</v>
      </c>
      <c r="BW1900" s="2" t="s">
        <v>723</v>
      </c>
      <c r="BX1900" s="2" t="s">
        <v>621</v>
      </c>
      <c r="BY1900" s="2" t="s">
        <v>112</v>
      </c>
      <c r="BZ1900" s="2" t="s">
        <v>100</v>
      </c>
    </row>
    <row r="1901">
      <c r="A1901" s="2" t="s">
        <v>5498</v>
      </c>
      <c r="B1901" s="2" t="s">
        <v>87</v>
      </c>
      <c r="C1901" s="2" t="s">
        <v>5420</v>
      </c>
      <c r="D1901" s="2" t="s">
        <v>2230</v>
      </c>
      <c r="E1901" s="2" t="s">
        <v>5421</v>
      </c>
      <c r="F1901" s="2" t="s">
        <v>5499</v>
      </c>
      <c r="G1901" s="2" t="s">
        <v>5499</v>
      </c>
      <c r="H1901" s="2" t="s">
        <v>5499</v>
      </c>
      <c r="I1901" s="2" t="s">
        <v>5423</v>
      </c>
      <c r="J1901" s="2" t="s">
        <v>673</v>
      </c>
      <c r="K1901" s="2" t="s">
        <v>771</v>
      </c>
      <c r="L1901" s="3">
        <v>39</v>
      </c>
      <c r="M1901" s="3">
        <v>40.95</v>
      </c>
      <c r="N1901" s="3">
        <v>89.99</v>
      </c>
      <c r="O1901" s="2" t="s">
        <v>97</v>
      </c>
      <c r="P1901" s="2" t="s">
        <v>98</v>
      </c>
      <c r="Q1901" s="2" t="s">
        <v>99</v>
      </c>
      <c r="R1901" s="2" t="s">
        <v>100</v>
      </c>
      <c r="S1901" s="2" t="s">
        <v>5483</v>
      </c>
      <c r="T1901" s="2" t="s">
        <v>359</v>
      </c>
      <c r="U1901" s="2" t="s">
        <v>2150</v>
      </c>
      <c r="V1901" s="2" t="s">
        <v>2876</v>
      </c>
      <c r="W1901" s="2" t="s">
        <v>756</v>
      </c>
      <c r="X1901" s="2" t="s">
        <v>244</v>
      </c>
      <c r="Y1901" s="2" t="s">
        <v>5425</v>
      </c>
      <c r="Z1901" s="4">
        <v>688</v>
      </c>
      <c r="AA1901" s="4">
        <f>=ROUNDDOWN(62.5454545454545,0)</f>
      </c>
      <c r="AB1901" s="5">
        <v>11</v>
      </c>
      <c r="AC1901" s="2" t="s">
        <v>680</v>
      </c>
      <c r="AD1901" s="4">
        <v>350</v>
      </c>
      <c r="AE1901" s="4">
        <v>350</v>
      </c>
      <c r="AF1901" s="6">
        <v>69</v>
      </c>
      <c r="AG1901" s="6"/>
      <c r="AH1901" s="7">
        <v>1</v>
      </c>
      <c r="AI1901" s="4"/>
      <c r="AJ1901" s="4">
        <f>=ROUNDDOWN({0},0)</f>
      </c>
      <c r="AK1901" s="5"/>
      <c r="AL1901" s="2" t="s">
        <v>100</v>
      </c>
      <c r="AM1901" s="4"/>
      <c r="AN1901" s="4"/>
      <c r="AO1901" s="7">
        <v>0</v>
      </c>
      <c r="AP1901" s="4"/>
      <c r="AQ1901" s="8"/>
      <c r="AR1901" s="4"/>
      <c r="AS1901" s="8"/>
      <c r="AT1901" s="7"/>
      <c r="AU1901" s="7"/>
      <c r="AV1901" s="4" t="s">
        <v>100</v>
      </c>
      <c r="AW1901" s="8" t="s">
        <v>100</v>
      </c>
      <c r="AX1901" s="4" t="s">
        <v>100</v>
      </c>
      <c r="AY1901" s="8" t="s">
        <v>100</v>
      </c>
      <c r="AZ1901" s="7" t="s">
        <v>100</v>
      </c>
      <c r="BA1901" s="7" t="s">
        <v>100</v>
      </c>
      <c r="BB1901" s="7"/>
      <c r="BC1901" s="4" t="s">
        <v>100</v>
      </c>
      <c r="BD1901" s="8" t="s">
        <v>100</v>
      </c>
      <c r="BE1901" s="4" t="s">
        <v>100</v>
      </c>
      <c r="BF1901" s="8" t="s">
        <v>100</v>
      </c>
      <c r="BG1901" s="7" t="s">
        <v>100</v>
      </c>
      <c r="BH1901" s="7" t="s">
        <v>100</v>
      </c>
      <c r="BI1901" s="7"/>
      <c r="BJ1901" s="4">
        <v>9</v>
      </c>
      <c r="BK1901" s="8">
        <v>386.43</v>
      </c>
      <c r="BL1901" s="2" t="s">
        <v>471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3088</v>
      </c>
      <c r="BV1901" s="2" t="s">
        <v>97</v>
      </c>
      <c r="BW1901" s="2" t="s">
        <v>100</v>
      </c>
      <c r="BX1901" s="2" t="s">
        <v>100</v>
      </c>
      <c r="BY1901" s="2" t="s">
        <v>112</v>
      </c>
      <c r="BZ1901" s="2" t="s">
        <v>100</v>
      </c>
    </row>
    <row r="1902">
      <c r="A1902" s="2" t="s">
        <v>5500</v>
      </c>
      <c r="B1902" s="2" t="s">
        <v>87</v>
      </c>
      <c r="C1902" s="2" t="s">
        <v>5420</v>
      </c>
      <c r="D1902" s="2" t="s">
        <v>2230</v>
      </c>
      <c r="E1902" s="2" t="s">
        <v>5421</v>
      </c>
      <c r="F1902" s="2" t="s">
        <v>5499</v>
      </c>
      <c r="G1902" s="2" t="s">
        <v>5499</v>
      </c>
      <c r="H1902" s="2" t="s">
        <v>5499</v>
      </c>
      <c r="I1902" s="2" t="s">
        <v>5423</v>
      </c>
      <c r="J1902" s="2" t="s">
        <v>785</v>
      </c>
      <c r="K1902" s="2" t="s">
        <v>771</v>
      </c>
      <c r="L1902" s="3">
        <v>49.99</v>
      </c>
      <c r="M1902" s="3">
        <v>52.49</v>
      </c>
      <c r="N1902" s="3">
        <v>119.99</v>
      </c>
      <c r="O1902" s="2" t="s">
        <v>97</v>
      </c>
      <c r="P1902" s="2" t="s">
        <v>281</v>
      </c>
      <c r="Q1902" s="2" t="s">
        <v>99</v>
      </c>
      <c r="R1902" s="2" t="s">
        <v>100</v>
      </c>
      <c r="S1902" s="2" t="s">
        <v>5483</v>
      </c>
      <c r="T1902" s="2" t="s">
        <v>359</v>
      </c>
      <c r="U1902" s="2" t="s">
        <v>1508</v>
      </c>
      <c r="V1902" s="2" t="s">
        <v>2876</v>
      </c>
      <c r="W1902" s="2" t="s">
        <v>756</v>
      </c>
      <c r="X1902" s="2" t="s">
        <v>244</v>
      </c>
      <c r="Y1902" s="2" t="s">
        <v>131</v>
      </c>
      <c r="Z1902" s="4">
        <v>684</v>
      </c>
      <c r="AA1902" s="4">
        <f>=ROUNDDOWN(22.8,0)</f>
      </c>
      <c r="AB1902" s="5">
        <v>30</v>
      </c>
      <c r="AC1902" s="2" t="s">
        <v>1377</v>
      </c>
      <c r="AD1902" s="4">
        <v>130</v>
      </c>
      <c r="AE1902" s="4">
        <v>1430</v>
      </c>
      <c r="AF1902" s="6">
        <v>69</v>
      </c>
      <c r="AG1902" s="6"/>
      <c r="AH1902" s="7">
        <v>1</v>
      </c>
      <c r="AI1902" s="4"/>
      <c r="AJ1902" s="4">
        <f>=ROUNDDOWN({0},0)</f>
      </c>
      <c r="AK1902" s="5"/>
      <c r="AL1902" s="2" t="s">
        <v>100</v>
      </c>
      <c r="AM1902" s="4"/>
      <c r="AN1902" s="4"/>
      <c r="AO1902" s="7">
        <v>0</v>
      </c>
      <c r="AP1902" s="4"/>
      <c r="AQ1902" s="8"/>
      <c r="AR1902" s="4"/>
      <c r="AS1902" s="8"/>
      <c r="AT1902" s="7"/>
      <c r="AU1902" s="7"/>
      <c r="AV1902" s="4" t="s">
        <v>100</v>
      </c>
      <c r="AW1902" s="8" t="s">
        <v>100</v>
      </c>
      <c r="AX1902" s="4" t="s">
        <v>100</v>
      </c>
      <c r="AY1902" s="8" t="s">
        <v>100</v>
      </c>
      <c r="AZ1902" s="7" t="s">
        <v>100</v>
      </c>
      <c r="BA1902" s="7" t="s">
        <v>100</v>
      </c>
      <c r="BB1902" s="7"/>
      <c r="BC1902" s="4" t="s">
        <v>100</v>
      </c>
      <c r="BD1902" s="8" t="s">
        <v>100</v>
      </c>
      <c r="BE1902" s="4" t="s">
        <v>100</v>
      </c>
      <c r="BF1902" s="8" t="s">
        <v>100</v>
      </c>
      <c r="BG1902" s="7" t="s">
        <v>100</v>
      </c>
      <c r="BH1902" s="7" t="s">
        <v>100</v>
      </c>
      <c r="BI1902" s="7"/>
      <c r="BJ1902" s="4">
        <v>26</v>
      </c>
      <c r="BK1902" s="8">
        <v>1438.71</v>
      </c>
      <c r="BL1902" s="2" t="s">
        <v>5501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109</v>
      </c>
      <c r="BV1902" s="2" t="s">
        <v>97</v>
      </c>
      <c r="BW1902" s="2" t="s">
        <v>723</v>
      </c>
      <c r="BX1902" s="2" t="s">
        <v>216</v>
      </c>
      <c r="BY1902" s="2" t="s">
        <v>112</v>
      </c>
      <c r="BZ1902" s="2" t="s">
        <v>100</v>
      </c>
    </row>
    <row r="1903">
      <c r="A1903" s="2" t="s">
        <v>5502</v>
      </c>
      <c r="B1903" s="2" t="s">
        <v>87</v>
      </c>
      <c r="C1903" s="2" t="s">
        <v>5420</v>
      </c>
      <c r="D1903" s="2" t="s">
        <v>2230</v>
      </c>
      <c r="E1903" s="2" t="s">
        <v>5421</v>
      </c>
      <c r="F1903" s="2" t="s">
        <v>5499</v>
      </c>
      <c r="G1903" s="2" t="s">
        <v>5499</v>
      </c>
      <c r="H1903" s="2" t="s">
        <v>5499</v>
      </c>
      <c r="I1903" s="2" t="s">
        <v>5423</v>
      </c>
      <c r="J1903" s="2" t="s">
        <v>795</v>
      </c>
      <c r="K1903" s="2" t="s">
        <v>771</v>
      </c>
      <c r="L1903" s="3">
        <v>54.99</v>
      </c>
      <c r="M1903" s="3">
        <v>57.74</v>
      </c>
      <c r="N1903" s="3">
        <v>129.99</v>
      </c>
      <c r="O1903" s="2" t="s">
        <v>97</v>
      </c>
      <c r="P1903" s="2" t="s">
        <v>281</v>
      </c>
      <c r="Q1903" s="2" t="s">
        <v>99</v>
      </c>
      <c r="R1903" s="2" t="s">
        <v>100</v>
      </c>
      <c r="S1903" s="2" t="s">
        <v>5483</v>
      </c>
      <c r="T1903" s="2" t="s">
        <v>359</v>
      </c>
      <c r="U1903" s="2" t="s">
        <v>1508</v>
      </c>
      <c r="V1903" s="2" t="s">
        <v>2876</v>
      </c>
      <c r="W1903" s="2" t="s">
        <v>756</v>
      </c>
      <c r="X1903" s="2" t="s">
        <v>244</v>
      </c>
      <c r="Y1903" s="2" t="s">
        <v>131</v>
      </c>
      <c r="Z1903" s="4">
        <v>993</v>
      </c>
      <c r="AA1903" s="4">
        <f>=ROUNDDOWN(39.72,0)</f>
      </c>
      <c r="AB1903" s="5">
        <v>25</v>
      </c>
      <c r="AC1903" s="2" t="s">
        <v>790</v>
      </c>
      <c r="AD1903" s="4">
        <v>250</v>
      </c>
      <c r="AE1903" s="4">
        <v>1050</v>
      </c>
      <c r="AF1903" s="6">
        <v>69</v>
      </c>
      <c r="AG1903" s="6"/>
      <c r="AH1903" s="7">
        <v>1</v>
      </c>
      <c r="AI1903" s="4"/>
      <c r="AJ1903" s="4">
        <f>=ROUNDDOWN({0},0)</f>
      </c>
      <c r="AK1903" s="5"/>
      <c r="AL1903" s="2" t="s">
        <v>100</v>
      </c>
      <c r="AM1903" s="4"/>
      <c r="AN1903" s="4"/>
      <c r="AO1903" s="7">
        <v>0</v>
      </c>
      <c r="AP1903" s="4"/>
      <c r="AQ1903" s="8"/>
      <c r="AR1903" s="4"/>
      <c r="AS1903" s="8"/>
      <c r="AT1903" s="7"/>
      <c r="AU1903" s="7"/>
      <c r="AV1903" s="4" t="s">
        <v>100</v>
      </c>
      <c r="AW1903" s="8" t="s">
        <v>100</v>
      </c>
      <c r="AX1903" s="4" t="s">
        <v>100</v>
      </c>
      <c r="AY1903" s="8" t="s">
        <v>100</v>
      </c>
      <c r="AZ1903" s="7" t="s">
        <v>100</v>
      </c>
      <c r="BA1903" s="7" t="s">
        <v>100</v>
      </c>
      <c r="BB1903" s="7"/>
      <c r="BC1903" s="4" t="s">
        <v>100</v>
      </c>
      <c r="BD1903" s="8" t="s">
        <v>100</v>
      </c>
      <c r="BE1903" s="4" t="s">
        <v>100</v>
      </c>
      <c r="BF1903" s="8" t="s">
        <v>100</v>
      </c>
      <c r="BG1903" s="7" t="s">
        <v>100</v>
      </c>
      <c r="BH1903" s="7" t="s">
        <v>100</v>
      </c>
      <c r="BI1903" s="7"/>
      <c r="BJ1903" s="4">
        <v>45</v>
      </c>
      <c r="BK1903" s="8">
        <v>2506.4</v>
      </c>
      <c r="BL1903" s="2" t="s">
        <v>5503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109</v>
      </c>
      <c r="BV1903" s="2" t="s">
        <v>97</v>
      </c>
      <c r="BW1903" s="2" t="s">
        <v>723</v>
      </c>
      <c r="BX1903" s="2" t="s">
        <v>1842</v>
      </c>
      <c r="BY1903" s="2" t="s">
        <v>112</v>
      </c>
      <c r="BZ1903" s="2" t="s">
        <v>100</v>
      </c>
    </row>
    <row r="1904">
      <c r="A1904" s="2" t="s">
        <v>5504</v>
      </c>
      <c r="B1904" s="2" t="s">
        <v>87</v>
      </c>
      <c r="C1904" s="2" t="s">
        <v>5420</v>
      </c>
      <c r="D1904" s="2" t="s">
        <v>2230</v>
      </c>
      <c r="E1904" s="2" t="s">
        <v>5421</v>
      </c>
      <c r="F1904" s="2" t="s">
        <v>5505</v>
      </c>
      <c r="G1904" s="2" t="s">
        <v>5505</v>
      </c>
      <c r="H1904" s="2" t="s">
        <v>5505</v>
      </c>
      <c r="I1904" s="2" t="s">
        <v>5453</v>
      </c>
      <c r="J1904" s="2" t="s">
        <v>785</v>
      </c>
      <c r="K1904" s="2" t="s">
        <v>175</v>
      </c>
      <c r="L1904" s="3">
        <v>49.99</v>
      </c>
      <c r="M1904" s="3">
        <v>52.49</v>
      </c>
      <c r="N1904" s="3">
        <v>109.99</v>
      </c>
      <c r="O1904" s="2" t="s">
        <v>97</v>
      </c>
      <c r="P1904" s="2" t="s">
        <v>242</v>
      </c>
      <c r="Q1904" s="2" t="s">
        <v>99</v>
      </c>
      <c r="R1904" s="2" t="s">
        <v>100</v>
      </c>
      <c r="S1904" s="2" t="s">
        <v>5454</v>
      </c>
      <c r="T1904" s="2" t="s">
        <v>100</v>
      </c>
      <c r="U1904" s="2" t="s">
        <v>100</v>
      </c>
      <c r="V1904" s="2" t="s">
        <v>1112</v>
      </c>
      <c r="W1904" s="2" t="s">
        <v>756</v>
      </c>
      <c r="X1904" s="2" t="s">
        <v>563</v>
      </c>
      <c r="Y1904" s="2" t="s">
        <v>131</v>
      </c>
      <c r="Z1904" s="4">
        <v>318</v>
      </c>
      <c r="AA1904" s="4">
        <f>=ROUNDDOWN(19.875,0)</f>
      </c>
      <c r="AB1904" s="5">
        <v>16</v>
      </c>
      <c r="AC1904" s="2" t="s">
        <v>1629</v>
      </c>
      <c r="AD1904" s="4">
        <v>70</v>
      </c>
      <c r="AE1904" s="4">
        <v>390</v>
      </c>
      <c r="AF1904" s="6">
        <v>69</v>
      </c>
      <c r="AG1904" s="6"/>
      <c r="AH1904" s="7">
        <v>1</v>
      </c>
      <c r="AI1904" s="4"/>
      <c r="AJ1904" s="4">
        <f>=ROUNDDOWN({0},0)</f>
      </c>
      <c r="AK1904" s="5"/>
      <c r="AL1904" s="2" t="s">
        <v>100</v>
      </c>
      <c r="AM1904" s="4"/>
      <c r="AN1904" s="4"/>
      <c r="AO1904" s="7">
        <v>0</v>
      </c>
      <c r="AP1904" s="4"/>
      <c r="AQ1904" s="8"/>
      <c r="AR1904" s="4"/>
      <c r="AS1904" s="8"/>
      <c r="AT1904" s="7"/>
      <c r="AU1904" s="7"/>
      <c r="AV1904" s="4" t="s">
        <v>100</v>
      </c>
      <c r="AW1904" s="8" t="s">
        <v>100</v>
      </c>
      <c r="AX1904" s="4" t="s">
        <v>100</v>
      </c>
      <c r="AY1904" s="8" t="s">
        <v>100</v>
      </c>
      <c r="AZ1904" s="7" t="s">
        <v>100</v>
      </c>
      <c r="BA1904" s="7" t="s">
        <v>100</v>
      </c>
      <c r="BB1904" s="7"/>
      <c r="BC1904" s="4" t="s">
        <v>100</v>
      </c>
      <c r="BD1904" s="8" t="s">
        <v>100</v>
      </c>
      <c r="BE1904" s="4" t="s">
        <v>100</v>
      </c>
      <c r="BF1904" s="8" t="s">
        <v>100</v>
      </c>
      <c r="BG1904" s="7" t="s">
        <v>100</v>
      </c>
      <c r="BH1904" s="7" t="s">
        <v>100</v>
      </c>
      <c r="BI1904" s="7"/>
      <c r="BJ1904" s="4">
        <v>16</v>
      </c>
      <c r="BK1904" s="8">
        <v>851.89</v>
      </c>
      <c r="BL1904" s="2" t="s">
        <v>5506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109</v>
      </c>
      <c r="BV1904" s="2" t="s">
        <v>97</v>
      </c>
      <c r="BW1904" s="2" t="s">
        <v>723</v>
      </c>
      <c r="BX1904" s="2" t="s">
        <v>1842</v>
      </c>
      <c r="BY1904" s="2" t="s">
        <v>112</v>
      </c>
      <c r="BZ1904" s="2" t="s">
        <v>100</v>
      </c>
    </row>
    <row r="1905">
      <c r="A1905" s="2" t="s">
        <v>5507</v>
      </c>
      <c r="B1905" s="2" t="s">
        <v>87</v>
      </c>
      <c r="C1905" s="2" t="s">
        <v>5420</v>
      </c>
      <c r="D1905" s="2" t="s">
        <v>2230</v>
      </c>
      <c r="E1905" s="2" t="s">
        <v>5421</v>
      </c>
      <c r="F1905" s="2" t="s">
        <v>5505</v>
      </c>
      <c r="G1905" s="2" t="s">
        <v>5505</v>
      </c>
      <c r="H1905" s="2" t="s">
        <v>5505</v>
      </c>
      <c r="I1905" s="2" t="s">
        <v>5453</v>
      </c>
      <c r="J1905" s="2" t="s">
        <v>795</v>
      </c>
      <c r="K1905" s="2" t="s">
        <v>175</v>
      </c>
      <c r="L1905" s="3">
        <v>54.99</v>
      </c>
      <c r="M1905" s="3">
        <v>57.74</v>
      </c>
      <c r="N1905" s="3">
        <v>119.99</v>
      </c>
      <c r="O1905" s="2" t="s">
        <v>97</v>
      </c>
      <c r="P1905" s="2" t="s">
        <v>242</v>
      </c>
      <c r="Q1905" s="2" t="s">
        <v>99</v>
      </c>
      <c r="R1905" s="2" t="s">
        <v>100</v>
      </c>
      <c r="S1905" s="2" t="s">
        <v>5454</v>
      </c>
      <c r="T1905" s="2" t="s">
        <v>100</v>
      </c>
      <c r="U1905" s="2" t="s">
        <v>100</v>
      </c>
      <c r="V1905" s="2" t="s">
        <v>1112</v>
      </c>
      <c r="W1905" s="2" t="s">
        <v>756</v>
      </c>
      <c r="X1905" s="2" t="s">
        <v>563</v>
      </c>
      <c r="Y1905" s="2" t="s">
        <v>131</v>
      </c>
      <c r="Z1905" s="4">
        <v>296</v>
      </c>
      <c r="AA1905" s="4">
        <f>=ROUNDDOWN(16.4444444444444,0)</f>
      </c>
      <c r="AB1905" s="5">
        <v>18</v>
      </c>
      <c r="AC1905" s="2" t="s">
        <v>1629</v>
      </c>
      <c r="AD1905" s="4">
        <v>190</v>
      </c>
      <c r="AE1905" s="4">
        <v>780</v>
      </c>
      <c r="AF1905" s="6">
        <v>69</v>
      </c>
      <c r="AG1905" s="6"/>
      <c r="AH1905" s="7">
        <v>1</v>
      </c>
      <c r="AI1905" s="4"/>
      <c r="AJ1905" s="4">
        <f>=ROUNDDOWN({0},0)</f>
      </c>
      <c r="AK1905" s="5"/>
      <c r="AL1905" s="2" t="s">
        <v>100</v>
      </c>
      <c r="AM1905" s="4"/>
      <c r="AN1905" s="4"/>
      <c r="AO1905" s="7">
        <v>0</v>
      </c>
      <c r="AP1905" s="4"/>
      <c r="AQ1905" s="8"/>
      <c r="AR1905" s="4"/>
      <c r="AS1905" s="8"/>
      <c r="AT1905" s="7"/>
      <c r="AU1905" s="7"/>
      <c r="AV1905" s="4" t="s">
        <v>100</v>
      </c>
      <c r="AW1905" s="8" t="s">
        <v>100</v>
      </c>
      <c r="AX1905" s="4" t="s">
        <v>100</v>
      </c>
      <c r="AY1905" s="8" t="s">
        <v>100</v>
      </c>
      <c r="AZ1905" s="7" t="s">
        <v>100</v>
      </c>
      <c r="BA1905" s="7" t="s">
        <v>100</v>
      </c>
      <c r="BB1905" s="7"/>
      <c r="BC1905" s="4" t="s">
        <v>100</v>
      </c>
      <c r="BD1905" s="8" t="s">
        <v>100</v>
      </c>
      <c r="BE1905" s="4" t="s">
        <v>100</v>
      </c>
      <c r="BF1905" s="8" t="s">
        <v>100</v>
      </c>
      <c r="BG1905" s="7" t="s">
        <v>100</v>
      </c>
      <c r="BH1905" s="7" t="s">
        <v>100</v>
      </c>
      <c r="BI1905" s="7"/>
      <c r="BJ1905" s="4">
        <v>7</v>
      </c>
      <c r="BK1905" s="8">
        <v>427.44</v>
      </c>
      <c r="BL1905" s="2" t="s">
        <v>2533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109</v>
      </c>
      <c r="BV1905" s="2" t="s">
        <v>97</v>
      </c>
      <c r="BW1905" s="2" t="s">
        <v>723</v>
      </c>
      <c r="BX1905" s="2" t="s">
        <v>457</v>
      </c>
      <c r="BY1905" s="2" t="s">
        <v>112</v>
      </c>
      <c r="BZ1905" s="2" t="s">
        <v>100</v>
      </c>
    </row>
    <row r="1906">
      <c r="A1906" s="2" t="s">
        <v>5508</v>
      </c>
      <c r="B1906" s="2" t="s">
        <v>87</v>
      </c>
      <c r="C1906" s="2" t="s">
        <v>5420</v>
      </c>
      <c r="D1906" s="2" t="s">
        <v>2230</v>
      </c>
      <c r="E1906" s="2" t="s">
        <v>5421</v>
      </c>
      <c r="F1906" s="2" t="s">
        <v>5509</v>
      </c>
      <c r="G1906" s="2" t="s">
        <v>5509</v>
      </c>
      <c r="H1906" s="2" t="s">
        <v>5509</v>
      </c>
      <c r="I1906" s="2" t="s">
        <v>5461</v>
      </c>
      <c r="J1906" s="2" t="s">
        <v>785</v>
      </c>
      <c r="K1906" s="2" t="s">
        <v>434</v>
      </c>
      <c r="L1906" s="3">
        <v>49.99</v>
      </c>
      <c r="M1906" s="3">
        <v>52.49</v>
      </c>
      <c r="N1906" s="3">
        <v>99.99</v>
      </c>
      <c r="O1906" s="2" t="s">
        <v>97</v>
      </c>
      <c r="P1906" s="2" t="s">
        <v>98</v>
      </c>
      <c r="Q1906" s="2" t="s">
        <v>99</v>
      </c>
      <c r="R1906" s="2" t="s">
        <v>100</v>
      </c>
      <c r="S1906" s="2" t="s">
        <v>5454</v>
      </c>
      <c r="T1906" s="2" t="s">
        <v>100</v>
      </c>
      <c r="U1906" s="2" t="s">
        <v>100</v>
      </c>
      <c r="V1906" s="2" t="s">
        <v>5510</v>
      </c>
      <c r="W1906" s="2" t="s">
        <v>756</v>
      </c>
      <c r="X1906" s="2" t="s">
        <v>563</v>
      </c>
      <c r="Y1906" s="2" t="s">
        <v>131</v>
      </c>
      <c r="Z1906" s="4">
        <v>540</v>
      </c>
      <c r="AA1906" s="4">
        <f>=ROUNDDOWN(108,0)</f>
      </c>
      <c r="AB1906" s="5">
        <v>5</v>
      </c>
      <c r="AC1906" s="2" t="s">
        <v>100</v>
      </c>
      <c r="AD1906" s="4"/>
      <c r="AE1906" s="4"/>
      <c r="AF1906" s="6">
        <v>65</v>
      </c>
      <c r="AG1906" s="6"/>
      <c r="AH1906" s="7">
        <v>1</v>
      </c>
      <c r="AI1906" s="4"/>
      <c r="AJ1906" s="4">
        <f>=ROUNDDOWN({0},0)</f>
      </c>
      <c r="AK1906" s="5"/>
      <c r="AL1906" s="2" t="s">
        <v>100</v>
      </c>
      <c r="AM1906" s="4"/>
      <c r="AN1906" s="4"/>
      <c r="AO1906" s="7">
        <v>0</v>
      </c>
      <c r="AP1906" s="4"/>
      <c r="AQ1906" s="8"/>
      <c r="AR1906" s="4"/>
      <c r="AS1906" s="8"/>
      <c r="AT1906" s="7"/>
      <c r="AU1906" s="7"/>
      <c r="AV1906" s="4" t="s">
        <v>100</v>
      </c>
      <c r="AW1906" s="8" t="s">
        <v>100</v>
      </c>
      <c r="AX1906" s="4" t="s">
        <v>100</v>
      </c>
      <c r="AY1906" s="8" t="s">
        <v>100</v>
      </c>
      <c r="AZ1906" s="7" t="s">
        <v>100</v>
      </c>
      <c r="BA1906" s="7" t="s">
        <v>100</v>
      </c>
      <c r="BB1906" s="7"/>
      <c r="BC1906" s="4" t="s">
        <v>100</v>
      </c>
      <c r="BD1906" s="8" t="s">
        <v>100</v>
      </c>
      <c r="BE1906" s="4" t="s">
        <v>100</v>
      </c>
      <c r="BF1906" s="8" t="s">
        <v>100</v>
      </c>
      <c r="BG1906" s="7" t="s">
        <v>100</v>
      </c>
      <c r="BH1906" s="7" t="s">
        <v>100</v>
      </c>
      <c r="BI1906" s="7"/>
      <c r="BJ1906" s="4">
        <v>1</v>
      </c>
      <c r="BK1906" s="8">
        <v>53.83</v>
      </c>
      <c r="BL1906" s="2" t="s">
        <v>3766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109</v>
      </c>
      <c r="BV1906" s="2" t="s">
        <v>97</v>
      </c>
      <c r="BW1906" s="2" t="s">
        <v>723</v>
      </c>
      <c r="BX1906" s="2" t="s">
        <v>134</v>
      </c>
      <c r="BY1906" s="2" t="s">
        <v>112</v>
      </c>
      <c r="BZ1906" s="2" t="s">
        <v>100</v>
      </c>
    </row>
    <row r="1907">
      <c r="A1907" s="2" t="s">
        <v>5511</v>
      </c>
      <c r="B1907" s="2" t="s">
        <v>87</v>
      </c>
      <c r="C1907" s="2" t="s">
        <v>5420</v>
      </c>
      <c r="D1907" s="2" t="s">
        <v>2230</v>
      </c>
      <c r="E1907" s="2" t="s">
        <v>5421</v>
      </c>
      <c r="F1907" s="2" t="s">
        <v>5509</v>
      </c>
      <c r="G1907" s="2" t="s">
        <v>5509</v>
      </c>
      <c r="H1907" s="2" t="s">
        <v>5509</v>
      </c>
      <c r="I1907" s="2" t="s">
        <v>5461</v>
      </c>
      <c r="J1907" s="2" t="s">
        <v>795</v>
      </c>
      <c r="K1907" s="2" t="s">
        <v>434</v>
      </c>
      <c r="L1907" s="3">
        <v>54.99</v>
      </c>
      <c r="M1907" s="3">
        <v>57.74</v>
      </c>
      <c r="N1907" s="3">
        <v>109.99</v>
      </c>
      <c r="O1907" s="2" t="s">
        <v>97</v>
      </c>
      <c r="P1907" s="2" t="s">
        <v>98</v>
      </c>
      <c r="Q1907" s="2" t="s">
        <v>99</v>
      </c>
      <c r="R1907" s="2" t="s">
        <v>100</v>
      </c>
      <c r="S1907" s="2" t="s">
        <v>5454</v>
      </c>
      <c r="T1907" s="2" t="s">
        <v>100</v>
      </c>
      <c r="U1907" s="2" t="s">
        <v>100</v>
      </c>
      <c r="V1907" s="2" t="s">
        <v>5510</v>
      </c>
      <c r="W1907" s="2" t="s">
        <v>756</v>
      </c>
      <c r="X1907" s="2" t="s">
        <v>563</v>
      </c>
      <c r="Y1907" s="2" t="s">
        <v>131</v>
      </c>
      <c r="Z1907" s="4">
        <v>312</v>
      </c>
      <c r="AA1907" s="4">
        <f>=ROUNDDOWN(62.4,0)</f>
      </c>
      <c r="AB1907" s="5">
        <v>5</v>
      </c>
      <c r="AC1907" s="2" t="s">
        <v>100</v>
      </c>
      <c r="AD1907" s="4"/>
      <c r="AE1907" s="4"/>
      <c r="AF1907" s="6">
        <v>65</v>
      </c>
      <c r="AG1907" s="6"/>
      <c r="AH1907" s="7">
        <v>1</v>
      </c>
      <c r="AI1907" s="4"/>
      <c r="AJ1907" s="4">
        <f>=ROUNDDOWN({0},0)</f>
      </c>
      <c r="AK1907" s="5"/>
      <c r="AL1907" s="2" t="s">
        <v>100</v>
      </c>
      <c r="AM1907" s="4"/>
      <c r="AN1907" s="4"/>
      <c r="AO1907" s="7">
        <v>0</v>
      </c>
      <c r="AP1907" s="4"/>
      <c r="AQ1907" s="8"/>
      <c r="AR1907" s="4"/>
      <c r="AS1907" s="8"/>
      <c r="AT1907" s="7"/>
      <c r="AU1907" s="7"/>
      <c r="AV1907" s="4" t="s">
        <v>100</v>
      </c>
      <c r="AW1907" s="8" t="s">
        <v>100</v>
      </c>
      <c r="AX1907" s="4" t="s">
        <v>100</v>
      </c>
      <c r="AY1907" s="8" t="s">
        <v>100</v>
      </c>
      <c r="AZ1907" s="7" t="s">
        <v>100</v>
      </c>
      <c r="BA1907" s="7" t="s">
        <v>100</v>
      </c>
      <c r="BB1907" s="7"/>
      <c r="BC1907" s="4" t="s">
        <v>100</v>
      </c>
      <c r="BD1907" s="8" t="s">
        <v>100</v>
      </c>
      <c r="BE1907" s="4" t="s">
        <v>100</v>
      </c>
      <c r="BF1907" s="8" t="s">
        <v>100</v>
      </c>
      <c r="BG1907" s="7" t="s">
        <v>100</v>
      </c>
      <c r="BH1907" s="7" t="s">
        <v>100</v>
      </c>
      <c r="BI1907" s="7"/>
      <c r="BJ1907" s="4">
        <v>2</v>
      </c>
      <c r="BK1907" s="8">
        <v>120.19</v>
      </c>
      <c r="BL1907" s="2" t="s">
        <v>5512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109</v>
      </c>
      <c r="BV1907" s="2" t="s">
        <v>97</v>
      </c>
      <c r="BW1907" s="2" t="s">
        <v>723</v>
      </c>
      <c r="BX1907" s="2" t="s">
        <v>1842</v>
      </c>
      <c r="BY1907" s="2" t="s">
        <v>112</v>
      </c>
      <c r="BZ1907" s="2" t="s">
        <v>100</v>
      </c>
    </row>
    <row r="1908">
      <c r="A1908" s="2" t="s">
        <v>5513</v>
      </c>
      <c r="B1908" s="2" t="s">
        <v>87</v>
      </c>
      <c r="C1908" s="2" t="s">
        <v>5420</v>
      </c>
      <c r="D1908" s="2" t="s">
        <v>2230</v>
      </c>
      <c r="E1908" s="2" t="s">
        <v>3064</v>
      </c>
      <c r="F1908" s="2" t="s">
        <v>5514</v>
      </c>
      <c r="G1908" s="2" t="s">
        <v>5514</v>
      </c>
      <c r="H1908" s="2" t="s">
        <v>5514</v>
      </c>
      <c r="I1908" s="2" t="s">
        <v>5515</v>
      </c>
      <c r="J1908" s="2" t="s">
        <v>785</v>
      </c>
      <c r="K1908" s="2" t="s">
        <v>434</v>
      </c>
      <c r="L1908" s="3">
        <v>58.97</v>
      </c>
      <c r="M1908" s="3">
        <v>61.92</v>
      </c>
      <c r="N1908" s="3">
        <v>129.99</v>
      </c>
      <c r="O1908" s="2" t="s">
        <v>473</v>
      </c>
      <c r="P1908" s="2" t="s">
        <v>447</v>
      </c>
      <c r="Q1908" s="2" t="s">
        <v>99</v>
      </c>
      <c r="R1908" s="2" t="s">
        <v>100</v>
      </c>
      <c r="S1908" s="2" t="s">
        <v>5516</v>
      </c>
      <c r="T1908" s="2" t="s">
        <v>359</v>
      </c>
      <c r="U1908" s="2" t="s">
        <v>1508</v>
      </c>
      <c r="V1908" s="2" t="s">
        <v>4142</v>
      </c>
      <c r="W1908" s="2" t="s">
        <v>756</v>
      </c>
      <c r="X1908" s="2" t="s">
        <v>345</v>
      </c>
      <c r="Y1908" s="2" t="s">
        <v>5517</v>
      </c>
      <c r="Z1908" s="4">
        <v>223</v>
      </c>
      <c r="AA1908" s="4">
        <f>=ROUNDDOWN(74.3333333333333,0)</f>
      </c>
      <c r="AB1908" s="5">
        <v>3</v>
      </c>
      <c r="AC1908" s="2" t="s">
        <v>100</v>
      </c>
      <c r="AD1908" s="4"/>
      <c r="AE1908" s="4"/>
      <c r="AF1908" s="6">
        <v>65</v>
      </c>
      <c r="AG1908" s="6"/>
      <c r="AH1908" s="7">
        <v>1</v>
      </c>
      <c r="AI1908" s="4"/>
      <c r="AJ1908" s="4">
        <f>=ROUNDDOWN({0},0)</f>
      </c>
      <c r="AK1908" s="5"/>
      <c r="AL1908" s="2" t="s">
        <v>100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100</v>
      </c>
      <c r="AW1908" s="8" t="s">
        <v>100</v>
      </c>
      <c r="AX1908" s="4" t="s">
        <v>100</v>
      </c>
      <c r="AY1908" s="8" t="s">
        <v>100</v>
      </c>
      <c r="AZ1908" s="7" t="s">
        <v>100</v>
      </c>
      <c r="BA1908" s="7" t="s">
        <v>100</v>
      </c>
      <c r="BB1908" s="7"/>
      <c r="BC1908" s="4" t="s">
        <v>100</v>
      </c>
      <c r="BD1908" s="8" t="s">
        <v>100</v>
      </c>
      <c r="BE1908" s="4" t="s">
        <v>100</v>
      </c>
      <c r="BF1908" s="8" t="s">
        <v>100</v>
      </c>
      <c r="BG1908" s="7" t="s">
        <v>100</v>
      </c>
      <c r="BH1908" s="7" t="s">
        <v>100</v>
      </c>
      <c r="BI1908" s="7"/>
      <c r="BJ1908" s="4">
        <v>2</v>
      </c>
      <c r="BK1908" s="8">
        <v>105.13</v>
      </c>
      <c r="BL1908" s="2" t="s">
        <v>1490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109</v>
      </c>
      <c r="BV1908" s="2" t="s">
        <v>97</v>
      </c>
      <c r="BW1908" s="2" t="s">
        <v>4345</v>
      </c>
      <c r="BX1908" s="2" t="s">
        <v>100</v>
      </c>
      <c r="BY1908" s="2" t="s">
        <v>112</v>
      </c>
      <c r="BZ1908" s="2" t="s">
        <v>100</v>
      </c>
    </row>
    <row r="1909">
      <c r="A1909" s="2" t="s">
        <v>5518</v>
      </c>
      <c r="B1909" s="2" t="s">
        <v>87</v>
      </c>
      <c r="C1909" s="2" t="s">
        <v>5420</v>
      </c>
      <c r="D1909" s="2" t="s">
        <v>2230</v>
      </c>
      <c r="E1909" s="2" t="s">
        <v>3064</v>
      </c>
      <c r="F1909" s="2" t="s">
        <v>5514</v>
      </c>
      <c r="G1909" s="2" t="s">
        <v>5514</v>
      </c>
      <c r="H1909" s="2" t="s">
        <v>5514</v>
      </c>
      <c r="I1909" s="2" t="s">
        <v>5515</v>
      </c>
      <c r="J1909" s="2" t="s">
        <v>795</v>
      </c>
      <c r="K1909" s="2" t="s">
        <v>434</v>
      </c>
      <c r="L1909" s="3">
        <v>68.11</v>
      </c>
      <c r="M1909" s="3">
        <v>71.52</v>
      </c>
      <c r="N1909" s="3">
        <v>149.99</v>
      </c>
      <c r="O1909" s="2" t="s">
        <v>473</v>
      </c>
      <c r="P1909" s="2" t="s">
        <v>447</v>
      </c>
      <c r="Q1909" s="2" t="s">
        <v>99</v>
      </c>
      <c r="R1909" s="2" t="s">
        <v>100</v>
      </c>
      <c r="S1909" s="2" t="s">
        <v>5516</v>
      </c>
      <c r="T1909" s="2" t="s">
        <v>359</v>
      </c>
      <c r="U1909" s="2" t="s">
        <v>1508</v>
      </c>
      <c r="V1909" s="2" t="s">
        <v>4142</v>
      </c>
      <c r="W1909" s="2" t="s">
        <v>756</v>
      </c>
      <c r="X1909" s="2" t="s">
        <v>345</v>
      </c>
      <c r="Y1909" s="2" t="s">
        <v>5517</v>
      </c>
      <c r="Z1909" s="4">
        <v>160</v>
      </c>
      <c r="AA1909" s="4">
        <f>=ROUNDDOWN(26.6666666666667,0)</f>
      </c>
      <c r="AB1909" s="5">
        <v>6</v>
      </c>
      <c r="AC1909" s="2" t="s">
        <v>100</v>
      </c>
      <c r="AD1909" s="4"/>
      <c r="AE1909" s="4"/>
      <c r="AF1909" s="6">
        <v>65</v>
      </c>
      <c r="AG1909" s="6"/>
      <c r="AH1909" s="7">
        <v>1</v>
      </c>
      <c r="AI1909" s="4"/>
      <c r="AJ1909" s="4">
        <f>=ROUNDDOWN({0},0)</f>
      </c>
      <c r="AK1909" s="5"/>
      <c r="AL1909" s="2" t="s">
        <v>100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 t="s">
        <v>100</v>
      </c>
      <c r="AW1909" s="8" t="s">
        <v>100</v>
      </c>
      <c r="AX1909" s="4" t="s">
        <v>100</v>
      </c>
      <c r="AY1909" s="8" t="s">
        <v>100</v>
      </c>
      <c r="AZ1909" s="7" t="s">
        <v>100</v>
      </c>
      <c r="BA1909" s="7" t="s">
        <v>100</v>
      </c>
      <c r="BB1909" s="7"/>
      <c r="BC1909" s="4" t="s">
        <v>100</v>
      </c>
      <c r="BD1909" s="8" t="s">
        <v>100</v>
      </c>
      <c r="BE1909" s="4" t="s">
        <v>100</v>
      </c>
      <c r="BF1909" s="8" t="s">
        <v>100</v>
      </c>
      <c r="BG1909" s="7" t="s">
        <v>100</v>
      </c>
      <c r="BH1909" s="7" t="s">
        <v>100</v>
      </c>
      <c r="BI1909" s="7"/>
      <c r="BJ1909" s="4"/>
      <c r="BK1909" s="8"/>
      <c r="BL1909" s="2" t="s">
        <v>100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109</v>
      </c>
      <c r="BV1909" s="2" t="s">
        <v>97</v>
      </c>
      <c r="BW1909" s="2" t="s">
        <v>4345</v>
      </c>
      <c r="BX1909" s="2" t="s">
        <v>5031</v>
      </c>
      <c r="BY1909" s="2" t="s">
        <v>112</v>
      </c>
      <c r="BZ1909" s="2" t="s">
        <v>100</v>
      </c>
    </row>
    <row r="1910">
      <c r="A1910" s="2" t="s">
        <v>5519</v>
      </c>
      <c r="B1910" s="2" t="s">
        <v>87</v>
      </c>
      <c r="C1910" s="2" t="s">
        <v>5420</v>
      </c>
      <c r="D1910" s="2" t="s">
        <v>2230</v>
      </c>
      <c r="E1910" s="2" t="s">
        <v>2656</v>
      </c>
      <c r="F1910" s="2" t="s">
        <v>5520</v>
      </c>
      <c r="G1910" s="2" t="s">
        <v>5520</v>
      </c>
      <c r="H1910" s="2" t="s">
        <v>5520</v>
      </c>
      <c r="I1910" s="2" t="s">
        <v>5521</v>
      </c>
      <c r="J1910" s="2" t="s">
        <v>785</v>
      </c>
      <c r="K1910" s="2" t="s">
        <v>5522</v>
      </c>
      <c r="L1910" s="3">
        <v>42</v>
      </c>
      <c r="M1910" s="3">
        <v>44.1</v>
      </c>
      <c r="N1910" s="3">
        <v>89.99</v>
      </c>
      <c r="O1910" s="2" t="s">
        <v>97</v>
      </c>
      <c r="P1910" s="2" t="s">
        <v>447</v>
      </c>
      <c r="Q1910" s="2" t="s">
        <v>99</v>
      </c>
      <c r="R1910" s="2" t="s">
        <v>100</v>
      </c>
      <c r="S1910" s="2" t="s">
        <v>5523</v>
      </c>
      <c r="T1910" s="2" t="s">
        <v>787</v>
      </c>
      <c r="U1910" s="2" t="s">
        <v>1508</v>
      </c>
      <c r="V1910" s="2" t="s">
        <v>1112</v>
      </c>
      <c r="W1910" s="2" t="s">
        <v>756</v>
      </c>
      <c r="X1910" s="2" t="s">
        <v>345</v>
      </c>
      <c r="Y1910" s="2" t="s">
        <v>5524</v>
      </c>
      <c r="Z1910" s="4">
        <v>66</v>
      </c>
      <c r="AA1910" s="4">
        <f>=ROUNDDOWN(22,0)</f>
      </c>
      <c r="AB1910" s="5">
        <v>3</v>
      </c>
      <c r="AC1910" s="2" t="s">
        <v>100</v>
      </c>
      <c r="AD1910" s="4"/>
      <c r="AE1910" s="4"/>
      <c r="AF1910" s="6">
        <v>65</v>
      </c>
      <c r="AG1910" s="6"/>
      <c r="AH1910" s="7">
        <v>1</v>
      </c>
      <c r="AI1910" s="4"/>
      <c r="AJ1910" s="4">
        <f>=ROUNDDOWN({0},0)</f>
      </c>
      <c r="AK1910" s="5"/>
      <c r="AL1910" s="2" t="s">
        <v>100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100</v>
      </c>
      <c r="AW1910" s="8" t="s">
        <v>100</v>
      </c>
      <c r="AX1910" s="4" t="s">
        <v>100</v>
      </c>
      <c r="AY1910" s="8" t="s">
        <v>100</v>
      </c>
      <c r="AZ1910" s="7" t="s">
        <v>100</v>
      </c>
      <c r="BA1910" s="7" t="s">
        <v>100</v>
      </c>
      <c r="BB1910" s="7"/>
      <c r="BC1910" s="4" t="s">
        <v>100</v>
      </c>
      <c r="BD1910" s="8" t="s">
        <v>100</v>
      </c>
      <c r="BE1910" s="4" t="s">
        <v>100</v>
      </c>
      <c r="BF1910" s="8" t="s">
        <v>100</v>
      </c>
      <c r="BG1910" s="7" t="s">
        <v>100</v>
      </c>
      <c r="BH1910" s="7" t="s">
        <v>100</v>
      </c>
      <c r="BI1910" s="7"/>
      <c r="BJ1910" s="4">
        <v>4</v>
      </c>
      <c r="BK1910" s="8">
        <v>122.41</v>
      </c>
      <c r="BL1910" s="2" t="s">
        <v>532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109</v>
      </c>
      <c r="BV1910" s="2" t="s">
        <v>97</v>
      </c>
      <c r="BW1910" s="2" t="s">
        <v>4345</v>
      </c>
      <c r="BX1910" s="2" t="s">
        <v>312</v>
      </c>
      <c r="BY1910" s="2" t="s">
        <v>112</v>
      </c>
      <c r="BZ1910" s="2" t="s">
        <v>100</v>
      </c>
    </row>
    <row r="1911">
      <c r="A1911" s="2" t="s">
        <v>5525</v>
      </c>
      <c r="B1911" s="2" t="s">
        <v>87</v>
      </c>
      <c r="C1911" s="2" t="s">
        <v>5420</v>
      </c>
      <c r="D1911" s="2" t="s">
        <v>2230</v>
      </c>
      <c r="E1911" s="2" t="s">
        <v>2656</v>
      </c>
      <c r="F1911" s="2" t="s">
        <v>5520</v>
      </c>
      <c r="G1911" s="2" t="s">
        <v>5520</v>
      </c>
      <c r="H1911" s="2" t="s">
        <v>5520</v>
      </c>
      <c r="I1911" s="2" t="s">
        <v>5521</v>
      </c>
      <c r="J1911" s="2" t="s">
        <v>795</v>
      </c>
      <c r="K1911" s="2" t="s">
        <v>5522</v>
      </c>
      <c r="L1911" s="3">
        <v>48</v>
      </c>
      <c r="M1911" s="3">
        <v>50.4</v>
      </c>
      <c r="N1911" s="3">
        <v>99.99</v>
      </c>
      <c r="O1911" s="2" t="s">
        <v>97</v>
      </c>
      <c r="P1911" s="2" t="s">
        <v>447</v>
      </c>
      <c r="Q1911" s="2" t="s">
        <v>99</v>
      </c>
      <c r="R1911" s="2" t="s">
        <v>100</v>
      </c>
      <c r="S1911" s="2" t="s">
        <v>5523</v>
      </c>
      <c r="T1911" s="2" t="s">
        <v>787</v>
      </c>
      <c r="U1911" s="2" t="s">
        <v>1508</v>
      </c>
      <c r="V1911" s="2" t="s">
        <v>1112</v>
      </c>
      <c r="W1911" s="2" t="s">
        <v>756</v>
      </c>
      <c r="X1911" s="2" t="s">
        <v>345</v>
      </c>
      <c r="Y1911" s="2" t="s">
        <v>5524</v>
      </c>
      <c r="Z1911" s="4">
        <v>50</v>
      </c>
      <c r="AA1911" s="4">
        <f>=ROUNDDOWN(16.6666666666667,0)</f>
      </c>
      <c r="AB1911" s="5">
        <v>3</v>
      </c>
      <c r="AC1911" s="2" t="s">
        <v>100</v>
      </c>
      <c r="AD1911" s="4"/>
      <c r="AE1911" s="4"/>
      <c r="AF1911" s="6">
        <v>65</v>
      </c>
      <c r="AG1911" s="6"/>
      <c r="AH1911" s="7">
        <v>1</v>
      </c>
      <c r="AI1911" s="4"/>
      <c r="AJ1911" s="4">
        <f>=ROUNDDOWN({0},0)</f>
      </c>
      <c r="AK1911" s="5"/>
      <c r="AL1911" s="2" t="s">
        <v>100</v>
      </c>
      <c r="AM1911" s="4"/>
      <c r="AN1911" s="4"/>
      <c r="AO1911" s="7">
        <v>0</v>
      </c>
      <c r="AP1911" s="4"/>
      <c r="AQ1911" s="8"/>
      <c r="AR1911" s="4"/>
      <c r="AS1911" s="8"/>
      <c r="AT1911" s="7"/>
      <c r="AU1911" s="7"/>
      <c r="AV1911" s="4" t="s">
        <v>100</v>
      </c>
      <c r="AW1911" s="8" t="s">
        <v>100</v>
      </c>
      <c r="AX1911" s="4" t="s">
        <v>100</v>
      </c>
      <c r="AY1911" s="8" t="s">
        <v>100</v>
      </c>
      <c r="AZ1911" s="7" t="s">
        <v>100</v>
      </c>
      <c r="BA1911" s="7" t="s">
        <v>100</v>
      </c>
      <c r="BB1911" s="7"/>
      <c r="BC1911" s="4" t="s">
        <v>100</v>
      </c>
      <c r="BD1911" s="8" t="s">
        <v>100</v>
      </c>
      <c r="BE1911" s="4" t="s">
        <v>100</v>
      </c>
      <c r="BF1911" s="8" t="s">
        <v>100</v>
      </c>
      <c r="BG1911" s="7" t="s">
        <v>100</v>
      </c>
      <c r="BH1911" s="7" t="s">
        <v>100</v>
      </c>
      <c r="BI1911" s="7"/>
      <c r="BJ1911" s="4"/>
      <c r="BK1911" s="8"/>
      <c r="BL1911" s="2" t="s">
        <v>100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109</v>
      </c>
      <c r="BV1911" s="2" t="s">
        <v>97</v>
      </c>
      <c r="BW1911" s="2" t="s">
        <v>4345</v>
      </c>
      <c r="BX1911" s="2" t="s">
        <v>5526</v>
      </c>
      <c r="BY1911" s="2" t="s">
        <v>112</v>
      </c>
      <c r="BZ1911" s="2" t="s">
        <v>100</v>
      </c>
    </row>
    <row r="1912">
      <c r="A1912" s="2" t="s">
        <v>5527</v>
      </c>
      <c r="B1912" s="2" t="s">
        <v>87</v>
      </c>
      <c r="C1912" s="2" t="s">
        <v>5420</v>
      </c>
      <c r="D1912" s="2" t="s">
        <v>2230</v>
      </c>
      <c r="E1912" s="2" t="s">
        <v>2970</v>
      </c>
      <c r="F1912" s="2" t="s">
        <v>5482</v>
      </c>
      <c r="G1912" s="2" t="s">
        <v>5482</v>
      </c>
      <c r="H1912" s="2" t="s">
        <v>100</v>
      </c>
      <c r="I1912" s="2" t="s">
        <v>5528</v>
      </c>
      <c r="J1912" s="2" t="s">
        <v>2972</v>
      </c>
      <c r="K1912" s="2" t="s">
        <v>434</v>
      </c>
      <c r="L1912" s="3">
        <v>59.99</v>
      </c>
      <c r="M1912" s="3">
        <v>62.99</v>
      </c>
      <c r="N1912" s="3">
        <v>129.99</v>
      </c>
      <c r="O1912" s="2" t="s">
        <v>97</v>
      </c>
      <c r="P1912" s="2" t="s">
        <v>98</v>
      </c>
      <c r="Q1912" s="2" t="s">
        <v>99</v>
      </c>
      <c r="R1912" s="2" t="s">
        <v>100</v>
      </c>
      <c r="S1912" s="2" t="s">
        <v>5454</v>
      </c>
      <c r="T1912" s="2" t="s">
        <v>100</v>
      </c>
      <c r="U1912" s="2" t="s">
        <v>100</v>
      </c>
      <c r="V1912" s="2" t="s">
        <v>1112</v>
      </c>
      <c r="W1912" s="2" t="s">
        <v>756</v>
      </c>
      <c r="X1912" s="2" t="s">
        <v>563</v>
      </c>
      <c r="Y1912" s="2" t="s">
        <v>5529</v>
      </c>
      <c r="Z1912" s="4">
        <v>125</v>
      </c>
      <c r="AA1912" s="4">
        <f>=ROUNDDOWN(17.8571428571429,0)</f>
      </c>
      <c r="AB1912" s="5">
        <v>7</v>
      </c>
      <c r="AC1912" s="2" t="s">
        <v>1372</v>
      </c>
      <c r="AD1912" s="4">
        <v>80</v>
      </c>
      <c r="AE1912" s="4">
        <v>200</v>
      </c>
      <c r="AF1912" s="6">
        <v>69</v>
      </c>
      <c r="AG1912" s="6"/>
      <c r="AH1912" s="7">
        <v>0.8571</v>
      </c>
      <c r="AI1912" s="4"/>
      <c r="AJ1912" s="4">
        <f>=ROUNDDOWN({0},0)</f>
      </c>
      <c r="AK1912" s="5"/>
      <c r="AL1912" s="2" t="s">
        <v>100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/>
      <c r="AW1912" s="8"/>
      <c r="AX1912" s="4"/>
      <c r="AY1912" s="8"/>
      <c r="AZ1912" s="7"/>
      <c r="BA1912" s="7"/>
      <c r="BB1912" s="7"/>
      <c r="BC1912" s="4"/>
      <c r="BD1912" s="8"/>
      <c r="BE1912" s="4"/>
      <c r="BF1912" s="8"/>
      <c r="BG1912" s="7"/>
      <c r="BH1912" s="7"/>
      <c r="BI1912" s="7"/>
      <c r="BJ1912" s="4">
        <v>2</v>
      </c>
      <c r="BK1912" s="8">
        <v>131.93</v>
      </c>
      <c r="BL1912" s="2" t="s">
        <v>4602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109</v>
      </c>
      <c r="BV1912" s="2" t="s">
        <v>97</v>
      </c>
      <c r="BW1912" s="2" t="s">
        <v>723</v>
      </c>
      <c r="BX1912" s="2" t="s">
        <v>222</v>
      </c>
      <c r="BY1912" s="2" t="s">
        <v>112</v>
      </c>
      <c r="BZ1912" s="2" t="s">
        <v>100</v>
      </c>
    </row>
    <row r="1913">
      <c r="A1913" s="2" t="s">
        <v>5530</v>
      </c>
      <c r="B1913" s="2" t="s">
        <v>87</v>
      </c>
      <c r="C1913" s="2" t="s">
        <v>5420</v>
      </c>
      <c r="D1913" s="2" t="s">
        <v>2230</v>
      </c>
      <c r="E1913" s="2" t="s">
        <v>2970</v>
      </c>
      <c r="F1913" s="2" t="s">
        <v>5505</v>
      </c>
      <c r="G1913" s="2" t="s">
        <v>5505</v>
      </c>
      <c r="H1913" s="2" t="s">
        <v>100</v>
      </c>
      <c r="I1913" s="2" t="s">
        <v>5528</v>
      </c>
      <c r="J1913" s="2" t="s">
        <v>2972</v>
      </c>
      <c r="K1913" s="2" t="s">
        <v>771</v>
      </c>
      <c r="L1913" s="3">
        <v>59.99</v>
      </c>
      <c r="M1913" s="3">
        <v>62.99</v>
      </c>
      <c r="N1913" s="3">
        <v>119.99</v>
      </c>
      <c r="O1913" s="2" t="s">
        <v>97</v>
      </c>
      <c r="P1913" s="2" t="s">
        <v>98</v>
      </c>
      <c r="Q1913" s="2" t="s">
        <v>99</v>
      </c>
      <c r="R1913" s="2" t="s">
        <v>100</v>
      </c>
      <c r="S1913" s="2" t="s">
        <v>5454</v>
      </c>
      <c r="T1913" s="2" t="s">
        <v>100</v>
      </c>
      <c r="U1913" s="2" t="s">
        <v>100</v>
      </c>
      <c r="V1913" s="2" t="s">
        <v>1112</v>
      </c>
      <c r="W1913" s="2" t="s">
        <v>756</v>
      </c>
      <c r="X1913" s="2" t="s">
        <v>563</v>
      </c>
      <c r="Y1913" s="2" t="s">
        <v>5529</v>
      </c>
      <c r="Z1913" s="4">
        <v>98</v>
      </c>
      <c r="AA1913" s="4">
        <f>=ROUNDDOWN(14,0)</f>
      </c>
      <c r="AB1913" s="5">
        <v>7</v>
      </c>
      <c r="AC1913" s="2" t="s">
        <v>1629</v>
      </c>
      <c r="AD1913" s="4">
        <v>50</v>
      </c>
      <c r="AE1913" s="4">
        <v>170</v>
      </c>
      <c r="AF1913" s="6">
        <v>69</v>
      </c>
      <c r="AG1913" s="6"/>
      <c r="AH1913" s="7">
        <v>1</v>
      </c>
      <c r="AI1913" s="4"/>
      <c r="AJ1913" s="4">
        <f>=ROUNDDOWN({0},0)</f>
      </c>
      <c r="AK1913" s="5"/>
      <c r="AL1913" s="2" t="s">
        <v>100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/>
      <c r="AW1913" s="8"/>
      <c r="AX1913" s="4"/>
      <c r="AY1913" s="8"/>
      <c r="AZ1913" s="7"/>
      <c r="BA1913" s="7"/>
      <c r="BB1913" s="7"/>
      <c r="BC1913" s="4"/>
      <c r="BD1913" s="8"/>
      <c r="BE1913" s="4"/>
      <c r="BF1913" s="8"/>
      <c r="BG1913" s="7"/>
      <c r="BH1913" s="7"/>
      <c r="BI1913" s="7"/>
      <c r="BJ1913" s="4">
        <v>9</v>
      </c>
      <c r="BK1913" s="8">
        <v>559.88</v>
      </c>
      <c r="BL1913" s="2" t="s">
        <v>330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109</v>
      </c>
      <c r="BV1913" s="2" t="s">
        <v>97</v>
      </c>
      <c r="BW1913" s="2" t="s">
        <v>723</v>
      </c>
      <c r="BX1913" s="2" t="s">
        <v>427</v>
      </c>
      <c r="BY1913" s="2" t="s">
        <v>112</v>
      </c>
      <c r="BZ1913" s="2" t="s">
        <v>100</v>
      </c>
    </row>
    <row r="1914">
      <c r="A1914" s="2" t="s">
        <v>5531</v>
      </c>
      <c r="B1914" s="2" t="s">
        <v>87</v>
      </c>
      <c r="C1914" s="2" t="s">
        <v>5420</v>
      </c>
      <c r="D1914" s="2" t="s">
        <v>89</v>
      </c>
      <c r="E1914" s="2" t="s">
        <v>90</v>
      </c>
      <c r="F1914" s="2" t="s">
        <v>1121</v>
      </c>
      <c r="G1914" s="2" t="s">
        <v>1121</v>
      </c>
      <c r="H1914" s="2" t="s">
        <v>1121</v>
      </c>
      <c r="I1914" s="2" t="s">
        <v>5532</v>
      </c>
      <c r="J1914" s="2" t="s">
        <v>673</v>
      </c>
      <c r="K1914" s="2" t="s">
        <v>253</v>
      </c>
      <c r="L1914" s="3">
        <v>72.79</v>
      </c>
      <c r="M1914" s="3">
        <v>76.43</v>
      </c>
      <c r="N1914" s="3">
        <v>154.99</v>
      </c>
      <c r="O1914" s="2" t="s">
        <v>97</v>
      </c>
      <c r="P1914" s="2" t="s">
        <v>281</v>
      </c>
      <c r="Q1914" s="2" t="s">
        <v>99</v>
      </c>
      <c r="R1914" s="2" t="s">
        <v>100</v>
      </c>
      <c r="S1914" s="2" t="s">
        <v>5533</v>
      </c>
      <c r="T1914" s="2" t="s">
        <v>100</v>
      </c>
      <c r="U1914" s="2" t="s">
        <v>100</v>
      </c>
      <c r="V1914" s="2" t="s">
        <v>645</v>
      </c>
      <c r="W1914" s="2" t="s">
        <v>976</v>
      </c>
      <c r="X1914" s="2" t="s">
        <v>5534</v>
      </c>
      <c r="Y1914" s="2" t="s">
        <v>5535</v>
      </c>
      <c r="Z1914" s="4">
        <v>213</v>
      </c>
      <c r="AA1914" s="4">
        <f>=ROUNDDOWN(14.2,0)</f>
      </c>
      <c r="AB1914" s="5">
        <v>15</v>
      </c>
      <c r="AC1914" s="2" t="s">
        <v>1962</v>
      </c>
      <c r="AD1914" s="4">
        <v>50</v>
      </c>
      <c r="AE1914" s="4">
        <v>840</v>
      </c>
      <c r="AF1914" s="6">
        <v>67</v>
      </c>
      <c r="AG1914" s="6">
        <v>75</v>
      </c>
      <c r="AH1914" s="7">
        <v>1</v>
      </c>
      <c r="AI1914" s="4"/>
      <c r="AJ1914" s="4">
        <f>=ROUNDDOWN({0},0)</f>
      </c>
      <c r="AK1914" s="5"/>
      <c r="AL1914" s="2" t="s">
        <v>100</v>
      </c>
      <c r="AM1914" s="4"/>
      <c r="AN1914" s="4"/>
      <c r="AO1914" s="7">
        <v>0</v>
      </c>
      <c r="AP1914" s="4"/>
      <c r="AQ1914" s="8"/>
      <c r="AR1914" s="4"/>
      <c r="AS1914" s="8"/>
      <c r="AT1914" s="7"/>
      <c r="AU1914" s="7"/>
      <c r="AV1914" s="4">
        <v>1</v>
      </c>
      <c r="AW1914" s="8">
        <v>97.45</v>
      </c>
      <c r="AX1914" s="4" t="s">
        <v>100</v>
      </c>
      <c r="AY1914" s="8" t="s">
        <v>100</v>
      </c>
      <c r="AZ1914" s="7" t="s">
        <v>100</v>
      </c>
      <c r="BA1914" s="7" t="s">
        <v>100</v>
      </c>
      <c r="BB1914" s="7"/>
      <c r="BC1914" s="4">
        <v>1</v>
      </c>
      <c r="BD1914" s="8">
        <v>97.45</v>
      </c>
      <c r="BE1914" s="4" t="s">
        <v>100</v>
      </c>
      <c r="BF1914" s="8" t="s">
        <v>100</v>
      </c>
      <c r="BG1914" s="7" t="s">
        <v>100</v>
      </c>
      <c r="BH1914" s="7" t="s">
        <v>100</v>
      </c>
      <c r="BI1914" s="7">
        <v>1</v>
      </c>
      <c r="BJ1914" s="4">
        <v>8</v>
      </c>
      <c r="BK1914" s="8">
        <v>608.06</v>
      </c>
      <c r="BL1914" s="2" t="s">
        <v>720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109</v>
      </c>
      <c r="BV1914" s="2" t="s">
        <v>97</v>
      </c>
      <c r="BW1914" s="2" t="s">
        <v>723</v>
      </c>
      <c r="BX1914" s="2" t="s">
        <v>691</v>
      </c>
      <c r="BY1914" s="2" t="s">
        <v>112</v>
      </c>
      <c r="BZ1914" s="2" t="s">
        <v>100</v>
      </c>
    </row>
    <row r="1915">
      <c r="A1915" s="2" t="s">
        <v>5536</v>
      </c>
      <c r="B1915" s="2" t="s">
        <v>87</v>
      </c>
      <c r="C1915" s="2" t="s">
        <v>5420</v>
      </c>
      <c r="D1915" s="2" t="s">
        <v>89</v>
      </c>
      <c r="E1915" s="2" t="s">
        <v>90</v>
      </c>
      <c r="F1915" s="2" t="s">
        <v>1121</v>
      </c>
      <c r="G1915" s="2" t="s">
        <v>1121</v>
      </c>
      <c r="H1915" s="2" t="s">
        <v>1121</v>
      </c>
      <c r="I1915" s="2" t="s">
        <v>5532</v>
      </c>
      <c r="J1915" s="2" t="s">
        <v>95</v>
      </c>
      <c r="K1915" s="2" t="s">
        <v>253</v>
      </c>
      <c r="L1915" s="3">
        <v>83.19</v>
      </c>
      <c r="M1915" s="3">
        <v>87.35</v>
      </c>
      <c r="N1915" s="3">
        <v>179.99</v>
      </c>
      <c r="O1915" s="2" t="s">
        <v>97</v>
      </c>
      <c r="P1915" s="2" t="s">
        <v>281</v>
      </c>
      <c r="Q1915" s="2" t="s">
        <v>99</v>
      </c>
      <c r="R1915" s="2" t="s">
        <v>100</v>
      </c>
      <c r="S1915" s="2" t="s">
        <v>5533</v>
      </c>
      <c r="T1915" s="2" t="s">
        <v>100</v>
      </c>
      <c r="U1915" s="2" t="s">
        <v>100</v>
      </c>
      <c r="V1915" s="2" t="s">
        <v>645</v>
      </c>
      <c r="W1915" s="2" t="s">
        <v>976</v>
      </c>
      <c r="X1915" s="2" t="s">
        <v>5534</v>
      </c>
      <c r="Y1915" s="2" t="s">
        <v>5535</v>
      </c>
      <c r="Z1915" s="4">
        <v>179</v>
      </c>
      <c r="AA1915" s="4">
        <f>=ROUNDDOWN(19.8888888888889,0)</f>
      </c>
      <c r="AB1915" s="5">
        <v>9</v>
      </c>
      <c r="AC1915" s="2" t="s">
        <v>287</v>
      </c>
      <c r="AD1915" s="4">
        <v>81</v>
      </c>
      <c r="AE1915" s="4">
        <v>641</v>
      </c>
      <c r="AF1915" s="6">
        <v>67</v>
      </c>
      <c r="AG1915" s="6">
        <v>75</v>
      </c>
      <c r="AH1915" s="7">
        <v>1</v>
      </c>
      <c r="AI1915" s="4"/>
      <c r="AJ1915" s="4">
        <f>=ROUNDDOWN({0},0)</f>
      </c>
      <c r="AK1915" s="5"/>
      <c r="AL1915" s="2" t="s">
        <v>100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 t="s">
        <v>100</v>
      </c>
      <c r="AW1915" s="8" t="s">
        <v>100</v>
      </c>
      <c r="AX1915" s="4" t="s">
        <v>100</v>
      </c>
      <c r="AY1915" s="8" t="s">
        <v>100</v>
      </c>
      <c r="AZ1915" s="7" t="s">
        <v>100</v>
      </c>
      <c r="BA1915" s="7" t="s">
        <v>100</v>
      </c>
      <c r="BB1915" s="7"/>
      <c r="BC1915" s="4" t="s">
        <v>100</v>
      </c>
      <c r="BD1915" s="8" t="s">
        <v>100</v>
      </c>
      <c r="BE1915" s="4" t="s">
        <v>100</v>
      </c>
      <c r="BF1915" s="8" t="s">
        <v>100</v>
      </c>
      <c r="BG1915" s="7" t="s">
        <v>100</v>
      </c>
      <c r="BH1915" s="7" t="s">
        <v>100</v>
      </c>
      <c r="BI1915" s="7" t="s">
        <v>100</v>
      </c>
      <c r="BJ1915" s="4">
        <v>6</v>
      </c>
      <c r="BK1915" s="8">
        <v>538.57</v>
      </c>
      <c r="BL1915" s="2" t="s">
        <v>5537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109</v>
      </c>
      <c r="BV1915" s="2" t="s">
        <v>97</v>
      </c>
      <c r="BW1915" s="2" t="s">
        <v>723</v>
      </c>
      <c r="BX1915" s="2" t="s">
        <v>151</v>
      </c>
      <c r="BY1915" s="2" t="s">
        <v>112</v>
      </c>
      <c r="BZ1915" s="2" t="s">
        <v>100</v>
      </c>
    </row>
    <row r="1916">
      <c r="A1916" s="2" t="s">
        <v>5538</v>
      </c>
      <c r="B1916" s="2" t="s">
        <v>87</v>
      </c>
      <c r="C1916" s="2" t="s">
        <v>5420</v>
      </c>
      <c r="D1916" s="2" t="s">
        <v>89</v>
      </c>
      <c r="E1916" s="2" t="s">
        <v>90</v>
      </c>
      <c r="F1916" s="2" t="s">
        <v>1121</v>
      </c>
      <c r="G1916" s="2" t="s">
        <v>1121</v>
      </c>
      <c r="H1916" s="2" t="s">
        <v>1121</v>
      </c>
      <c r="I1916" s="2" t="s">
        <v>5532</v>
      </c>
      <c r="J1916" s="2" t="s">
        <v>114</v>
      </c>
      <c r="K1916" s="2" t="s">
        <v>253</v>
      </c>
      <c r="L1916" s="3">
        <v>88.39</v>
      </c>
      <c r="M1916" s="3">
        <v>92.81</v>
      </c>
      <c r="N1916" s="3">
        <v>189.99</v>
      </c>
      <c r="O1916" s="2" t="s">
        <v>97</v>
      </c>
      <c r="P1916" s="2" t="s">
        <v>281</v>
      </c>
      <c r="Q1916" s="2" t="s">
        <v>99</v>
      </c>
      <c r="R1916" s="2" t="s">
        <v>100</v>
      </c>
      <c r="S1916" s="2" t="s">
        <v>5533</v>
      </c>
      <c r="T1916" s="2" t="s">
        <v>100</v>
      </c>
      <c r="U1916" s="2" t="s">
        <v>100</v>
      </c>
      <c r="V1916" s="2" t="s">
        <v>645</v>
      </c>
      <c r="W1916" s="2" t="s">
        <v>976</v>
      </c>
      <c r="X1916" s="2" t="s">
        <v>5534</v>
      </c>
      <c r="Y1916" s="2" t="s">
        <v>5535</v>
      </c>
      <c r="Z1916" s="4">
        <v>441</v>
      </c>
      <c r="AA1916" s="4">
        <f>=ROUNDDOWN(14.2258064516129,0)</f>
      </c>
      <c r="AB1916" s="5">
        <v>31</v>
      </c>
      <c r="AC1916" s="2" t="s">
        <v>287</v>
      </c>
      <c r="AD1916" s="4">
        <v>303</v>
      </c>
      <c r="AE1916" s="4">
        <v>1773</v>
      </c>
      <c r="AF1916" s="6">
        <v>67</v>
      </c>
      <c r="AG1916" s="6">
        <v>75</v>
      </c>
      <c r="AH1916" s="7">
        <v>1</v>
      </c>
      <c r="AI1916" s="4"/>
      <c r="AJ1916" s="4">
        <f>=ROUNDDOWN({0},0)</f>
      </c>
      <c r="AK1916" s="5"/>
      <c r="AL1916" s="2" t="s">
        <v>100</v>
      </c>
      <c r="AM1916" s="4"/>
      <c r="AN1916" s="4"/>
      <c r="AO1916" s="7">
        <v>0</v>
      </c>
      <c r="AP1916" s="4">
        <v>1</v>
      </c>
      <c r="AQ1916" s="8">
        <v>97.45</v>
      </c>
      <c r="AR1916" s="4"/>
      <c r="AS1916" s="8"/>
      <c r="AT1916" s="7"/>
      <c r="AU1916" s="7"/>
      <c r="AV1916" s="4" t="s">
        <v>100</v>
      </c>
      <c r="AW1916" s="8" t="s">
        <v>100</v>
      </c>
      <c r="AX1916" s="4" t="s">
        <v>100</v>
      </c>
      <c r="AY1916" s="8" t="s">
        <v>100</v>
      </c>
      <c r="AZ1916" s="7" t="s">
        <v>100</v>
      </c>
      <c r="BA1916" s="7" t="s">
        <v>100</v>
      </c>
      <c r="BB1916" s="7">
        <v>1</v>
      </c>
      <c r="BC1916" s="4" t="s">
        <v>100</v>
      </c>
      <c r="BD1916" s="8" t="s">
        <v>100</v>
      </c>
      <c r="BE1916" s="4" t="s">
        <v>100</v>
      </c>
      <c r="BF1916" s="8" t="s">
        <v>100</v>
      </c>
      <c r="BG1916" s="7" t="s">
        <v>100</v>
      </c>
      <c r="BH1916" s="7" t="s">
        <v>100</v>
      </c>
      <c r="BI1916" s="7" t="s">
        <v>100</v>
      </c>
      <c r="BJ1916" s="4">
        <v>27</v>
      </c>
      <c r="BK1916" s="8">
        <v>2592.69</v>
      </c>
      <c r="BL1916" s="2" t="s">
        <v>3450</v>
      </c>
      <c r="BM1916" s="7">
        <v>0.037</v>
      </c>
      <c r="BN1916" s="7">
        <v>0.0376</v>
      </c>
      <c r="BO1916" s="4">
        <v>1</v>
      </c>
      <c r="BP1916" s="8">
        <v>97.45</v>
      </c>
      <c r="BQ1916" s="4"/>
      <c r="BR1916" s="8"/>
      <c r="BS1916" s="7"/>
      <c r="BT1916" s="7"/>
      <c r="BU1916" s="2" t="s">
        <v>109</v>
      </c>
      <c r="BV1916" s="2" t="s">
        <v>97</v>
      </c>
      <c r="BW1916" s="2" t="s">
        <v>723</v>
      </c>
      <c r="BX1916" s="2" t="s">
        <v>216</v>
      </c>
      <c r="BY1916" s="2" t="s">
        <v>112</v>
      </c>
      <c r="BZ1916" s="2" t="s">
        <v>100</v>
      </c>
    </row>
    <row r="1917">
      <c r="A1917" s="2" t="s">
        <v>5539</v>
      </c>
      <c r="B1917" s="2" t="s">
        <v>87</v>
      </c>
      <c r="C1917" s="2" t="s">
        <v>5420</v>
      </c>
      <c r="D1917" s="2" t="s">
        <v>89</v>
      </c>
      <c r="E1917" s="2" t="s">
        <v>90</v>
      </c>
      <c r="F1917" s="2" t="s">
        <v>1121</v>
      </c>
      <c r="G1917" s="2" t="s">
        <v>1121</v>
      </c>
      <c r="H1917" s="2" t="s">
        <v>1121</v>
      </c>
      <c r="I1917" s="2" t="s">
        <v>5532</v>
      </c>
      <c r="J1917" s="2" t="s">
        <v>795</v>
      </c>
      <c r="K1917" s="2" t="s">
        <v>253</v>
      </c>
      <c r="L1917" s="3">
        <v>98.79</v>
      </c>
      <c r="M1917" s="3">
        <v>103.73</v>
      </c>
      <c r="N1917" s="3">
        <v>209.99</v>
      </c>
      <c r="O1917" s="2" t="s">
        <v>97</v>
      </c>
      <c r="P1917" s="2" t="s">
        <v>281</v>
      </c>
      <c r="Q1917" s="2" t="s">
        <v>99</v>
      </c>
      <c r="R1917" s="2" t="s">
        <v>100</v>
      </c>
      <c r="S1917" s="2" t="s">
        <v>5533</v>
      </c>
      <c r="T1917" s="2" t="s">
        <v>100</v>
      </c>
      <c r="U1917" s="2" t="s">
        <v>100</v>
      </c>
      <c r="V1917" s="2" t="s">
        <v>645</v>
      </c>
      <c r="W1917" s="2" t="s">
        <v>976</v>
      </c>
      <c r="X1917" s="2" t="s">
        <v>5534</v>
      </c>
      <c r="Y1917" s="2" t="s">
        <v>5535</v>
      </c>
      <c r="Z1917" s="4">
        <v>586</v>
      </c>
      <c r="AA1917" s="4">
        <f>=ROUNDDOWN(18.9032258064516,0)</f>
      </c>
      <c r="AB1917" s="5">
        <v>31</v>
      </c>
      <c r="AC1917" s="2" t="s">
        <v>287</v>
      </c>
      <c r="AD1917" s="4">
        <v>300</v>
      </c>
      <c r="AE1917" s="4">
        <v>1520</v>
      </c>
      <c r="AF1917" s="6">
        <v>67</v>
      </c>
      <c r="AG1917" s="6">
        <v>75</v>
      </c>
      <c r="AH1917" s="7">
        <v>1</v>
      </c>
      <c r="AI1917" s="4"/>
      <c r="AJ1917" s="4">
        <f>=ROUNDDOWN({0},0)</f>
      </c>
      <c r="AK1917" s="5"/>
      <c r="AL1917" s="2" t="s">
        <v>100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 t="s">
        <v>100</v>
      </c>
      <c r="AW1917" s="8" t="s">
        <v>100</v>
      </c>
      <c r="AX1917" s="4" t="s">
        <v>100</v>
      </c>
      <c r="AY1917" s="8" t="s">
        <v>100</v>
      </c>
      <c r="AZ1917" s="7" t="s">
        <v>100</v>
      </c>
      <c r="BA1917" s="7" t="s">
        <v>100</v>
      </c>
      <c r="BB1917" s="7"/>
      <c r="BC1917" s="4" t="s">
        <v>100</v>
      </c>
      <c r="BD1917" s="8" t="s">
        <v>100</v>
      </c>
      <c r="BE1917" s="4" t="s">
        <v>100</v>
      </c>
      <c r="BF1917" s="8" t="s">
        <v>100</v>
      </c>
      <c r="BG1917" s="7" t="s">
        <v>100</v>
      </c>
      <c r="BH1917" s="7" t="s">
        <v>100</v>
      </c>
      <c r="BI1917" s="7" t="s">
        <v>100</v>
      </c>
      <c r="BJ1917" s="4">
        <v>22</v>
      </c>
      <c r="BK1917" s="8">
        <v>2331.19</v>
      </c>
      <c r="BL1917" s="2" t="s">
        <v>5540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109</v>
      </c>
      <c r="BV1917" s="2" t="s">
        <v>97</v>
      </c>
      <c r="BW1917" s="2" t="s">
        <v>723</v>
      </c>
      <c r="BX1917" s="2" t="s">
        <v>621</v>
      </c>
      <c r="BY1917" s="2" t="s">
        <v>112</v>
      </c>
      <c r="BZ1917" s="2" t="s">
        <v>100</v>
      </c>
    </row>
    <row r="1918">
      <c r="A1918" s="2" t="s">
        <v>5541</v>
      </c>
      <c r="B1918" s="2" t="s">
        <v>87</v>
      </c>
      <c r="C1918" s="2" t="s">
        <v>5420</v>
      </c>
      <c r="D1918" s="2" t="s">
        <v>89</v>
      </c>
      <c r="E1918" s="2" t="s">
        <v>90</v>
      </c>
      <c r="F1918" s="2" t="s">
        <v>5542</v>
      </c>
      <c r="G1918" s="2" t="s">
        <v>5542</v>
      </c>
      <c r="H1918" s="2" t="s">
        <v>5542</v>
      </c>
      <c r="I1918" s="2" t="s">
        <v>5543</v>
      </c>
      <c r="J1918" s="2" t="s">
        <v>2236</v>
      </c>
      <c r="K1918" s="2" t="s">
        <v>5544</v>
      </c>
      <c r="L1918" s="3">
        <v>60</v>
      </c>
      <c r="M1918" s="3">
        <v>63</v>
      </c>
      <c r="N1918" s="3">
        <v>119.99</v>
      </c>
      <c r="O1918" s="2" t="s">
        <v>1715</v>
      </c>
      <c r="P1918" s="2" t="s">
        <v>4334</v>
      </c>
      <c r="Q1918" s="2" t="s">
        <v>99</v>
      </c>
      <c r="R1918" s="2" t="s">
        <v>100</v>
      </c>
      <c r="S1918" s="2" t="s">
        <v>5545</v>
      </c>
      <c r="T1918" s="2" t="s">
        <v>100</v>
      </c>
      <c r="U1918" s="2" t="s">
        <v>100</v>
      </c>
      <c r="V1918" s="2" t="s">
        <v>1265</v>
      </c>
      <c r="W1918" s="2" t="s">
        <v>756</v>
      </c>
      <c r="X1918" s="2" t="s">
        <v>2982</v>
      </c>
      <c r="Y1918" s="2" t="s">
        <v>5535</v>
      </c>
      <c r="Z1918" s="4"/>
      <c r="AA1918" s="4">
        <f>=ROUNDDOWN({0},0)</f>
      </c>
      <c r="AB1918" s="5"/>
      <c r="AC1918" s="2" t="s">
        <v>100</v>
      </c>
      <c r="AD1918" s="4"/>
      <c r="AE1918" s="4"/>
      <c r="AF1918" s="6"/>
      <c r="AG1918" s="6"/>
      <c r="AH1918" s="7">
        <v>0</v>
      </c>
      <c r="AI1918" s="4"/>
      <c r="AJ1918" s="4">
        <f>=ROUNDDOWN({0},0)</f>
      </c>
      <c r="AK1918" s="5"/>
      <c r="AL1918" s="2" t="s">
        <v>100</v>
      </c>
      <c r="AM1918" s="4"/>
      <c r="AN1918" s="4"/>
      <c r="AO1918" s="7">
        <v>0</v>
      </c>
      <c r="AP1918" s="4"/>
      <c r="AQ1918" s="8"/>
      <c r="AR1918" s="4"/>
      <c r="AS1918" s="8"/>
      <c r="AT1918" s="7"/>
      <c r="AU1918" s="7"/>
      <c r="AV1918" s="4" t="s">
        <v>100</v>
      </c>
      <c r="AW1918" s="8" t="s">
        <v>100</v>
      </c>
      <c r="AX1918" s="4" t="s">
        <v>100</v>
      </c>
      <c r="AY1918" s="8" t="s">
        <v>100</v>
      </c>
      <c r="AZ1918" s="7" t="s">
        <v>100</v>
      </c>
      <c r="BA1918" s="7" t="s">
        <v>100</v>
      </c>
      <c r="BB1918" s="7"/>
      <c r="BC1918" s="4" t="s">
        <v>100</v>
      </c>
      <c r="BD1918" s="8" t="s">
        <v>100</v>
      </c>
      <c r="BE1918" s="4" t="s">
        <v>100</v>
      </c>
      <c r="BF1918" s="8" t="s">
        <v>100</v>
      </c>
      <c r="BG1918" s="7" t="s">
        <v>100</v>
      </c>
      <c r="BH1918" s="7" t="s">
        <v>100</v>
      </c>
      <c r="BI1918" s="7"/>
      <c r="BJ1918" s="4"/>
      <c r="BK1918" s="8"/>
      <c r="BL1918" s="2" t="s">
        <v>100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109</v>
      </c>
      <c r="BV1918" s="2" t="s">
        <v>97</v>
      </c>
      <c r="BW1918" s="2" t="s">
        <v>723</v>
      </c>
      <c r="BX1918" s="2" t="s">
        <v>100</v>
      </c>
      <c r="BY1918" s="2" t="s">
        <v>112</v>
      </c>
      <c r="BZ1918" s="2" t="s">
        <v>100</v>
      </c>
    </row>
    <row r="1919">
      <c r="A1919" s="2" t="s">
        <v>5546</v>
      </c>
      <c r="B1919" s="2" t="s">
        <v>87</v>
      </c>
      <c r="C1919" s="2" t="s">
        <v>5420</v>
      </c>
      <c r="D1919" s="2" t="s">
        <v>89</v>
      </c>
      <c r="E1919" s="2" t="s">
        <v>90</v>
      </c>
      <c r="F1919" s="2" t="s">
        <v>5542</v>
      </c>
      <c r="G1919" s="2" t="s">
        <v>5542</v>
      </c>
      <c r="H1919" s="2" t="s">
        <v>5542</v>
      </c>
      <c r="I1919" s="2" t="s">
        <v>5543</v>
      </c>
      <c r="J1919" s="2" t="s">
        <v>95</v>
      </c>
      <c r="K1919" s="2" t="s">
        <v>5544</v>
      </c>
      <c r="L1919" s="3">
        <v>77.99</v>
      </c>
      <c r="M1919" s="3">
        <v>81.89</v>
      </c>
      <c r="N1919" s="3">
        <v>149.99</v>
      </c>
      <c r="O1919" s="2" t="s">
        <v>97</v>
      </c>
      <c r="P1919" s="2" t="s">
        <v>281</v>
      </c>
      <c r="Q1919" s="2" t="s">
        <v>99</v>
      </c>
      <c r="R1919" s="2" t="s">
        <v>100</v>
      </c>
      <c r="S1919" s="2" t="s">
        <v>5545</v>
      </c>
      <c r="T1919" s="2" t="s">
        <v>100</v>
      </c>
      <c r="U1919" s="2" t="s">
        <v>100</v>
      </c>
      <c r="V1919" s="2" t="s">
        <v>1641</v>
      </c>
      <c r="W1919" s="2" t="s">
        <v>756</v>
      </c>
      <c r="X1919" s="2" t="s">
        <v>2982</v>
      </c>
      <c r="Y1919" s="2" t="s">
        <v>5535</v>
      </c>
      <c r="Z1919" s="4">
        <v>211</v>
      </c>
      <c r="AA1919" s="4">
        <f>=ROUNDDOWN(26.375,0)</f>
      </c>
      <c r="AB1919" s="5">
        <v>8</v>
      </c>
      <c r="AC1919" s="2" t="s">
        <v>1678</v>
      </c>
      <c r="AD1919" s="4">
        <v>30</v>
      </c>
      <c r="AE1919" s="4">
        <v>310</v>
      </c>
      <c r="AF1919" s="6">
        <v>66</v>
      </c>
      <c r="AG1919" s="6">
        <v>49</v>
      </c>
      <c r="AH1919" s="7">
        <v>1</v>
      </c>
      <c r="AI1919" s="4"/>
      <c r="AJ1919" s="4">
        <f>=ROUNDDOWN({0},0)</f>
      </c>
      <c r="AK1919" s="5"/>
      <c r="AL1919" s="2" t="s">
        <v>100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100</v>
      </c>
      <c r="AW1919" s="8" t="s">
        <v>100</v>
      </c>
      <c r="AX1919" s="4" t="s">
        <v>100</v>
      </c>
      <c r="AY1919" s="8" t="s">
        <v>100</v>
      </c>
      <c r="AZ1919" s="7" t="s">
        <v>100</v>
      </c>
      <c r="BA1919" s="7" t="s">
        <v>100</v>
      </c>
      <c r="BB1919" s="7"/>
      <c r="BC1919" s="4" t="s">
        <v>100</v>
      </c>
      <c r="BD1919" s="8" t="s">
        <v>100</v>
      </c>
      <c r="BE1919" s="4" t="s">
        <v>100</v>
      </c>
      <c r="BF1919" s="8" t="s">
        <v>100</v>
      </c>
      <c r="BG1919" s="7" t="s">
        <v>100</v>
      </c>
      <c r="BH1919" s="7" t="s">
        <v>100</v>
      </c>
      <c r="BI1919" s="7"/>
      <c r="BJ1919" s="4">
        <v>4</v>
      </c>
      <c r="BK1919" s="8">
        <v>306.18</v>
      </c>
      <c r="BL1919" s="2" t="s">
        <v>1827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109</v>
      </c>
      <c r="BV1919" s="2" t="s">
        <v>97</v>
      </c>
      <c r="BW1919" s="2" t="s">
        <v>723</v>
      </c>
      <c r="BX1919" s="2" t="s">
        <v>378</v>
      </c>
      <c r="BY1919" s="2" t="s">
        <v>112</v>
      </c>
      <c r="BZ1919" s="2" t="s">
        <v>100</v>
      </c>
    </row>
    <row r="1920">
      <c r="A1920" s="2" t="s">
        <v>5547</v>
      </c>
      <c r="B1920" s="2" t="s">
        <v>87</v>
      </c>
      <c r="C1920" s="2" t="s">
        <v>5420</v>
      </c>
      <c r="D1920" s="2" t="s">
        <v>89</v>
      </c>
      <c r="E1920" s="2" t="s">
        <v>90</v>
      </c>
      <c r="F1920" s="2" t="s">
        <v>5542</v>
      </c>
      <c r="G1920" s="2" t="s">
        <v>5542</v>
      </c>
      <c r="H1920" s="2" t="s">
        <v>5542</v>
      </c>
      <c r="I1920" s="2" t="s">
        <v>5543</v>
      </c>
      <c r="J1920" s="2" t="s">
        <v>114</v>
      </c>
      <c r="K1920" s="2" t="s">
        <v>5544</v>
      </c>
      <c r="L1920" s="3">
        <v>83.19</v>
      </c>
      <c r="M1920" s="3">
        <v>87.35</v>
      </c>
      <c r="N1920" s="3">
        <v>159.99</v>
      </c>
      <c r="O1920" s="2" t="s">
        <v>97</v>
      </c>
      <c r="P1920" s="2" t="s">
        <v>281</v>
      </c>
      <c r="Q1920" s="2" t="s">
        <v>99</v>
      </c>
      <c r="R1920" s="2" t="s">
        <v>100</v>
      </c>
      <c r="S1920" s="2" t="s">
        <v>5545</v>
      </c>
      <c r="T1920" s="2" t="s">
        <v>100</v>
      </c>
      <c r="U1920" s="2" t="s">
        <v>100</v>
      </c>
      <c r="V1920" s="2" t="s">
        <v>1641</v>
      </c>
      <c r="W1920" s="2" t="s">
        <v>756</v>
      </c>
      <c r="X1920" s="2" t="s">
        <v>2982</v>
      </c>
      <c r="Y1920" s="2" t="s">
        <v>5548</v>
      </c>
      <c r="Z1920" s="4">
        <v>276</v>
      </c>
      <c r="AA1920" s="4">
        <f>=ROUNDDOWN(7.26315789473684,0)</f>
      </c>
      <c r="AB1920" s="5">
        <v>38</v>
      </c>
      <c r="AC1920" s="2" t="s">
        <v>900</v>
      </c>
      <c r="AD1920" s="4">
        <v>80</v>
      </c>
      <c r="AE1920" s="4">
        <v>2100</v>
      </c>
      <c r="AF1920" s="6">
        <v>66</v>
      </c>
      <c r="AG1920" s="6">
        <v>49</v>
      </c>
      <c r="AH1920" s="7">
        <v>1</v>
      </c>
      <c r="AI1920" s="4"/>
      <c r="AJ1920" s="4">
        <f>=ROUNDDOWN({0},0)</f>
      </c>
      <c r="AK1920" s="5"/>
      <c r="AL1920" s="2" t="s">
        <v>100</v>
      </c>
      <c r="AM1920" s="4"/>
      <c r="AN1920" s="4"/>
      <c r="AO1920" s="7">
        <v>0</v>
      </c>
      <c r="AP1920" s="4"/>
      <c r="AQ1920" s="8"/>
      <c r="AR1920" s="4"/>
      <c r="AS1920" s="8"/>
      <c r="AT1920" s="7"/>
      <c r="AU1920" s="7"/>
      <c r="AV1920" s="4" t="s">
        <v>100</v>
      </c>
      <c r="AW1920" s="8" t="s">
        <v>100</v>
      </c>
      <c r="AX1920" s="4" t="s">
        <v>100</v>
      </c>
      <c r="AY1920" s="8" t="s">
        <v>100</v>
      </c>
      <c r="AZ1920" s="7" t="s">
        <v>100</v>
      </c>
      <c r="BA1920" s="7" t="s">
        <v>100</v>
      </c>
      <c r="BB1920" s="7"/>
      <c r="BC1920" s="4" t="s">
        <v>100</v>
      </c>
      <c r="BD1920" s="8" t="s">
        <v>100</v>
      </c>
      <c r="BE1920" s="4" t="s">
        <v>100</v>
      </c>
      <c r="BF1920" s="8" t="s">
        <v>100</v>
      </c>
      <c r="BG1920" s="7" t="s">
        <v>100</v>
      </c>
      <c r="BH1920" s="7" t="s">
        <v>100</v>
      </c>
      <c r="BI1920" s="7"/>
      <c r="BJ1920" s="4">
        <v>26</v>
      </c>
      <c r="BK1920" s="8">
        <v>2110.88</v>
      </c>
      <c r="BL1920" s="2" t="s">
        <v>5549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109</v>
      </c>
      <c r="BV1920" s="2" t="s">
        <v>97</v>
      </c>
      <c r="BW1920" s="2" t="s">
        <v>723</v>
      </c>
      <c r="BX1920" s="2" t="s">
        <v>950</v>
      </c>
      <c r="BY1920" s="2" t="s">
        <v>112</v>
      </c>
      <c r="BZ1920" s="2" t="s">
        <v>100</v>
      </c>
    </row>
    <row r="1921">
      <c r="A1921" s="2" t="s">
        <v>5550</v>
      </c>
      <c r="B1921" s="2" t="s">
        <v>87</v>
      </c>
      <c r="C1921" s="2" t="s">
        <v>5420</v>
      </c>
      <c r="D1921" s="2" t="s">
        <v>89</v>
      </c>
      <c r="E1921" s="2" t="s">
        <v>90</v>
      </c>
      <c r="F1921" s="2" t="s">
        <v>5542</v>
      </c>
      <c r="G1921" s="2" t="s">
        <v>5542</v>
      </c>
      <c r="H1921" s="2" t="s">
        <v>5542</v>
      </c>
      <c r="I1921" s="2" t="s">
        <v>5543</v>
      </c>
      <c r="J1921" s="2" t="s">
        <v>120</v>
      </c>
      <c r="K1921" s="2" t="s">
        <v>5544</v>
      </c>
      <c r="L1921" s="3">
        <v>93.59</v>
      </c>
      <c r="M1921" s="3">
        <v>98.27</v>
      </c>
      <c r="N1921" s="3">
        <v>179.99</v>
      </c>
      <c r="O1921" s="2" t="s">
        <v>97</v>
      </c>
      <c r="P1921" s="2" t="s">
        <v>281</v>
      </c>
      <c r="Q1921" s="2" t="s">
        <v>99</v>
      </c>
      <c r="R1921" s="2" t="s">
        <v>100</v>
      </c>
      <c r="S1921" s="2" t="s">
        <v>5545</v>
      </c>
      <c r="T1921" s="2" t="s">
        <v>100</v>
      </c>
      <c r="U1921" s="2" t="s">
        <v>100</v>
      </c>
      <c r="V1921" s="2" t="s">
        <v>1641</v>
      </c>
      <c r="W1921" s="2" t="s">
        <v>756</v>
      </c>
      <c r="X1921" s="2" t="s">
        <v>2982</v>
      </c>
      <c r="Y1921" s="2" t="s">
        <v>5548</v>
      </c>
      <c r="Z1921" s="4">
        <v>284</v>
      </c>
      <c r="AA1921" s="4">
        <f>=ROUNDDOWN(10.9230769230769,0)</f>
      </c>
      <c r="AB1921" s="5">
        <v>26</v>
      </c>
      <c r="AC1921" s="2" t="s">
        <v>900</v>
      </c>
      <c r="AD1921" s="4">
        <v>60</v>
      </c>
      <c r="AE1921" s="4">
        <v>1200</v>
      </c>
      <c r="AF1921" s="6">
        <v>66</v>
      </c>
      <c r="AG1921" s="6">
        <v>49</v>
      </c>
      <c r="AH1921" s="7">
        <v>1</v>
      </c>
      <c r="AI1921" s="4"/>
      <c r="AJ1921" s="4">
        <f>=ROUNDDOWN({0},0)</f>
      </c>
      <c r="AK1921" s="5"/>
      <c r="AL1921" s="2" t="s">
        <v>100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 t="s">
        <v>100</v>
      </c>
      <c r="AW1921" s="8" t="s">
        <v>100</v>
      </c>
      <c r="AX1921" s="4" t="s">
        <v>100</v>
      </c>
      <c r="AY1921" s="8" t="s">
        <v>100</v>
      </c>
      <c r="AZ1921" s="7" t="s">
        <v>100</v>
      </c>
      <c r="BA1921" s="7" t="s">
        <v>100</v>
      </c>
      <c r="BB1921" s="7"/>
      <c r="BC1921" s="4" t="s">
        <v>100</v>
      </c>
      <c r="BD1921" s="8" t="s">
        <v>100</v>
      </c>
      <c r="BE1921" s="4" t="s">
        <v>100</v>
      </c>
      <c r="BF1921" s="8" t="s">
        <v>100</v>
      </c>
      <c r="BG1921" s="7" t="s">
        <v>100</v>
      </c>
      <c r="BH1921" s="7" t="s">
        <v>100</v>
      </c>
      <c r="BI1921" s="7"/>
      <c r="BJ1921" s="4">
        <v>6</v>
      </c>
      <c r="BK1921" s="8">
        <v>584.36</v>
      </c>
      <c r="BL1921" s="2" t="s">
        <v>1820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109</v>
      </c>
      <c r="BV1921" s="2" t="s">
        <v>97</v>
      </c>
      <c r="BW1921" s="2" t="s">
        <v>723</v>
      </c>
      <c r="BX1921" s="2" t="s">
        <v>127</v>
      </c>
      <c r="BY1921" s="2" t="s">
        <v>112</v>
      </c>
      <c r="BZ1921" s="2" t="s">
        <v>100</v>
      </c>
    </row>
    <row r="1922">
      <c r="A1922" s="2" t="s">
        <v>5551</v>
      </c>
      <c r="B1922" s="2" t="s">
        <v>87</v>
      </c>
      <c r="C1922" s="2" t="s">
        <v>5420</v>
      </c>
      <c r="D1922" s="2" t="s">
        <v>89</v>
      </c>
      <c r="E1922" s="2" t="s">
        <v>90</v>
      </c>
      <c r="F1922" s="2" t="s">
        <v>5542</v>
      </c>
      <c r="G1922" s="2" t="s">
        <v>5542</v>
      </c>
      <c r="H1922" s="2" t="s">
        <v>5542</v>
      </c>
      <c r="I1922" s="2" t="s">
        <v>5543</v>
      </c>
      <c r="J1922" s="2" t="s">
        <v>124</v>
      </c>
      <c r="K1922" s="2" t="s">
        <v>5544</v>
      </c>
      <c r="L1922" s="3">
        <v>93.59</v>
      </c>
      <c r="M1922" s="3">
        <v>98.27</v>
      </c>
      <c r="N1922" s="3">
        <v>179.99</v>
      </c>
      <c r="O1922" s="2" t="s">
        <v>97</v>
      </c>
      <c r="P1922" s="2" t="s">
        <v>281</v>
      </c>
      <c r="Q1922" s="2" t="s">
        <v>99</v>
      </c>
      <c r="R1922" s="2" t="s">
        <v>100</v>
      </c>
      <c r="S1922" s="2" t="s">
        <v>5545</v>
      </c>
      <c r="T1922" s="2" t="s">
        <v>100</v>
      </c>
      <c r="U1922" s="2" t="s">
        <v>100</v>
      </c>
      <c r="V1922" s="2" t="s">
        <v>1641</v>
      </c>
      <c r="W1922" s="2" t="s">
        <v>756</v>
      </c>
      <c r="X1922" s="2" t="s">
        <v>2982</v>
      </c>
      <c r="Y1922" s="2" t="s">
        <v>5548</v>
      </c>
      <c r="Z1922" s="4">
        <v>203</v>
      </c>
      <c r="AA1922" s="4">
        <f>=ROUNDDOWN(14.5,0)</f>
      </c>
      <c r="AB1922" s="5">
        <v>14</v>
      </c>
      <c r="AC1922" s="2" t="s">
        <v>1678</v>
      </c>
      <c r="AD1922" s="4">
        <v>30</v>
      </c>
      <c r="AE1922" s="4">
        <v>590</v>
      </c>
      <c r="AF1922" s="6">
        <v>66</v>
      </c>
      <c r="AG1922" s="6">
        <v>49</v>
      </c>
      <c r="AH1922" s="7">
        <v>1</v>
      </c>
      <c r="AI1922" s="4"/>
      <c r="AJ1922" s="4">
        <f>=ROUNDDOWN({0},0)</f>
      </c>
      <c r="AK1922" s="5"/>
      <c r="AL1922" s="2" t="s">
        <v>100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 t="s">
        <v>100</v>
      </c>
      <c r="AW1922" s="8" t="s">
        <v>100</v>
      </c>
      <c r="AX1922" s="4" t="s">
        <v>100</v>
      </c>
      <c r="AY1922" s="8" t="s">
        <v>100</v>
      </c>
      <c r="AZ1922" s="7" t="s">
        <v>100</v>
      </c>
      <c r="BA1922" s="7" t="s">
        <v>100</v>
      </c>
      <c r="BB1922" s="7"/>
      <c r="BC1922" s="4" t="s">
        <v>100</v>
      </c>
      <c r="BD1922" s="8" t="s">
        <v>100</v>
      </c>
      <c r="BE1922" s="4" t="s">
        <v>100</v>
      </c>
      <c r="BF1922" s="8" t="s">
        <v>100</v>
      </c>
      <c r="BG1922" s="7" t="s">
        <v>100</v>
      </c>
      <c r="BH1922" s="7" t="s">
        <v>100</v>
      </c>
      <c r="BI1922" s="7"/>
      <c r="BJ1922" s="4">
        <v>5</v>
      </c>
      <c r="BK1922" s="8">
        <v>485.09</v>
      </c>
      <c r="BL1922" s="2" t="s">
        <v>2142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109</v>
      </c>
      <c r="BV1922" s="2" t="s">
        <v>97</v>
      </c>
      <c r="BW1922" s="2" t="s">
        <v>723</v>
      </c>
      <c r="BX1922" s="2" t="s">
        <v>402</v>
      </c>
      <c r="BY1922" s="2" t="s">
        <v>112</v>
      </c>
      <c r="BZ1922" s="2" t="s">
        <v>100</v>
      </c>
    </row>
    <row r="1923">
      <c r="A1923" s="2" t="s">
        <v>5552</v>
      </c>
      <c r="B1923" s="2" t="s">
        <v>87</v>
      </c>
      <c r="C1923" s="2" t="s">
        <v>5420</v>
      </c>
      <c r="D1923" s="2" t="s">
        <v>89</v>
      </c>
      <c r="E1923" s="2" t="s">
        <v>90</v>
      </c>
      <c r="F1923" s="2" t="s">
        <v>5553</v>
      </c>
      <c r="G1923" s="2" t="s">
        <v>5553</v>
      </c>
      <c r="H1923" s="2" t="s">
        <v>5553</v>
      </c>
      <c r="I1923" s="2" t="s">
        <v>5554</v>
      </c>
      <c r="J1923" s="2" t="s">
        <v>2236</v>
      </c>
      <c r="K1923" s="2" t="s">
        <v>1659</v>
      </c>
      <c r="L1923" s="3">
        <v>56.09</v>
      </c>
      <c r="M1923" s="3">
        <v>58.9</v>
      </c>
      <c r="N1923" s="3">
        <v>109.99</v>
      </c>
      <c r="O1923" s="2" t="s">
        <v>97</v>
      </c>
      <c r="P1923" s="2" t="s">
        <v>242</v>
      </c>
      <c r="Q1923" s="2" t="s">
        <v>99</v>
      </c>
      <c r="R1923" s="2" t="s">
        <v>100</v>
      </c>
      <c r="S1923" s="2" t="s">
        <v>5555</v>
      </c>
      <c r="T1923" s="2" t="s">
        <v>100</v>
      </c>
      <c r="U1923" s="2" t="s">
        <v>100</v>
      </c>
      <c r="V1923" s="2" t="s">
        <v>1112</v>
      </c>
      <c r="W1923" s="2" t="s">
        <v>756</v>
      </c>
      <c r="X1923" s="2" t="s">
        <v>563</v>
      </c>
      <c r="Y1923" s="2" t="s">
        <v>131</v>
      </c>
      <c r="Z1923" s="4">
        <v>164</v>
      </c>
      <c r="AA1923" s="4">
        <f>=ROUNDDOWN(27.3333333333333,0)</f>
      </c>
      <c r="AB1923" s="5">
        <v>6</v>
      </c>
      <c r="AC1923" s="2" t="s">
        <v>3685</v>
      </c>
      <c r="AD1923" s="4">
        <v>50</v>
      </c>
      <c r="AE1923" s="4">
        <v>150</v>
      </c>
      <c r="AF1923" s="6">
        <v>66</v>
      </c>
      <c r="AG1923" s="6"/>
      <c r="AH1923" s="7">
        <v>1</v>
      </c>
      <c r="AI1923" s="4"/>
      <c r="AJ1923" s="4">
        <f>=ROUNDDOWN({0},0)</f>
      </c>
      <c r="AK1923" s="5"/>
      <c r="AL1923" s="2" t="s">
        <v>100</v>
      </c>
      <c r="AM1923" s="4"/>
      <c r="AN1923" s="4"/>
      <c r="AO1923" s="7">
        <v>0</v>
      </c>
      <c r="AP1923" s="4"/>
      <c r="AQ1923" s="8"/>
      <c r="AR1923" s="4"/>
      <c r="AS1923" s="8"/>
      <c r="AT1923" s="7"/>
      <c r="AU1923" s="7"/>
      <c r="AV1923" s="4" t="s">
        <v>100</v>
      </c>
      <c r="AW1923" s="8" t="s">
        <v>100</v>
      </c>
      <c r="AX1923" s="4" t="s">
        <v>100</v>
      </c>
      <c r="AY1923" s="8" t="s">
        <v>100</v>
      </c>
      <c r="AZ1923" s="7" t="s">
        <v>100</v>
      </c>
      <c r="BA1923" s="7" t="s">
        <v>100</v>
      </c>
      <c r="BB1923" s="7"/>
      <c r="BC1923" s="4" t="s">
        <v>100</v>
      </c>
      <c r="BD1923" s="8" t="s">
        <v>100</v>
      </c>
      <c r="BE1923" s="4" t="s">
        <v>100</v>
      </c>
      <c r="BF1923" s="8" t="s">
        <v>100</v>
      </c>
      <c r="BG1923" s="7" t="s">
        <v>100</v>
      </c>
      <c r="BH1923" s="7" t="s">
        <v>100</v>
      </c>
      <c r="BI1923" s="7"/>
      <c r="BJ1923" s="4">
        <v>4</v>
      </c>
      <c r="BK1923" s="8">
        <v>244.38</v>
      </c>
      <c r="BL1923" s="2" t="s">
        <v>741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109</v>
      </c>
      <c r="BV1923" s="2" t="s">
        <v>97</v>
      </c>
      <c r="BW1923" s="2" t="s">
        <v>723</v>
      </c>
      <c r="BX1923" s="2" t="s">
        <v>595</v>
      </c>
      <c r="BY1923" s="2" t="s">
        <v>112</v>
      </c>
      <c r="BZ1923" s="2" t="s">
        <v>100</v>
      </c>
    </row>
    <row r="1924">
      <c r="A1924" s="2" t="s">
        <v>5556</v>
      </c>
      <c r="B1924" s="2" t="s">
        <v>87</v>
      </c>
      <c r="C1924" s="2" t="s">
        <v>5420</v>
      </c>
      <c r="D1924" s="2" t="s">
        <v>89</v>
      </c>
      <c r="E1924" s="2" t="s">
        <v>90</v>
      </c>
      <c r="F1924" s="2" t="s">
        <v>5553</v>
      </c>
      <c r="G1924" s="2" t="s">
        <v>5553</v>
      </c>
      <c r="H1924" s="2" t="s">
        <v>5553</v>
      </c>
      <c r="I1924" s="2" t="s">
        <v>5554</v>
      </c>
      <c r="J1924" s="2" t="s">
        <v>114</v>
      </c>
      <c r="K1924" s="2" t="s">
        <v>1659</v>
      </c>
      <c r="L1924" s="3">
        <v>72.79</v>
      </c>
      <c r="M1924" s="3">
        <v>76.43</v>
      </c>
      <c r="N1924" s="3">
        <v>139.99</v>
      </c>
      <c r="O1924" s="2" t="s">
        <v>97</v>
      </c>
      <c r="P1924" s="2" t="s">
        <v>242</v>
      </c>
      <c r="Q1924" s="2" t="s">
        <v>99</v>
      </c>
      <c r="R1924" s="2" t="s">
        <v>100</v>
      </c>
      <c r="S1924" s="2" t="s">
        <v>5555</v>
      </c>
      <c r="T1924" s="2" t="s">
        <v>100</v>
      </c>
      <c r="U1924" s="2" t="s">
        <v>100</v>
      </c>
      <c r="V1924" s="2" t="s">
        <v>1112</v>
      </c>
      <c r="W1924" s="2" t="s">
        <v>756</v>
      </c>
      <c r="X1924" s="2" t="s">
        <v>563</v>
      </c>
      <c r="Y1924" s="2" t="s">
        <v>131</v>
      </c>
      <c r="Z1924" s="4">
        <v>320</v>
      </c>
      <c r="AA1924" s="4">
        <f>=ROUNDDOWN(20,0)</f>
      </c>
      <c r="AB1924" s="5">
        <v>16</v>
      </c>
      <c r="AC1924" s="2" t="s">
        <v>3685</v>
      </c>
      <c r="AD1924" s="4">
        <v>90</v>
      </c>
      <c r="AE1924" s="4">
        <v>510</v>
      </c>
      <c r="AF1924" s="6">
        <v>66</v>
      </c>
      <c r="AG1924" s="6"/>
      <c r="AH1924" s="7">
        <v>1</v>
      </c>
      <c r="AI1924" s="4"/>
      <c r="AJ1924" s="4">
        <f>=ROUNDDOWN({0},0)</f>
      </c>
      <c r="AK1924" s="5"/>
      <c r="AL1924" s="2" t="s">
        <v>100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100</v>
      </c>
      <c r="AW1924" s="8" t="s">
        <v>100</v>
      </c>
      <c r="AX1924" s="4" t="s">
        <v>100</v>
      </c>
      <c r="AY1924" s="8" t="s">
        <v>100</v>
      </c>
      <c r="AZ1924" s="7" t="s">
        <v>100</v>
      </c>
      <c r="BA1924" s="7" t="s">
        <v>100</v>
      </c>
      <c r="BB1924" s="7"/>
      <c r="BC1924" s="4" t="s">
        <v>100</v>
      </c>
      <c r="BD1924" s="8" t="s">
        <v>100</v>
      </c>
      <c r="BE1924" s="4" t="s">
        <v>100</v>
      </c>
      <c r="BF1924" s="8" t="s">
        <v>100</v>
      </c>
      <c r="BG1924" s="7" t="s">
        <v>100</v>
      </c>
      <c r="BH1924" s="7" t="s">
        <v>100</v>
      </c>
      <c r="BI1924" s="7"/>
      <c r="BJ1924" s="4">
        <v>20</v>
      </c>
      <c r="BK1924" s="8">
        <v>1585.82</v>
      </c>
      <c r="BL1924" s="2" t="s">
        <v>5557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109</v>
      </c>
      <c r="BV1924" s="2" t="s">
        <v>97</v>
      </c>
      <c r="BW1924" s="2" t="s">
        <v>723</v>
      </c>
      <c r="BX1924" s="2" t="s">
        <v>5558</v>
      </c>
      <c r="BY1924" s="2" t="s">
        <v>112</v>
      </c>
      <c r="BZ1924" s="2" t="s">
        <v>100</v>
      </c>
    </row>
    <row r="1925">
      <c r="A1925" s="2" t="s">
        <v>5559</v>
      </c>
      <c r="B1925" s="2" t="s">
        <v>87</v>
      </c>
      <c r="C1925" s="2" t="s">
        <v>5420</v>
      </c>
      <c r="D1925" s="2" t="s">
        <v>89</v>
      </c>
      <c r="E1925" s="2" t="s">
        <v>90</v>
      </c>
      <c r="F1925" s="2" t="s">
        <v>5553</v>
      </c>
      <c r="G1925" s="2" t="s">
        <v>5553</v>
      </c>
      <c r="H1925" s="2" t="s">
        <v>5553</v>
      </c>
      <c r="I1925" s="2" t="s">
        <v>5554</v>
      </c>
      <c r="J1925" s="2" t="s">
        <v>120</v>
      </c>
      <c r="K1925" s="2" t="s">
        <v>1659</v>
      </c>
      <c r="L1925" s="3">
        <v>83.19</v>
      </c>
      <c r="M1925" s="3">
        <v>87.35</v>
      </c>
      <c r="N1925" s="3">
        <v>159.99</v>
      </c>
      <c r="O1925" s="2" t="s">
        <v>97</v>
      </c>
      <c r="P1925" s="2" t="s">
        <v>242</v>
      </c>
      <c r="Q1925" s="2" t="s">
        <v>99</v>
      </c>
      <c r="R1925" s="2" t="s">
        <v>100</v>
      </c>
      <c r="S1925" s="2" t="s">
        <v>5555</v>
      </c>
      <c r="T1925" s="2" t="s">
        <v>100</v>
      </c>
      <c r="U1925" s="2" t="s">
        <v>100</v>
      </c>
      <c r="V1925" s="2" t="s">
        <v>1112</v>
      </c>
      <c r="W1925" s="2" t="s">
        <v>756</v>
      </c>
      <c r="X1925" s="2" t="s">
        <v>563</v>
      </c>
      <c r="Y1925" s="2" t="s">
        <v>709</v>
      </c>
      <c r="Z1925" s="4">
        <v>329</v>
      </c>
      <c r="AA1925" s="4">
        <f>=ROUNDDOWN(27.4166666666667,0)</f>
      </c>
      <c r="AB1925" s="5">
        <v>12</v>
      </c>
      <c r="AC1925" s="2" t="s">
        <v>3685</v>
      </c>
      <c r="AD1925" s="4">
        <v>30</v>
      </c>
      <c r="AE1925" s="4">
        <v>270</v>
      </c>
      <c r="AF1925" s="6">
        <v>66</v>
      </c>
      <c r="AG1925" s="6"/>
      <c r="AH1925" s="7">
        <v>1</v>
      </c>
      <c r="AI1925" s="4"/>
      <c r="AJ1925" s="4">
        <f>=ROUNDDOWN({0},0)</f>
      </c>
      <c r="AK1925" s="5"/>
      <c r="AL1925" s="2" t="s">
        <v>100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 t="s">
        <v>100</v>
      </c>
      <c r="AW1925" s="8" t="s">
        <v>100</v>
      </c>
      <c r="AX1925" s="4" t="s">
        <v>100</v>
      </c>
      <c r="AY1925" s="8" t="s">
        <v>100</v>
      </c>
      <c r="AZ1925" s="7" t="s">
        <v>100</v>
      </c>
      <c r="BA1925" s="7" t="s">
        <v>100</v>
      </c>
      <c r="BB1925" s="7"/>
      <c r="BC1925" s="4" t="s">
        <v>100</v>
      </c>
      <c r="BD1925" s="8" t="s">
        <v>100</v>
      </c>
      <c r="BE1925" s="4" t="s">
        <v>100</v>
      </c>
      <c r="BF1925" s="8" t="s">
        <v>100</v>
      </c>
      <c r="BG1925" s="7" t="s">
        <v>100</v>
      </c>
      <c r="BH1925" s="7" t="s">
        <v>100</v>
      </c>
      <c r="BI1925" s="7"/>
      <c r="BJ1925" s="4">
        <v>5</v>
      </c>
      <c r="BK1925" s="8">
        <v>416.39</v>
      </c>
      <c r="BL1925" s="2" t="s">
        <v>5537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109</v>
      </c>
      <c r="BV1925" s="2" t="s">
        <v>97</v>
      </c>
      <c r="BW1925" s="2" t="s">
        <v>723</v>
      </c>
      <c r="BX1925" s="2" t="s">
        <v>260</v>
      </c>
      <c r="BY1925" s="2" t="s">
        <v>112</v>
      </c>
      <c r="BZ1925" s="2" t="s">
        <v>100</v>
      </c>
    </row>
    <row r="1926">
      <c r="A1926" s="2" t="s">
        <v>5560</v>
      </c>
      <c r="B1926" s="2" t="s">
        <v>87</v>
      </c>
      <c r="C1926" s="2" t="s">
        <v>5420</v>
      </c>
      <c r="D1926" s="2" t="s">
        <v>89</v>
      </c>
      <c r="E1926" s="2" t="s">
        <v>90</v>
      </c>
      <c r="F1926" s="2" t="s">
        <v>5561</v>
      </c>
      <c r="G1926" s="2" t="s">
        <v>5561</v>
      </c>
      <c r="H1926" s="2" t="s">
        <v>5561</v>
      </c>
      <c r="I1926" s="2" t="s">
        <v>5562</v>
      </c>
      <c r="J1926" s="2" t="s">
        <v>124</v>
      </c>
      <c r="K1926" s="2" t="s">
        <v>5563</v>
      </c>
      <c r="L1926" s="3">
        <v>85</v>
      </c>
      <c r="M1926" s="3">
        <v>89.25</v>
      </c>
      <c r="N1926" s="3">
        <v>169.99</v>
      </c>
      <c r="O1926" s="2" t="s">
        <v>1715</v>
      </c>
      <c r="P1926" s="2" t="s">
        <v>447</v>
      </c>
      <c r="Q1926" s="2" t="s">
        <v>99</v>
      </c>
      <c r="R1926" s="2" t="s">
        <v>100</v>
      </c>
      <c r="S1926" s="2" t="s">
        <v>5564</v>
      </c>
      <c r="T1926" s="2" t="s">
        <v>100</v>
      </c>
      <c r="U1926" s="2" t="s">
        <v>100</v>
      </c>
      <c r="V1926" s="2" t="s">
        <v>1112</v>
      </c>
      <c r="W1926" s="2" t="s">
        <v>756</v>
      </c>
      <c r="X1926" s="2" t="s">
        <v>563</v>
      </c>
      <c r="Y1926" s="2" t="s">
        <v>5535</v>
      </c>
      <c r="Z1926" s="4"/>
      <c r="AA1926" s="4">
        <f>=ROUNDDOWN({0},0)</f>
      </c>
      <c r="AB1926" s="5"/>
      <c r="AC1926" s="2" t="s">
        <v>100</v>
      </c>
      <c r="AD1926" s="4"/>
      <c r="AE1926" s="4"/>
      <c r="AF1926" s="6"/>
      <c r="AG1926" s="6"/>
      <c r="AH1926" s="7">
        <v>0</v>
      </c>
      <c r="AI1926" s="4"/>
      <c r="AJ1926" s="4">
        <f>=ROUNDDOWN({0},0)</f>
      </c>
      <c r="AK1926" s="5"/>
      <c r="AL1926" s="2" t="s">
        <v>100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/>
      <c r="AW1926" s="8"/>
      <c r="AX1926" s="4"/>
      <c r="AY1926" s="8"/>
      <c r="AZ1926" s="7"/>
      <c r="BA1926" s="7"/>
      <c r="BB1926" s="7"/>
      <c r="BC1926" s="4"/>
      <c r="BD1926" s="8"/>
      <c r="BE1926" s="4"/>
      <c r="BF1926" s="8"/>
      <c r="BG1926" s="7"/>
      <c r="BH1926" s="7"/>
      <c r="BI1926" s="7"/>
      <c r="BJ1926" s="4"/>
      <c r="BK1926" s="8"/>
      <c r="BL1926" s="2" t="s">
        <v>100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109</v>
      </c>
      <c r="BV1926" s="2" t="s">
        <v>97</v>
      </c>
      <c r="BW1926" s="2" t="s">
        <v>723</v>
      </c>
      <c r="BX1926" s="2" t="s">
        <v>5565</v>
      </c>
      <c r="BY1926" s="2" t="s">
        <v>112</v>
      </c>
      <c r="BZ1926" s="2" t="s">
        <v>100</v>
      </c>
    </row>
    <row r="1927">
      <c r="A1927" s="2" t="s">
        <v>5566</v>
      </c>
      <c r="B1927" s="2" t="s">
        <v>87</v>
      </c>
      <c r="C1927" s="2" t="s">
        <v>5420</v>
      </c>
      <c r="D1927" s="2" t="s">
        <v>89</v>
      </c>
      <c r="E1927" s="2" t="s">
        <v>2030</v>
      </c>
      <c r="F1927" s="2" t="s">
        <v>5567</v>
      </c>
      <c r="G1927" s="2" t="s">
        <v>5567</v>
      </c>
      <c r="H1927" s="2" t="s">
        <v>5567</v>
      </c>
      <c r="I1927" s="2" t="s">
        <v>5568</v>
      </c>
      <c r="J1927" s="2" t="s">
        <v>673</v>
      </c>
      <c r="K1927" s="2" t="s">
        <v>771</v>
      </c>
      <c r="L1927" s="3">
        <v>45.71</v>
      </c>
      <c r="M1927" s="3">
        <v>48</v>
      </c>
      <c r="N1927" s="3">
        <v>99.99</v>
      </c>
      <c r="O1927" s="2" t="s">
        <v>97</v>
      </c>
      <c r="P1927" s="2" t="s">
        <v>1216</v>
      </c>
      <c r="Q1927" s="2" t="s">
        <v>99</v>
      </c>
      <c r="R1927" s="2" t="s">
        <v>100</v>
      </c>
      <c r="S1927" s="2" t="s">
        <v>5569</v>
      </c>
      <c r="T1927" s="2" t="s">
        <v>1218</v>
      </c>
      <c r="U1927" s="2" t="s">
        <v>2150</v>
      </c>
      <c r="V1927" s="2" t="s">
        <v>1641</v>
      </c>
      <c r="W1927" s="2" t="s">
        <v>756</v>
      </c>
      <c r="X1927" s="2" t="s">
        <v>104</v>
      </c>
      <c r="Y1927" s="2" t="s">
        <v>5570</v>
      </c>
      <c r="Z1927" s="4">
        <v>144</v>
      </c>
      <c r="AA1927" s="4">
        <f>=ROUNDDOWN(28.8,0)</f>
      </c>
      <c r="AB1927" s="5">
        <v>5</v>
      </c>
      <c r="AC1927" s="2" t="s">
        <v>100</v>
      </c>
      <c r="AD1927" s="4"/>
      <c r="AE1927" s="4"/>
      <c r="AF1927" s="6">
        <v>65</v>
      </c>
      <c r="AG1927" s="6"/>
      <c r="AH1927" s="7">
        <v>1</v>
      </c>
      <c r="AI1927" s="4"/>
      <c r="AJ1927" s="4">
        <f>=ROUNDDOWN({0},0)</f>
      </c>
      <c r="AK1927" s="5"/>
      <c r="AL1927" s="2" t="s">
        <v>100</v>
      </c>
      <c r="AM1927" s="4"/>
      <c r="AN1927" s="4"/>
      <c r="AO1927" s="7">
        <v>0</v>
      </c>
      <c r="AP1927" s="4"/>
      <c r="AQ1927" s="8"/>
      <c r="AR1927" s="4"/>
      <c r="AS1927" s="8"/>
      <c r="AT1927" s="7"/>
      <c r="AU1927" s="7"/>
      <c r="AV1927" s="4" t="s">
        <v>100</v>
      </c>
      <c r="AW1927" s="8" t="s">
        <v>100</v>
      </c>
      <c r="AX1927" s="4" t="s">
        <v>100</v>
      </c>
      <c r="AY1927" s="8" t="s">
        <v>100</v>
      </c>
      <c r="AZ1927" s="7" t="s">
        <v>100</v>
      </c>
      <c r="BA1927" s="7" t="s">
        <v>100</v>
      </c>
      <c r="BB1927" s="7"/>
      <c r="BC1927" s="4" t="s">
        <v>100</v>
      </c>
      <c r="BD1927" s="8" t="s">
        <v>100</v>
      </c>
      <c r="BE1927" s="4" t="s">
        <v>100</v>
      </c>
      <c r="BF1927" s="8" t="s">
        <v>100</v>
      </c>
      <c r="BG1927" s="7" t="s">
        <v>100</v>
      </c>
      <c r="BH1927" s="7" t="s">
        <v>100</v>
      </c>
      <c r="BI1927" s="7"/>
      <c r="BJ1927" s="4">
        <v>1</v>
      </c>
      <c r="BK1927" s="8">
        <v>51.84</v>
      </c>
      <c r="BL1927" s="2" t="s">
        <v>715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109</v>
      </c>
      <c r="BV1927" s="2" t="s">
        <v>97</v>
      </c>
      <c r="BW1927" s="2" t="s">
        <v>1221</v>
      </c>
      <c r="BX1927" s="2" t="s">
        <v>100</v>
      </c>
      <c r="BY1927" s="2" t="s">
        <v>112</v>
      </c>
      <c r="BZ1927" s="2" t="s">
        <v>100</v>
      </c>
    </row>
    <row r="1928">
      <c r="A1928" s="2" t="s">
        <v>5571</v>
      </c>
      <c r="B1928" s="2" t="s">
        <v>87</v>
      </c>
      <c r="C1928" s="2" t="s">
        <v>5420</v>
      </c>
      <c r="D1928" s="2" t="s">
        <v>89</v>
      </c>
      <c r="E1928" s="2" t="s">
        <v>2030</v>
      </c>
      <c r="F1928" s="2" t="s">
        <v>5567</v>
      </c>
      <c r="G1928" s="2" t="s">
        <v>5567</v>
      </c>
      <c r="H1928" s="2" t="s">
        <v>5567</v>
      </c>
      <c r="I1928" s="2" t="s">
        <v>5568</v>
      </c>
      <c r="J1928" s="2" t="s">
        <v>785</v>
      </c>
      <c r="K1928" s="2" t="s">
        <v>771</v>
      </c>
      <c r="L1928" s="3">
        <v>59.42</v>
      </c>
      <c r="M1928" s="3">
        <v>62.39</v>
      </c>
      <c r="N1928" s="3">
        <v>129.99</v>
      </c>
      <c r="O1928" s="2" t="s">
        <v>97</v>
      </c>
      <c r="P1928" s="2" t="s">
        <v>1216</v>
      </c>
      <c r="Q1928" s="2" t="s">
        <v>99</v>
      </c>
      <c r="R1928" s="2" t="s">
        <v>100</v>
      </c>
      <c r="S1928" s="2" t="s">
        <v>5569</v>
      </c>
      <c r="T1928" s="2" t="s">
        <v>1218</v>
      </c>
      <c r="U1928" s="2" t="s">
        <v>1508</v>
      </c>
      <c r="V1928" s="2" t="s">
        <v>1641</v>
      </c>
      <c r="W1928" s="2" t="s">
        <v>756</v>
      </c>
      <c r="X1928" s="2" t="s">
        <v>104</v>
      </c>
      <c r="Y1928" s="2" t="s">
        <v>5572</v>
      </c>
      <c r="Z1928" s="4">
        <v>344</v>
      </c>
      <c r="AA1928" s="4">
        <f>=ROUNDDOWN(34.4,0)</f>
      </c>
      <c r="AB1928" s="5">
        <v>10</v>
      </c>
      <c r="AC1928" s="2" t="s">
        <v>100</v>
      </c>
      <c r="AD1928" s="4"/>
      <c r="AE1928" s="4"/>
      <c r="AF1928" s="6">
        <v>65</v>
      </c>
      <c r="AG1928" s="6"/>
      <c r="AH1928" s="7">
        <v>1</v>
      </c>
      <c r="AI1928" s="4"/>
      <c r="AJ1928" s="4">
        <f>=ROUNDDOWN({0},0)</f>
      </c>
      <c r="AK1928" s="5"/>
      <c r="AL1928" s="2" t="s">
        <v>100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 t="s">
        <v>100</v>
      </c>
      <c r="AW1928" s="8" t="s">
        <v>100</v>
      </c>
      <c r="AX1928" s="4" t="s">
        <v>100</v>
      </c>
      <c r="AY1928" s="8" t="s">
        <v>100</v>
      </c>
      <c r="AZ1928" s="7" t="s">
        <v>100</v>
      </c>
      <c r="BA1928" s="7" t="s">
        <v>100</v>
      </c>
      <c r="BB1928" s="7"/>
      <c r="BC1928" s="4" t="s">
        <v>100</v>
      </c>
      <c r="BD1928" s="8" t="s">
        <v>100</v>
      </c>
      <c r="BE1928" s="4" t="s">
        <v>100</v>
      </c>
      <c r="BF1928" s="8" t="s">
        <v>100</v>
      </c>
      <c r="BG1928" s="7" t="s">
        <v>100</v>
      </c>
      <c r="BH1928" s="7" t="s">
        <v>100</v>
      </c>
      <c r="BI1928" s="7"/>
      <c r="BJ1928" s="4">
        <v>1</v>
      </c>
      <c r="BK1928" s="8">
        <v>67.38</v>
      </c>
      <c r="BL1928" s="2" t="s">
        <v>441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109</v>
      </c>
      <c r="BV1928" s="2" t="s">
        <v>97</v>
      </c>
      <c r="BW1928" s="2" t="s">
        <v>1221</v>
      </c>
      <c r="BX1928" s="2" t="s">
        <v>100</v>
      </c>
      <c r="BY1928" s="2" t="s">
        <v>112</v>
      </c>
      <c r="BZ1928" s="2" t="s">
        <v>100</v>
      </c>
    </row>
    <row r="1929">
      <c r="A1929" s="2" t="s">
        <v>5573</v>
      </c>
      <c r="B1929" s="2" t="s">
        <v>87</v>
      </c>
      <c r="C1929" s="2" t="s">
        <v>5420</v>
      </c>
      <c r="D1929" s="2" t="s">
        <v>89</v>
      </c>
      <c r="E1929" s="2" t="s">
        <v>2030</v>
      </c>
      <c r="F1929" s="2" t="s">
        <v>5567</v>
      </c>
      <c r="G1929" s="2" t="s">
        <v>5567</v>
      </c>
      <c r="H1929" s="2" t="s">
        <v>5567</v>
      </c>
      <c r="I1929" s="2" t="s">
        <v>5568</v>
      </c>
      <c r="J1929" s="2" t="s">
        <v>795</v>
      </c>
      <c r="K1929" s="2" t="s">
        <v>771</v>
      </c>
      <c r="L1929" s="3">
        <v>68.57</v>
      </c>
      <c r="M1929" s="3">
        <v>72</v>
      </c>
      <c r="N1929" s="3">
        <v>149.99</v>
      </c>
      <c r="O1929" s="2" t="s">
        <v>97</v>
      </c>
      <c r="P1929" s="2" t="s">
        <v>1216</v>
      </c>
      <c r="Q1929" s="2" t="s">
        <v>99</v>
      </c>
      <c r="R1929" s="2" t="s">
        <v>100</v>
      </c>
      <c r="S1929" s="2" t="s">
        <v>5569</v>
      </c>
      <c r="T1929" s="2" t="s">
        <v>1218</v>
      </c>
      <c r="U1929" s="2" t="s">
        <v>1508</v>
      </c>
      <c r="V1929" s="2" t="s">
        <v>1641</v>
      </c>
      <c r="W1929" s="2" t="s">
        <v>756</v>
      </c>
      <c r="X1929" s="2" t="s">
        <v>104</v>
      </c>
      <c r="Y1929" s="2" t="s">
        <v>5570</v>
      </c>
      <c r="Z1929" s="4">
        <v>210</v>
      </c>
      <c r="AA1929" s="4">
        <f>=ROUNDDOWN(26.25,0)</f>
      </c>
      <c r="AB1929" s="5">
        <v>8</v>
      </c>
      <c r="AC1929" s="2" t="s">
        <v>100</v>
      </c>
      <c r="AD1929" s="4"/>
      <c r="AE1929" s="4"/>
      <c r="AF1929" s="6">
        <v>65</v>
      </c>
      <c r="AG1929" s="6"/>
      <c r="AH1929" s="7">
        <v>1</v>
      </c>
      <c r="AI1929" s="4"/>
      <c r="AJ1929" s="4">
        <f>=ROUNDDOWN({0},0)</f>
      </c>
      <c r="AK1929" s="5"/>
      <c r="AL1929" s="2" t="s">
        <v>100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100</v>
      </c>
      <c r="AW1929" s="8" t="s">
        <v>100</v>
      </c>
      <c r="AX1929" s="4" t="s">
        <v>100</v>
      </c>
      <c r="AY1929" s="8" t="s">
        <v>100</v>
      </c>
      <c r="AZ1929" s="7" t="s">
        <v>100</v>
      </c>
      <c r="BA1929" s="7" t="s">
        <v>100</v>
      </c>
      <c r="BB1929" s="7"/>
      <c r="BC1929" s="4" t="s">
        <v>100</v>
      </c>
      <c r="BD1929" s="8" t="s">
        <v>100</v>
      </c>
      <c r="BE1929" s="4" t="s">
        <v>100</v>
      </c>
      <c r="BF1929" s="8" t="s">
        <v>100</v>
      </c>
      <c r="BG1929" s="7" t="s">
        <v>100</v>
      </c>
      <c r="BH1929" s="7" t="s">
        <v>100</v>
      </c>
      <c r="BI1929" s="7"/>
      <c r="BJ1929" s="4">
        <v>3</v>
      </c>
      <c r="BK1929" s="8">
        <v>228.96</v>
      </c>
      <c r="BL1929" s="2" t="s">
        <v>1550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109</v>
      </c>
      <c r="BV1929" s="2" t="s">
        <v>97</v>
      </c>
      <c r="BW1929" s="2" t="s">
        <v>1221</v>
      </c>
      <c r="BX1929" s="2" t="s">
        <v>100</v>
      </c>
      <c r="BY1929" s="2" t="s">
        <v>112</v>
      </c>
      <c r="BZ1929" s="2" t="s">
        <v>100</v>
      </c>
    </row>
    <row r="1930">
      <c r="A1930" s="2" t="s">
        <v>5574</v>
      </c>
      <c r="B1930" s="2" t="s">
        <v>87</v>
      </c>
      <c r="C1930" s="2" t="s">
        <v>5420</v>
      </c>
      <c r="D1930" s="2" t="s">
        <v>3321</v>
      </c>
      <c r="E1930" s="2" t="s">
        <v>3322</v>
      </c>
      <c r="F1930" s="2" t="s">
        <v>1172</v>
      </c>
      <c r="G1930" s="2" t="s">
        <v>1172</v>
      </c>
      <c r="H1930" s="2" t="s">
        <v>1172</v>
      </c>
      <c r="I1930" s="2" t="s">
        <v>5575</v>
      </c>
      <c r="J1930" s="2" t="s">
        <v>3361</v>
      </c>
      <c r="K1930" s="2" t="s">
        <v>434</v>
      </c>
      <c r="L1930" s="3">
        <v>22.05</v>
      </c>
      <c r="M1930" s="3">
        <v>23.15</v>
      </c>
      <c r="N1930" s="3">
        <v>44.99</v>
      </c>
      <c r="O1930" s="2" t="s">
        <v>97</v>
      </c>
      <c r="P1930" s="2" t="s">
        <v>98</v>
      </c>
      <c r="Q1930" s="2" t="s">
        <v>99</v>
      </c>
      <c r="R1930" s="2" t="s">
        <v>100</v>
      </c>
      <c r="S1930" s="2" t="s">
        <v>5454</v>
      </c>
      <c r="T1930" s="2" t="s">
        <v>100</v>
      </c>
      <c r="U1930" s="2" t="s">
        <v>100</v>
      </c>
      <c r="V1930" s="2" t="s">
        <v>1112</v>
      </c>
      <c r="W1930" s="2" t="s">
        <v>756</v>
      </c>
      <c r="X1930" s="2" t="s">
        <v>563</v>
      </c>
      <c r="Y1930" s="2" t="s">
        <v>131</v>
      </c>
      <c r="Z1930" s="4">
        <v>447</v>
      </c>
      <c r="AA1930" s="4">
        <f>=ROUNDDOWN(55.875,0)</f>
      </c>
      <c r="AB1930" s="5">
        <v>8</v>
      </c>
      <c r="AC1930" s="2" t="s">
        <v>406</v>
      </c>
      <c r="AD1930" s="4">
        <v>40</v>
      </c>
      <c r="AE1930" s="4">
        <v>320</v>
      </c>
      <c r="AF1930" s="6">
        <v>69</v>
      </c>
      <c r="AG1930" s="6"/>
      <c r="AH1930" s="7">
        <v>1</v>
      </c>
      <c r="AI1930" s="4"/>
      <c r="AJ1930" s="4">
        <f>=ROUNDDOWN({0},0)</f>
      </c>
      <c r="AK1930" s="5"/>
      <c r="AL1930" s="2" t="s">
        <v>100</v>
      </c>
      <c r="AM1930" s="4"/>
      <c r="AN1930" s="4"/>
      <c r="AO1930" s="7">
        <v>0</v>
      </c>
      <c r="AP1930" s="4">
        <v>1</v>
      </c>
      <c r="AQ1930" s="8">
        <v>23.04</v>
      </c>
      <c r="AR1930" s="4"/>
      <c r="AS1930" s="8"/>
      <c r="AT1930" s="7"/>
      <c r="AU1930" s="7"/>
      <c r="AV1930" s="4">
        <v>1</v>
      </c>
      <c r="AW1930" s="8">
        <v>23.04</v>
      </c>
      <c r="AX1930" s="4"/>
      <c r="AY1930" s="8"/>
      <c r="AZ1930" s="7"/>
      <c r="BA1930" s="7"/>
      <c r="BB1930" s="7">
        <v>1</v>
      </c>
      <c r="BC1930" s="4">
        <v>2</v>
      </c>
      <c r="BD1930" s="8">
        <v>46.08</v>
      </c>
      <c r="BE1930" s="4" t="s">
        <v>100</v>
      </c>
      <c r="BF1930" s="8" t="s">
        <v>100</v>
      </c>
      <c r="BG1930" s="7" t="s">
        <v>100</v>
      </c>
      <c r="BH1930" s="7" t="s">
        <v>100</v>
      </c>
      <c r="BI1930" s="7">
        <v>0.5</v>
      </c>
      <c r="BJ1930" s="4">
        <v>5</v>
      </c>
      <c r="BK1930" s="8">
        <v>112.09</v>
      </c>
      <c r="BL1930" s="2" t="s">
        <v>5025</v>
      </c>
      <c r="BM1930" s="7">
        <v>0.2</v>
      </c>
      <c r="BN1930" s="7">
        <v>0.2055</v>
      </c>
      <c r="BO1930" s="4">
        <v>1</v>
      </c>
      <c r="BP1930" s="8">
        <v>23.04</v>
      </c>
      <c r="BQ1930" s="4"/>
      <c r="BR1930" s="8"/>
      <c r="BS1930" s="7"/>
      <c r="BT1930" s="7"/>
      <c r="BU1930" s="2" t="s">
        <v>109</v>
      </c>
      <c r="BV1930" s="2" t="s">
        <v>97</v>
      </c>
      <c r="BW1930" s="2" t="s">
        <v>723</v>
      </c>
      <c r="BX1930" s="2" t="s">
        <v>216</v>
      </c>
      <c r="BY1930" s="2" t="s">
        <v>112</v>
      </c>
      <c r="BZ1930" s="2" t="s">
        <v>100</v>
      </c>
    </row>
    <row r="1931">
      <c r="A1931" s="2" t="s">
        <v>5576</v>
      </c>
      <c r="B1931" s="2" t="s">
        <v>87</v>
      </c>
      <c r="C1931" s="2" t="s">
        <v>5420</v>
      </c>
      <c r="D1931" s="2" t="s">
        <v>3321</v>
      </c>
      <c r="E1931" s="2" t="s">
        <v>3322</v>
      </c>
      <c r="F1931" s="2" t="s">
        <v>1172</v>
      </c>
      <c r="G1931" s="2" t="s">
        <v>1172</v>
      </c>
      <c r="H1931" s="2" t="s">
        <v>1172</v>
      </c>
      <c r="I1931" s="2" t="s">
        <v>5575</v>
      </c>
      <c r="J1931" s="2" t="s">
        <v>3361</v>
      </c>
      <c r="K1931" s="2" t="s">
        <v>771</v>
      </c>
      <c r="L1931" s="3">
        <v>22.05</v>
      </c>
      <c r="M1931" s="3">
        <v>23.15</v>
      </c>
      <c r="N1931" s="3">
        <v>44.99</v>
      </c>
      <c r="O1931" s="2" t="s">
        <v>97</v>
      </c>
      <c r="P1931" s="2" t="s">
        <v>98</v>
      </c>
      <c r="Q1931" s="2" t="s">
        <v>99</v>
      </c>
      <c r="R1931" s="2" t="s">
        <v>100</v>
      </c>
      <c r="S1931" s="2" t="s">
        <v>5454</v>
      </c>
      <c r="T1931" s="2" t="s">
        <v>100</v>
      </c>
      <c r="U1931" s="2" t="s">
        <v>100</v>
      </c>
      <c r="V1931" s="2" t="s">
        <v>1112</v>
      </c>
      <c r="W1931" s="2" t="s">
        <v>756</v>
      </c>
      <c r="X1931" s="2" t="s">
        <v>563</v>
      </c>
      <c r="Y1931" s="2" t="s">
        <v>131</v>
      </c>
      <c r="Z1931" s="4">
        <v>319</v>
      </c>
      <c r="AA1931" s="4">
        <f>=ROUNDDOWN(15.1904761904762,0)</f>
      </c>
      <c r="AB1931" s="5">
        <v>21</v>
      </c>
      <c r="AC1931" s="2" t="s">
        <v>406</v>
      </c>
      <c r="AD1931" s="4">
        <v>320</v>
      </c>
      <c r="AE1931" s="4">
        <v>320</v>
      </c>
      <c r="AF1931" s="6">
        <v>69</v>
      </c>
      <c r="AG1931" s="6"/>
      <c r="AH1931" s="7">
        <v>1</v>
      </c>
      <c r="AI1931" s="4"/>
      <c r="AJ1931" s="4">
        <f>=ROUNDDOWN({0},0)</f>
      </c>
      <c r="AK1931" s="5"/>
      <c r="AL1931" s="2" t="s">
        <v>100</v>
      </c>
      <c r="AM1931" s="4"/>
      <c r="AN1931" s="4"/>
      <c r="AO1931" s="7">
        <v>0</v>
      </c>
      <c r="AP1931" s="4">
        <v>1</v>
      </c>
      <c r="AQ1931" s="8">
        <v>23.04</v>
      </c>
      <c r="AR1931" s="4"/>
      <c r="AS1931" s="8"/>
      <c r="AT1931" s="7"/>
      <c r="AU1931" s="7"/>
      <c r="AV1931" s="4">
        <v>1</v>
      </c>
      <c r="AW1931" s="8">
        <v>23.04</v>
      </c>
      <c r="AX1931" s="4"/>
      <c r="AY1931" s="8"/>
      <c r="AZ1931" s="7"/>
      <c r="BA1931" s="7"/>
      <c r="BB1931" s="7">
        <v>1</v>
      </c>
      <c r="BC1931" s="4" t="s">
        <v>100</v>
      </c>
      <c r="BD1931" s="8" t="s">
        <v>100</v>
      </c>
      <c r="BE1931" s="4" t="s">
        <v>100</v>
      </c>
      <c r="BF1931" s="8" t="s">
        <v>100</v>
      </c>
      <c r="BG1931" s="7" t="s">
        <v>100</v>
      </c>
      <c r="BH1931" s="7" t="s">
        <v>100</v>
      </c>
      <c r="BI1931" s="7">
        <v>0.5</v>
      </c>
      <c r="BJ1931" s="4">
        <v>14</v>
      </c>
      <c r="BK1931" s="8">
        <v>320.85</v>
      </c>
      <c r="BL1931" s="2" t="s">
        <v>418</v>
      </c>
      <c r="BM1931" s="7">
        <v>0.0714</v>
      </c>
      <c r="BN1931" s="7">
        <v>0.0718</v>
      </c>
      <c r="BO1931" s="4">
        <v>1</v>
      </c>
      <c r="BP1931" s="8">
        <v>23.04</v>
      </c>
      <c r="BQ1931" s="4"/>
      <c r="BR1931" s="8"/>
      <c r="BS1931" s="7"/>
      <c r="BT1931" s="7"/>
      <c r="BU1931" s="2" t="s">
        <v>109</v>
      </c>
      <c r="BV1931" s="2" t="s">
        <v>97</v>
      </c>
      <c r="BW1931" s="2" t="s">
        <v>723</v>
      </c>
      <c r="BX1931" s="2" t="s">
        <v>216</v>
      </c>
      <c r="BY1931" s="2" t="s">
        <v>112</v>
      </c>
      <c r="BZ1931" s="2" t="s">
        <v>100</v>
      </c>
    </row>
    <row r="1932">
      <c r="A1932" s="2" t="s">
        <v>5577</v>
      </c>
      <c r="B1932" s="2" t="s">
        <v>87</v>
      </c>
      <c r="C1932" s="2" t="s">
        <v>5420</v>
      </c>
      <c r="D1932" s="2" t="s">
        <v>3321</v>
      </c>
      <c r="E1932" s="2" t="s">
        <v>3322</v>
      </c>
      <c r="F1932" s="2" t="s">
        <v>5471</v>
      </c>
      <c r="G1932" s="2" t="s">
        <v>5471</v>
      </c>
      <c r="H1932" s="2" t="s">
        <v>5471</v>
      </c>
      <c r="I1932" s="2" t="s">
        <v>5575</v>
      </c>
      <c r="J1932" s="2" t="s">
        <v>3361</v>
      </c>
      <c r="K1932" s="2" t="s">
        <v>434</v>
      </c>
      <c r="L1932" s="3">
        <v>22.05</v>
      </c>
      <c r="M1932" s="3">
        <v>23.15</v>
      </c>
      <c r="N1932" s="3">
        <v>44.99</v>
      </c>
      <c r="O1932" s="2" t="s">
        <v>97</v>
      </c>
      <c r="P1932" s="2" t="s">
        <v>98</v>
      </c>
      <c r="Q1932" s="2" t="s">
        <v>99</v>
      </c>
      <c r="R1932" s="2" t="s">
        <v>100</v>
      </c>
      <c r="S1932" s="2" t="s">
        <v>5454</v>
      </c>
      <c r="T1932" s="2" t="s">
        <v>100</v>
      </c>
      <c r="U1932" s="2" t="s">
        <v>100</v>
      </c>
      <c r="V1932" s="2" t="s">
        <v>1112</v>
      </c>
      <c r="W1932" s="2" t="s">
        <v>756</v>
      </c>
      <c r="X1932" s="2" t="s">
        <v>976</v>
      </c>
      <c r="Y1932" s="2" t="s">
        <v>131</v>
      </c>
      <c r="Z1932" s="4">
        <v>561</v>
      </c>
      <c r="AA1932" s="4">
        <f>=ROUNDDOWN(35.0625,0)</f>
      </c>
      <c r="AB1932" s="5">
        <v>16</v>
      </c>
      <c r="AC1932" s="2" t="s">
        <v>400</v>
      </c>
      <c r="AD1932" s="4">
        <v>370</v>
      </c>
      <c r="AE1932" s="4">
        <v>1200</v>
      </c>
      <c r="AF1932" s="6">
        <v>69</v>
      </c>
      <c r="AG1932" s="6"/>
      <c r="AH1932" s="7">
        <v>1</v>
      </c>
      <c r="AI1932" s="4"/>
      <c r="AJ1932" s="4">
        <f>=ROUNDDOWN({0},0)</f>
      </c>
      <c r="AK1932" s="5"/>
      <c r="AL1932" s="2" t="s">
        <v>100</v>
      </c>
      <c r="AM1932" s="4"/>
      <c r="AN1932" s="4"/>
      <c r="AO1932" s="7">
        <v>0</v>
      </c>
      <c r="AP1932" s="4">
        <v>1</v>
      </c>
      <c r="AQ1932" s="8">
        <v>23.04</v>
      </c>
      <c r="AR1932" s="4"/>
      <c r="AS1932" s="8"/>
      <c r="AT1932" s="7"/>
      <c r="AU1932" s="7"/>
      <c r="AV1932" s="4">
        <v>1</v>
      </c>
      <c r="AW1932" s="8">
        <v>23.04</v>
      </c>
      <c r="AX1932" s="4"/>
      <c r="AY1932" s="8"/>
      <c r="AZ1932" s="7"/>
      <c r="BA1932" s="7"/>
      <c r="BB1932" s="7">
        <v>1</v>
      </c>
      <c r="BC1932" s="4">
        <v>1</v>
      </c>
      <c r="BD1932" s="8">
        <v>23.04</v>
      </c>
      <c r="BE1932" s="4"/>
      <c r="BF1932" s="8"/>
      <c r="BG1932" s="7"/>
      <c r="BH1932" s="7"/>
      <c r="BI1932" s="7">
        <v>1</v>
      </c>
      <c r="BJ1932" s="4">
        <v>15</v>
      </c>
      <c r="BK1932" s="8">
        <v>357.18</v>
      </c>
      <c r="BL1932" s="2" t="s">
        <v>5578</v>
      </c>
      <c r="BM1932" s="7">
        <v>0.0667</v>
      </c>
      <c r="BN1932" s="7">
        <v>0.0645</v>
      </c>
      <c r="BO1932" s="4">
        <v>1</v>
      </c>
      <c r="BP1932" s="8">
        <v>23.04</v>
      </c>
      <c r="BQ1932" s="4"/>
      <c r="BR1932" s="8"/>
      <c r="BS1932" s="7"/>
      <c r="BT1932" s="7"/>
      <c r="BU1932" s="2" t="s">
        <v>109</v>
      </c>
      <c r="BV1932" s="2" t="s">
        <v>97</v>
      </c>
      <c r="BW1932" s="2" t="s">
        <v>723</v>
      </c>
      <c r="BX1932" s="2" t="s">
        <v>127</v>
      </c>
      <c r="BY1932" s="2" t="s">
        <v>112</v>
      </c>
      <c r="BZ1932" s="2" t="s">
        <v>100</v>
      </c>
    </row>
    <row r="1933">
      <c r="A1933" s="2" t="s">
        <v>5579</v>
      </c>
      <c r="B1933" s="2" t="s">
        <v>87</v>
      </c>
      <c r="C1933" s="2" t="s">
        <v>5420</v>
      </c>
      <c r="D1933" s="2" t="s">
        <v>3321</v>
      </c>
      <c r="E1933" s="2" t="s">
        <v>3322</v>
      </c>
      <c r="F1933" s="2" t="s">
        <v>5482</v>
      </c>
      <c r="G1933" s="2" t="s">
        <v>5482</v>
      </c>
      <c r="H1933" s="2" t="s">
        <v>5482</v>
      </c>
      <c r="I1933" s="2" t="s">
        <v>5575</v>
      </c>
      <c r="J1933" s="2" t="s">
        <v>3361</v>
      </c>
      <c r="K1933" s="2" t="s">
        <v>434</v>
      </c>
      <c r="L1933" s="3">
        <v>22.05</v>
      </c>
      <c r="M1933" s="3">
        <v>23.15</v>
      </c>
      <c r="N1933" s="3">
        <v>44.99</v>
      </c>
      <c r="O1933" s="2" t="s">
        <v>97</v>
      </c>
      <c r="P1933" s="2" t="s">
        <v>98</v>
      </c>
      <c r="Q1933" s="2" t="s">
        <v>99</v>
      </c>
      <c r="R1933" s="2" t="s">
        <v>100</v>
      </c>
      <c r="S1933" s="2" t="s">
        <v>5454</v>
      </c>
      <c r="T1933" s="2" t="s">
        <v>100</v>
      </c>
      <c r="U1933" s="2" t="s">
        <v>100</v>
      </c>
      <c r="V1933" s="2" t="s">
        <v>1112</v>
      </c>
      <c r="W1933" s="2" t="s">
        <v>756</v>
      </c>
      <c r="X1933" s="2" t="s">
        <v>563</v>
      </c>
      <c r="Y1933" s="2" t="s">
        <v>131</v>
      </c>
      <c r="Z1933" s="4">
        <v>862</v>
      </c>
      <c r="AA1933" s="4">
        <f>=ROUNDDOWN(23.2972972972973,0)</f>
      </c>
      <c r="AB1933" s="5">
        <v>37</v>
      </c>
      <c r="AC1933" s="2" t="s">
        <v>1372</v>
      </c>
      <c r="AD1933" s="4">
        <v>400</v>
      </c>
      <c r="AE1933" s="4">
        <v>2320</v>
      </c>
      <c r="AF1933" s="6">
        <v>69</v>
      </c>
      <c r="AG1933" s="6"/>
      <c r="AH1933" s="7">
        <v>1</v>
      </c>
      <c r="AI1933" s="4"/>
      <c r="AJ1933" s="4">
        <f>=ROUNDDOWN({0},0)</f>
      </c>
      <c r="AK1933" s="5"/>
      <c r="AL1933" s="2" t="s">
        <v>100</v>
      </c>
      <c r="AM1933" s="4"/>
      <c r="AN1933" s="4"/>
      <c r="AO1933" s="7">
        <v>0</v>
      </c>
      <c r="AP1933" s="4"/>
      <c r="AQ1933" s="8"/>
      <c r="AR1933" s="4"/>
      <c r="AS1933" s="8"/>
      <c r="AT1933" s="7"/>
      <c r="AU1933" s="7"/>
      <c r="AV1933" s="4"/>
      <c r="AW1933" s="8"/>
      <c r="AX1933" s="4"/>
      <c r="AY1933" s="8"/>
      <c r="AZ1933" s="7"/>
      <c r="BA1933" s="7"/>
      <c r="BB1933" s="7"/>
      <c r="BC1933" s="4"/>
      <c r="BD1933" s="8"/>
      <c r="BE1933" s="4"/>
      <c r="BF1933" s="8"/>
      <c r="BG1933" s="7"/>
      <c r="BH1933" s="7"/>
      <c r="BI1933" s="7"/>
      <c r="BJ1933" s="4">
        <v>16</v>
      </c>
      <c r="BK1933" s="8">
        <v>367.89</v>
      </c>
      <c r="BL1933" s="2" t="s">
        <v>2060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109</v>
      </c>
      <c r="BV1933" s="2" t="s">
        <v>97</v>
      </c>
      <c r="BW1933" s="2" t="s">
        <v>723</v>
      </c>
      <c r="BX1933" s="2" t="s">
        <v>2472</v>
      </c>
      <c r="BY1933" s="2" t="s">
        <v>112</v>
      </c>
      <c r="BZ1933" s="2" t="s">
        <v>100</v>
      </c>
    </row>
    <row r="1934">
      <c r="A1934" s="2" t="s">
        <v>5580</v>
      </c>
      <c r="B1934" s="2" t="s">
        <v>87</v>
      </c>
      <c r="C1934" s="2" t="s">
        <v>5420</v>
      </c>
      <c r="D1934" s="2" t="s">
        <v>3321</v>
      </c>
      <c r="E1934" s="2" t="s">
        <v>3322</v>
      </c>
      <c r="F1934" s="2" t="s">
        <v>5499</v>
      </c>
      <c r="G1934" s="2" t="s">
        <v>5499</v>
      </c>
      <c r="H1934" s="2" t="s">
        <v>5499</v>
      </c>
      <c r="I1934" s="2" t="s">
        <v>5575</v>
      </c>
      <c r="J1934" s="2" t="s">
        <v>3361</v>
      </c>
      <c r="K1934" s="2" t="s">
        <v>771</v>
      </c>
      <c r="L1934" s="3">
        <v>22.05</v>
      </c>
      <c r="M1934" s="3">
        <v>23.15</v>
      </c>
      <c r="N1934" s="3">
        <v>44.99</v>
      </c>
      <c r="O1934" s="2" t="s">
        <v>97</v>
      </c>
      <c r="P1934" s="2" t="s">
        <v>98</v>
      </c>
      <c r="Q1934" s="2" t="s">
        <v>99</v>
      </c>
      <c r="R1934" s="2" t="s">
        <v>100</v>
      </c>
      <c r="S1934" s="2" t="s">
        <v>5454</v>
      </c>
      <c r="T1934" s="2" t="s">
        <v>100</v>
      </c>
      <c r="U1934" s="2" t="s">
        <v>100</v>
      </c>
      <c r="V1934" s="2" t="s">
        <v>1112</v>
      </c>
      <c r="W1934" s="2" t="s">
        <v>756</v>
      </c>
      <c r="X1934" s="2" t="s">
        <v>563</v>
      </c>
      <c r="Y1934" s="2" t="s">
        <v>131</v>
      </c>
      <c r="Z1934" s="4">
        <v>629</v>
      </c>
      <c r="AA1934" s="4">
        <f>=ROUNDDOWN(28.5909090909091,0)</f>
      </c>
      <c r="AB1934" s="5">
        <v>22</v>
      </c>
      <c r="AC1934" s="2" t="s">
        <v>790</v>
      </c>
      <c r="AD1934" s="4">
        <v>50</v>
      </c>
      <c r="AE1934" s="4">
        <v>1330</v>
      </c>
      <c r="AF1934" s="6">
        <v>69</v>
      </c>
      <c r="AG1934" s="6"/>
      <c r="AH1934" s="7">
        <v>1</v>
      </c>
      <c r="AI1934" s="4"/>
      <c r="AJ1934" s="4">
        <f>=ROUNDDOWN({0},0)</f>
      </c>
      <c r="AK1934" s="5"/>
      <c r="AL1934" s="2" t="s">
        <v>100</v>
      </c>
      <c r="AM1934" s="4"/>
      <c r="AN1934" s="4"/>
      <c r="AO1934" s="7">
        <v>0</v>
      </c>
      <c r="AP1934" s="4"/>
      <c r="AQ1934" s="8"/>
      <c r="AR1934" s="4"/>
      <c r="AS1934" s="8"/>
      <c r="AT1934" s="7"/>
      <c r="AU1934" s="7"/>
      <c r="AV1934" s="4"/>
      <c r="AW1934" s="8"/>
      <c r="AX1934" s="4"/>
      <c r="AY1934" s="8"/>
      <c r="AZ1934" s="7"/>
      <c r="BA1934" s="7"/>
      <c r="BB1934" s="7"/>
      <c r="BC1934" s="4"/>
      <c r="BD1934" s="8"/>
      <c r="BE1934" s="4"/>
      <c r="BF1934" s="8"/>
      <c r="BG1934" s="7"/>
      <c r="BH1934" s="7"/>
      <c r="BI1934" s="7"/>
      <c r="BJ1934" s="4">
        <v>8</v>
      </c>
      <c r="BK1934" s="8">
        <v>185.98</v>
      </c>
      <c r="BL1934" s="2" t="s">
        <v>407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109</v>
      </c>
      <c r="BV1934" s="2" t="s">
        <v>97</v>
      </c>
      <c r="BW1934" s="2" t="s">
        <v>723</v>
      </c>
      <c r="BX1934" s="2" t="s">
        <v>127</v>
      </c>
      <c r="BY1934" s="2" t="s">
        <v>112</v>
      </c>
      <c r="BZ1934" s="2" t="s">
        <v>100</v>
      </c>
    </row>
    <row r="1935">
      <c r="A1935" s="2" t="s">
        <v>5581</v>
      </c>
      <c r="B1935" s="2" t="s">
        <v>87</v>
      </c>
      <c r="C1935" s="2" t="s">
        <v>5420</v>
      </c>
      <c r="D1935" s="2" t="s">
        <v>3321</v>
      </c>
      <c r="E1935" s="2" t="s">
        <v>3322</v>
      </c>
      <c r="F1935" s="2" t="s">
        <v>5505</v>
      </c>
      <c r="G1935" s="2" t="s">
        <v>5505</v>
      </c>
      <c r="H1935" s="2" t="s">
        <v>5505</v>
      </c>
      <c r="I1935" s="2" t="s">
        <v>5575</v>
      </c>
      <c r="J1935" s="2" t="s">
        <v>3361</v>
      </c>
      <c r="K1935" s="2" t="s">
        <v>175</v>
      </c>
      <c r="L1935" s="3">
        <v>22.05</v>
      </c>
      <c r="M1935" s="3">
        <v>23.15</v>
      </c>
      <c r="N1935" s="3">
        <v>44.99</v>
      </c>
      <c r="O1935" s="2" t="s">
        <v>97</v>
      </c>
      <c r="P1935" s="2" t="s">
        <v>98</v>
      </c>
      <c r="Q1935" s="2" t="s">
        <v>99</v>
      </c>
      <c r="R1935" s="2" t="s">
        <v>100</v>
      </c>
      <c r="S1935" s="2" t="s">
        <v>5454</v>
      </c>
      <c r="T1935" s="2" t="s">
        <v>100</v>
      </c>
      <c r="U1935" s="2" t="s">
        <v>100</v>
      </c>
      <c r="V1935" s="2" t="s">
        <v>1112</v>
      </c>
      <c r="W1935" s="2" t="s">
        <v>756</v>
      </c>
      <c r="X1935" s="2" t="s">
        <v>563</v>
      </c>
      <c r="Y1935" s="2" t="s">
        <v>131</v>
      </c>
      <c r="Z1935" s="4">
        <v>520</v>
      </c>
      <c r="AA1935" s="4">
        <f>=ROUNDDOWN(24.7619047619048,0)</f>
      </c>
      <c r="AB1935" s="5">
        <v>21</v>
      </c>
      <c r="AC1935" s="2" t="s">
        <v>1372</v>
      </c>
      <c r="AD1935" s="4">
        <v>100</v>
      </c>
      <c r="AE1935" s="4">
        <v>1080</v>
      </c>
      <c r="AF1935" s="6">
        <v>69</v>
      </c>
      <c r="AG1935" s="6"/>
      <c r="AH1935" s="7">
        <v>1</v>
      </c>
      <c r="AI1935" s="4"/>
      <c r="AJ1935" s="4">
        <f>=ROUNDDOWN({0},0)</f>
      </c>
      <c r="AK1935" s="5"/>
      <c r="AL1935" s="2" t="s">
        <v>100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/>
      <c r="AW1935" s="8"/>
      <c r="AX1935" s="4"/>
      <c r="AY1935" s="8"/>
      <c r="AZ1935" s="7"/>
      <c r="BA1935" s="7"/>
      <c r="BB1935" s="7"/>
      <c r="BC1935" s="4"/>
      <c r="BD1935" s="8"/>
      <c r="BE1935" s="4"/>
      <c r="BF1935" s="8"/>
      <c r="BG1935" s="7"/>
      <c r="BH1935" s="7"/>
      <c r="BI1935" s="7"/>
      <c r="BJ1935" s="4">
        <v>4</v>
      </c>
      <c r="BK1935" s="8">
        <v>92.69</v>
      </c>
      <c r="BL1935" s="2" t="s">
        <v>1044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109</v>
      </c>
      <c r="BV1935" s="2" t="s">
        <v>97</v>
      </c>
      <c r="BW1935" s="2" t="s">
        <v>723</v>
      </c>
      <c r="BX1935" s="2" t="s">
        <v>457</v>
      </c>
      <c r="BY1935" s="2" t="s">
        <v>112</v>
      </c>
      <c r="BZ1935" s="2" t="s">
        <v>100</v>
      </c>
    </row>
    <row r="1936">
      <c r="A1936" s="2" t="s">
        <v>5582</v>
      </c>
      <c r="B1936" s="2" t="s">
        <v>87</v>
      </c>
      <c r="C1936" s="2" t="s">
        <v>5420</v>
      </c>
      <c r="D1936" s="2" t="s">
        <v>3321</v>
      </c>
      <c r="E1936" s="2" t="s">
        <v>3322</v>
      </c>
      <c r="F1936" s="2" t="s">
        <v>5509</v>
      </c>
      <c r="G1936" s="2" t="s">
        <v>5509</v>
      </c>
      <c r="H1936" s="2" t="s">
        <v>5509</v>
      </c>
      <c r="I1936" s="2" t="s">
        <v>5575</v>
      </c>
      <c r="J1936" s="2" t="s">
        <v>3361</v>
      </c>
      <c r="K1936" s="2" t="s">
        <v>434</v>
      </c>
      <c r="L1936" s="3">
        <v>22.05</v>
      </c>
      <c r="M1936" s="3">
        <v>23.15</v>
      </c>
      <c r="N1936" s="3">
        <v>44.99</v>
      </c>
      <c r="O1936" s="2" t="s">
        <v>97</v>
      </c>
      <c r="P1936" s="2" t="s">
        <v>98</v>
      </c>
      <c r="Q1936" s="2" t="s">
        <v>99</v>
      </c>
      <c r="R1936" s="2" t="s">
        <v>100</v>
      </c>
      <c r="S1936" s="2" t="s">
        <v>5454</v>
      </c>
      <c r="T1936" s="2" t="s">
        <v>100</v>
      </c>
      <c r="U1936" s="2" t="s">
        <v>100</v>
      </c>
      <c r="V1936" s="2" t="s">
        <v>5510</v>
      </c>
      <c r="W1936" s="2" t="s">
        <v>756</v>
      </c>
      <c r="X1936" s="2" t="s">
        <v>563</v>
      </c>
      <c r="Y1936" s="2" t="s">
        <v>709</v>
      </c>
      <c r="Z1936" s="4">
        <v>763</v>
      </c>
      <c r="AA1936" s="4">
        <f>=ROUNDDOWN(84.7777777777778,0)</f>
      </c>
      <c r="AB1936" s="5">
        <v>9</v>
      </c>
      <c r="AC1936" s="2" t="s">
        <v>100</v>
      </c>
      <c r="AD1936" s="4"/>
      <c r="AE1936" s="4"/>
      <c r="AF1936" s="6">
        <v>65</v>
      </c>
      <c r="AG1936" s="6"/>
      <c r="AH1936" s="7">
        <v>1</v>
      </c>
      <c r="AI1936" s="4"/>
      <c r="AJ1936" s="4">
        <f>=ROUNDDOWN({0},0)</f>
      </c>
      <c r="AK1936" s="5"/>
      <c r="AL1936" s="2" t="s">
        <v>100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/>
      <c r="AW1936" s="8"/>
      <c r="AX1936" s="4"/>
      <c r="AY1936" s="8"/>
      <c r="AZ1936" s="7"/>
      <c r="BA1936" s="7"/>
      <c r="BB1936" s="7"/>
      <c r="BC1936" s="4"/>
      <c r="BD1936" s="8"/>
      <c r="BE1936" s="4"/>
      <c r="BF1936" s="8"/>
      <c r="BG1936" s="7"/>
      <c r="BH1936" s="7"/>
      <c r="BI1936" s="7"/>
      <c r="BJ1936" s="4">
        <v>10</v>
      </c>
      <c r="BK1936" s="8">
        <v>238.48</v>
      </c>
      <c r="BL1936" s="2" t="s">
        <v>543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109</v>
      </c>
      <c r="BV1936" s="2" t="s">
        <v>97</v>
      </c>
      <c r="BW1936" s="2" t="s">
        <v>723</v>
      </c>
      <c r="BX1936" s="2" t="s">
        <v>170</v>
      </c>
      <c r="BY1936" s="2" t="s">
        <v>112</v>
      </c>
      <c r="BZ1936" s="2" t="s">
        <v>100</v>
      </c>
    </row>
    <row r="1937">
      <c r="A1937" s="2" t="s">
        <v>5583</v>
      </c>
      <c r="B1937" s="2" t="s">
        <v>87</v>
      </c>
      <c r="C1937" s="2" t="s">
        <v>5420</v>
      </c>
      <c r="D1937" s="2" t="s">
        <v>3365</v>
      </c>
      <c r="E1937" s="2" t="s">
        <v>4524</v>
      </c>
      <c r="F1937" s="2" t="s">
        <v>5553</v>
      </c>
      <c r="G1937" s="2" t="s">
        <v>5553</v>
      </c>
      <c r="H1937" s="2" t="s">
        <v>5553</v>
      </c>
      <c r="I1937" s="2" t="s">
        <v>5584</v>
      </c>
      <c r="J1937" s="2" t="s">
        <v>4526</v>
      </c>
      <c r="K1937" s="2" t="s">
        <v>1659</v>
      </c>
      <c r="L1937" s="3">
        <v>16</v>
      </c>
      <c r="M1937" s="3">
        <v>16.8</v>
      </c>
      <c r="N1937" s="3">
        <v>39.99</v>
      </c>
      <c r="O1937" s="2" t="s">
        <v>97</v>
      </c>
      <c r="P1937" s="2" t="s">
        <v>98</v>
      </c>
      <c r="Q1937" s="2" t="s">
        <v>99</v>
      </c>
      <c r="R1937" s="2" t="s">
        <v>100</v>
      </c>
      <c r="S1937" s="2" t="s">
        <v>5555</v>
      </c>
      <c r="T1937" s="2" t="s">
        <v>100</v>
      </c>
      <c r="U1937" s="2" t="s">
        <v>100</v>
      </c>
      <c r="V1937" s="2" t="s">
        <v>103</v>
      </c>
      <c r="W1937" s="2" t="s">
        <v>756</v>
      </c>
      <c r="X1937" s="2" t="s">
        <v>976</v>
      </c>
      <c r="Y1937" s="2" t="s">
        <v>131</v>
      </c>
      <c r="Z1937" s="4">
        <v>179</v>
      </c>
      <c r="AA1937" s="4">
        <f>=ROUNDDOWN(22.375,0)</f>
      </c>
      <c r="AB1937" s="5">
        <v>8</v>
      </c>
      <c r="AC1937" s="2" t="s">
        <v>3685</v>
      </c>
      <c r="AD1937" s="4">
        <v>100</v>
      </c>
      <c r="AE1937" s="4">
        <v>320</v>
      </c>
      <c r="AF1937" s="6">
        <v>66</v>
      </c>
      <c r="AG1937" s="6"/>
      <c r="AH1937" s="7">
        <v>1</v>
      </c>
      <c r="AI1937" s="4"/>
      <c r="AJ1937" s="4">
        <f>=ROUNDDOWN({0},0)</f>
      </c>
      <c r="AK1937" s="5"/>
      <c r="AL1937" s="2" t="s">
        <v>100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/>
      <c r="AW1937" s="8"/>
      <c r="AX1937" s="4"/>
      <c r="AY1937" s="8"/>
      <c r="AZ1937" s="7"/>
      <c r="BA1937" s="7"/>
      <c r="BB1937" s="7"/>
      <c r="BC1937" s="4"/>
      <c r="BD1937" s="8"/>
      <c r="BE1937" s="4"/>
      <c r="BF1937" s="8"/>
      <c r="BG1937" s="7"/>
      <c r="BH1937" s="7"/>
      <c r="BI1937" s="7"/>
      <c r="BJ1937" s="4">
        <v>8</v>
      </c>
      <c r="BK1937" s="8">
        <v>130.44</v>
      </c>
      <c r="BL1937" s="2" t="s">
        <v>5585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109</v>
      </c>
      <c r="BV1937" s="2" t="s">
        <v>97</v>
      </c>
      <c r="BW1937" s="2" t="s">
        <v>723</v>
      </c>
      <c r="BX1937" s="2" t="s">
        <v>5558</v>
      </c>
      <c r="BY1937" s="2" t="s">
        <v>112</v>
      </c>
      <c r="BZ1937" s="2" t="s">
        <v>100</v>
      </c>
    </row>
    <row r="1938">
      <c r="A1938" s="2" t="s">
        <v>5586</v>
      </c>
      <c r="B1938" s="2" t="s">
        <v>87</v>
      </c>
      <c r="C1938" s="2" t="s">
        <v>5420</v>
      </c>
      <c r="D1938" s="2" t="s">
        <v>4554</v>
      </c>
      <c r="E1938" s="2" t="s">
        <v>4555</v>
      </c>
      <c r="F1938" s="2" t="s">
        <v>5587</v>
      </c>
      <c r="G1938" s="2" t="s">
        <v>5587</v>
      </c>
      <c r="H1938" s="2" t="s">
        <v>5587</v>
      </c>
      <c r="I1938" s="2" t="s">
        <v>5588</v>
      </c>
      <c r="J1938" s="2" t="s">
        <v>4578</v>
      </c>
      <c r="K1938" s="2" t="s">
        <v>213</v>
      </c>
      <c r="L1938" s="3">
        <v>11.25</v>
      </c>
      <c r="M1938" s="3">
        <v>11.81</v>
      </c>
      <c r="N1938" s="3">
        <v>24.99</v>
      </c>
      <c r="O1938" s="2" t="s">
        <v>97</v>
      </c>
      <c r="P1938" s="2" t="s">
        <v>98</v>
      </c>
      <c r="Q1938" s="2" t="s">
        <v>99</v>
      </c>
      <c r="R1938" s="2" t="s">
        <v>100</v>
      </c>
      <c r="S1938" s="2" t="s">
        <v>100</v>
      </c>
      <c r="T1938" s="2" t="s">
        <v>100</v>
      </c>
      <c r="U1938" s="2" t="s">
        <v>100</v>
      </c>
      <c r="V1938" s="2" t="s">
        <v>5398</v>
      </c>
      <c r="W1938" s="2" t="s">
        <v>756</v>
      </c>
      <c r="X1938" s="2" t="s">
        <v>976</v>
      </c>
      <c r="Y1938" s="2" t="s">
        <v>5589</v>
      </c>
      <c r="Z1938" s="4">
        <v>214</v>
      </c>
      <c r="AA1938" s="4">
        <f>=ROUNDDOWN(10.7,0)</f>
      </c>
      <c r="AB1938" s="5">
        <v>20</v>
      </c>
      <c r="AC1938" s="2" t="s">
        <v>1377</v>
      </c>
      <c r="AD1938" s="4">
        <v>350</v>
      </c>
      <c r="AE1938" s="4">
        <v>750</v>
      </c>
      <c r="AF1938" s="6">
        <v>66</v>
      </c>
      <c r="AG1938" s="6"/>
      <c r="AH1938" s="7">
        <v>1</v>
      </c>
      <c r="AI1938" s="4"/>
      <c r="AJ1938" s="4">
        <f>=ROUNDDOWN({0},0)</f>
      </c>
      <c r="AK1938" s="5"/>
      <c r="AL1938" s="2" t="s">
        <v>100</v>
      </c>
      <c r="AM1938" s="4"/>
      <c r="AN1938" s="4"/>
      <c r="AO1938" s="7">
        <v>0</v>
      </c>
      <c r="AP1938" s="4"/>
      <c r="AQ1938" s="8"/>
      <c r="AR1938" s="4"/>
      <c r="AS1938" s="8"/>
      <c r="AT1938" s="7"/>
      <c r="AU1938" s="7"/>
      <c r="AV1938" s="4"/>
      <c r="AW1938" s="8"/>
      <c r="AX1938" s="4"/>
      <c r="AY1938" s="8"/>
      <c r="AZ1938" s="7"/>
      <c r="BA1938" s="7"/>
      <c r="BB1938" s="7"/>
      <c r="BC1938" s="4"/>
      <c r="BD1938" s="8"/>
      <c r="BE1938" s="4"/>
      <c r="BF1938" s="8"/>
      <c r="BG1938" s="7"/>
      <c r="BH1938" s="7"/>
      <c r="BI1938" s="7"/>
      <c r="BJ1938" s="4">
        <v>13</v>
      </c>
      <c r="BK1938" s="8">
        <v>144.06</v>
      </c>
      <c r="BL1938" s="2" t="s">
        <v>5590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109</v>
      </c>
      <c r="BV1938" s="2" t="s">
        <v>97</v>
      </c>
      <c r="BW1938" s="2" t="s">
        <v>5591</v>
      </c>
      <c r="BX1938" s="2" t="s">
        <v>5302</v>
      </c>
      <c r="BY1938" s="2" t="s">
        <v>112</v>
      </c>
      <c r="BZ1938" s="2" t="s">
        <v>100</v>
      </c>
    </row>
    <row r="1939">
      <c r="A1939" s="2" t="s">
        <v>5592</v>
      </c>
      <c r="B1939" s="2" t="s">
        <v>87</v>
      </c>
      <c r="C1939" s="2" t="s">
        <v>5420</v>
      </c>
      <c r="D1939" s="2" t="s">
        <v>4554</v>
      </c>
      <c r="E1939" s="2" t="s">
        <v>4555</v>
      </c>
      <c r="F1939" s="2" t="s">
        <v>5553</v>
      </c>
      <c r="G1939" s="2" t="s">
        <v>5553</v>
      </c>
      <c r="H1939" s="2" t="s">
        <v>5553</v>
      </c>
      <c r="I1939" s="2" t="s">
        <v>5593</v>
      </c>
      <c r="J1939" s="2" t="s">
        <v>4608</v>
      </c>
      <c r="K1939" s="2" t="s">
        <v>1659</v>
      </c>
      <c r="L1939" s="3">
        <v>22.5</v>
      </c>
      <c r="M1939" s="3">
        <v>23.62</v>
      </c>
      <c r="N1939" s="3">
        <v>44.99</v>
      </c>
      <c r="O1939" s="2" t="s">
        <v>97</v>
      </c>
      <c r="P1939" s="2" t="s">
        <v>447</v>
      </c>
      <c r="Q1939" s="2" t="s">
        <v>99</v>
      </c>
      <c r="R1939" s="2" t="s">
        <v>100</v>
      </c>
      <c r="S1939" s="2" t="s">
        <v>5555</v>
      </c>
      <c r="T1939" s="2" t="s">
        <v>100</v>
      </c>
      <c r="U1939" s="2" t="s">
        <v>100</v>
      </c>
      <c r="V1939" s="2" t="s">
        <v>344</v>
      </c>
      <c r="W1939" s="2" t="s">
        <v>756</v>
      </c>
      <c r="X1939" s="2" t="s">
        <v>976</v>
      </c>
      <c r="Y1939" s="2" t="s">
        <v>131</v>
      </c>
      <c r="Z1939" s="4">
        <v>141</v>
      </c>
      <c r="AA1939" s="4">
        <f>=ROUNDDOWN(23.5,0)</f>
      </c>
      <c r="AB1939" s="5">
        <v>6</v>
      </c>
      <c r="AC1939" s="2" t="s">
        <v>3685</v>
      </c>
      <c r="AD1939" s="4">
        <v>40</v>
      </c>
      <c r="AE1939" s="4">
        <v>150</v>
      </c>
      <c r="AF1939" s="6">
        <v>66</v>
      </c>
      <c r="AG1939" s="6"/>
      <c r="AH1939" s="7">
        <v>1</v>
      </c>
      <c r="AI1939" s="4"/>
      <c r="AJ1939" s="4">
        <f>=ROUNDDOWN({0},0)</f>
      </c>
      <c r="AK1939" s="5"/>
      <c r="AL1939" s="2" t="s">
        <v>100</v>
      </c>
      <c r="AM1939" s="4"/>
      <c r="AN1939" s="4"/>
      <c r="AO1939" s="7">
        <v>0</v>
      </c>
      <c r="AP1939" s="4"/>
      <c r="AQ1939" s="8"/>
      <c r="AR1939" s="4"/>
      <c r="AS1939" s="8"/>
      <c r="AT1939" s="7"/>
      <c r="AU1939" s="7"/>
      <c r="AV1939" s="4"/>
      <c r="AW1939" s="8"/>
      <c r="AX1939" s="4"/>
      <c r="AY1939" s="8"/>
      <c r="AZ1939" s="7"/>
      <c r="BA1939" s="7"/>
      <c r="BB1939" s="7"/>
      <c r="BC1939" s="4"/>
      <c r="BD1939" s="8"/>
      <c r="BE1939" s="4"/>
      <c r="BF1939" s="8"/>
      <c r="BG1939" s="7"/>
      <c r="BH1939" s="7"/>
      <c r="BI1939" s="7"/>
      <c r="BJ1939" s="4">
        <v>6</v>
      </c>
      <c r="BK1939" s="8">
        <v>128.38</v>
      </c>
      <c r="BL1939" s="2" t="s">
        <v>407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109</v>
      </c>
      <c r="BV1939" s="2" t="s">
        <v>97</v>
      </c>
      <c r="BW1939" s="2" t="s">
        <v>723</v>
      </c>
      <c r="BX1939" s="2" t="s">
        <v>5558</v>
      </c>
      <c r="BY1939" s="2" t="s">
        <v>112</v>
      </c>
      <c r="BZ1939" s="2" t="s">
        <v>100</v>
      </c>
    </row>
    <row r="1940">
      <c r="A1940" s="2" t="s">
        <v>5594</v>
      </c>
      <c r="B1940" s="2" t="s">
        <v>87</v>
      </c>
      <c r="C1940" s="2" t="s">
        <v>5420</v>
      </c>
      <c r="D1940" s="2" t="s">
        <v>4554</v>
      </c>
      <c r="E1940" s="2" t="s">
        <v>4555</v>
      </c>
      <c r="F1940" s="2" t="s">
        <v>5595</v>
      </c>
      <c r="G1940" s="2" t="s">
        <v>100</v>
      </c>
      <c r="H1940" s="2" t="s">
        <v>100</v>
      </c>
      <c r="I1940" s="2" t="s">
        <v>5392</v>
      </c>
      <c r="J1940" s="2" t="s">
        <v>5596</v>
      </c>
      <c r="K1940" s="2" t="s">
        <v>1659</v>
      </c>
      <c r="L1940" s="3">
        <v>8.5</v>
      </c>
      <c r="M1940" s="3">
        <v>8.93</v>
      </c>
      <c r="N1940" s="3">
        <v>16.99</v>
      </c>
      <c r="O1940" s="2" t="s">
        <v>1861</v>
      </c>
      <c r="P1940" s="2" t="s">
        <v>447</v>
      </c>
      <c r="Q1940" s="2" t="s">
        <v>99</v>
      </c>
      <c r="R1940" s="2" t="s">
        <v>100</v>
      </c>
      <c r="S1940" s="2" t="s">
        <v>100</v>
      </c>
      <c r="T1940" s="2" t="s">
        <v>100</v>
      </c>
      <c r="U1940" s="2" t="s">
        <v>100</v>
      </c>
      <c r="V1940" s="2" t="s">
        <v>1112</v>
      </c>
      <c r="W1940" s="2" t="s">
        <v>100</v>
      </c>
      <c r="X1940" s="2" t="s">
        <v>100</v>
      </c>
      <c r="Y1940" s="2" t="s">
        <v>5597</v>
      </c>
      <c r="Z1940" s="4"/>
      <c r="AA1940" s="4">
        <f>=ROUNDDOWN({0},0)</f>
      </c>
      <c r="AB1940" s="5"/>
      <c r="AC1940" s="2" t="s">
        <v>100</v>
      </c>
      <c r="AD1940" s="4"/>
      <c r="AE1940" s="4"/>
      <c r="AF1940" s="6"/>
      <c r="AG1940" s="6"/>
      <c r="AH1940" s="7">
        <v>0</v>
      </c>
      <c r="AI1940" s="4"/>
      <c r="AJ1940" s="4">
        <f>=ROUNDDOWN({0},0)</f>
      </c>
      <c r="AK1940" s="5"/>
      <c r="AL1940" s="2" t="s">
        <v>100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/>
      <c r="AW1940" s="8"/>
      <c r="AX1940" s="4"/>
      <c r="AY1940" s="8"/>
      <c r="AZ1940" s="7"/>
      <c r="BA1940" s="7"/>
      <c r="BB1940" s="7"/>
      <c r="BC1940" s="4"/>
      <c r="BD1940" s="8"/>
      <c r="BE1940" s="4"/>
      <c r="BF1940" s="8"/>
      <c r="BG1940" s="7"/>
      <c r="BH1940" s="7"/>
      <c r="BI1940" s="7"/>
      <c r="BJ1940" s="4"/>
      <c r="BK1940" s="8"/>
      <c r="BL1940" s="2" t="s">
        <v>100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1862</v>
      </c>
      <c r="BV1940" s="2" t="s">
        <v>97</v>
      </c>
      <c r="BW1940" s="2" t="s">
        <v>100</v>
      </c>
      <c r="BX1940" s="2" t="s">
        <v>100</v>
      </c>
      <c r="BY1940" s="2" t="s">
        <v>112</v>
      </c>
      <c r="BZ1940" s="2" t="s">
        <v>100</v>
      </c>
    </row>
    <row r="1941">
      <c r="A1941" s="2" t="s">
        <v>5598</v>
      </c>
      <c r="B1941" s="2" t="s">
        <v>87</v>
      </c>
      <c r="C1941" s="2" t="s">
        <v>5599</v>
      </c>
      <c r="D1941" s="2" t="s">
        <v>89</v>
      </c>
      <c r="E1941" s="2" t="s">
        <v>90</v>
      </c>
      <c r="F1941" s="2" t="s">
        <v>1992</v>
      </c>
      <c r="G1941" s="2" t="s">
        <v>5600</v>
      </c>
      <c r="H1941" s="2" t="s">
        <v>1992</v>
      </c>
      <c r="I1941" s="2" t="s">
        <v>5601</v>
      </c>
      <c r="J1941" s="2" t="s">
        <v>114</v>
      </c>
      <c r="K1941" s="2" t="s">
        <v>175</v>
      </c>
      <c r="L1941" s="3">
        <v>148.5</v>
      </c>
      <c r="M1941" s="3">
        <v>155.93</v>
      </c>
      <c r="N1941" s="3">
        <v>329.99</v>
      </c>
      <c r="O1941" s="2" t="s">
        <v>97</v>
      </c>
      <c r="P1941" s="2" t="s">
        <v>242</v>
      </c>
      <c r="Q1941" s="2" t="s">
        <v>99</v>
      </c>
      <c r="R1941" s="2" t="s">
        <v>100</v>
      </c>
      <c r="S1941" s="2" t="s">
        <v>5602</v>
      </c>
      <c r="T1941" s="2" t="s">
        <v>100</v>
      </c>
      <c r="U1941" s="2" t="s">
        <v>283</v>
      </c>
      <c r="V1941" s="2" t="s">
        <v>734</v>
      </c>
      <c r="W1941" s="2" t="s">
        <v>104</v>
      </c>
      <c r="X1941" s="2" t="s">
        <v>5603</v>
      </c>
      <c r="Y1941" s="2" t="s">
        <v>5604</v>
      </c>
      <c r="Z1941" s="4">
        <v>222</v>
      </c>
      <c r="AA1941" s="4">
        <f>=ROUNDDOWN(24.6666666666667,0)</f>
      </c>
      <c r="AB1941" s="5">
        <v>9</v>
      </c>
      <c r="AC1941" s="2" t="s">
        <v>287</v>
      </c>
      <c r="AD1941" s="4">
        <v>50</v>
      </c>
      <c r="AE1941" s="4">
        <v>150</v>
      </c>
      <c r="AF1941" s="6">
        <v>67</v>
      </c>
      <c r="AG1941" s="6"/>
      <c r="AH1941" s="7">
        <v>1</v>
      </c>
      <c r="AI1941" s="4"/>
      <c r="AJ1941" s="4">
        <f>=ROUNDDOWN({0},0)</f>
      </c>
      <c r="AK1941" s="5"/>
      <c r="AL1941" s="2" t="s">
        <v>100</v>
      </c>
      <c r="AM1941" s="4"/>
      <c r="AN1941" s="4"/>
      <c r="AO1941" s="7">
        <v>0</v>
      </c>
      <c r="AP1941" s="4">
        <v>1</v>
      </c>
      <c r="AQ1941" s="8">
        <v>158.81</v>
      </c>
      <c r="AR1941" s="4"/>
      <c r="AS1941" s="8"/>
      <c r="AT1941" s="7"/>
      <c r="AU1941" s="7"/>
      <c r="AV1941" s="4">
        <v>1</v>
      </c>
      <c r="AW1941" s="8">
        <v>158.81</v>
      </c>
      <c r="AX1941" s="4" t="s">
        <v>100</v>
      </c>
      <c r="AY1941" s="8" t="s">
        <v>100</v>
      </c>
      <c r="AZ1941" s="7" t="s">
        <v>100</v>
      </c>
      <c r="BA1941" s="7" t="s">
        <v>100</v>
      </c>
      <c r="BB1941" s="7">
        <v>1</v>
      </c>
      <c r="BC1941" s="4">
        <v>1</v>
      </c>
      <c r="BD1941" s="8">
        <v>158.81</v>
      </c>
      <c r="BE1941" s="4" t="s">
        <v>100</v>
      </c>
      <c r="BF1941" s="8" t="s">
        <v>100</v>
      </c>
      <c r="BG1941" s="7" t="s">
        <v>100</v>
      </c>
      <c r="BH1941" s="7" t="s">
        <v>100</v>
      </c>
      <c r="BI1941" s="7">
        <v>1</v>
      </c>
      <c r="BJ1941" s="4">
        <v>5</v>
      </c>
      <c r="BK1941" s="8">
        <v>809.11</v>
      </c>
      <c r="BL1941" s="2" t="s">
        <v>5605</v>
      </c>
      <c r="BM1941" s="7">
        <v>0.2</v>
      </c>
      <c r="BN1941" s="7">
        <v>0.1963</v>
      </c>
      <c r="BO1941" s="4">
        <v>1</v>
      </c>
      <c r="BP1941" s="8">
        <v>158.81</v>
      </c>
      <c r="BQ1941" s="4"/>
      <c r="BR1941" s="8"/>
      <c r="BS1941" s="7"/>
      <c r="BT1941" s="7"/>
      <c r="BU1941" s="2" t="s">
        <v>109</v>
      </c>
      <c r="BV1941" s="2" t="s">
        <v>97</v>
      </c>
      <c r="BW1941" s="2" t="s">
        <v>270</v>
      </c>
      <c r="BX1941" s="2" t="s">
        <v>2351</v>
      </c>
      <c r="BY1941" s="2" t="s">
        <v>112</v>
      </c>
      <c r="BZ1941" s="2" t="s">
        <v>100</v>
      </c>
    </row>
    <row r="1942">
      <c r="A1942" s="2" t="s">
        <v>5606</v>
      </c>
      <c r="B1942" s="2" t="s">
        <v>87</v>
      </c>
      <c r="C1942" s="2" t="s">
        <v>5599</v>
      </c>
      <c r="D1942" s="2" t="s">
        <v>89</v>
      </c>
      <c r="E1942" s="2" t="s">
        <v>90</v>
      </c>
      <c r="F1942" s="2" t="s">
        <v>1992</v>
      </c>
      <c r="G1942" s="2" t="s">
        <v>5600</v>
      </c>
      <c r="H1942" s="2" t="s">
        <v>1992</v>
      </c>
      <c r="I1942" s="2" t="s">
        <v>5607</v>
      </c>
      <c r="J1942" s="2" t="s">
        <v>120</v>
      </c>
      <c r="K1942" s="2" t="s">
        <v>175</v>
      </c>
      <c r="L1942" s="3">
        <v>171</v>
      </c>
      <c r="M1942" s="3">
        <v>179.55</v>
      </c>
      <c r="N1942" s="3">
        <v>379.99</v>
      </c>
      <c r="O1942" s="2" t="s">
        <v>97</v>
      </c>
      <c r="P1942" s="2" t="s">
        <v>242</v>
      </c>
      <c r="Q1942" s="2" t="s">
        <v>99</v>
      </c>
      <c r="R1942" s="2" t="s">
        <v>100</v>
      </c>
      <c r="S1942" s="2" t="s">
        <v>5602</v>
      </c>
      <c r="T1942" s="2" t="s">
        <v>100</v>
      </c>
      <c r="U1942" s="2" t="s">
        <v>343</v>
      </c>
      <c r="V1942" s="2" t="s">
        <v>734</v>
      </c>
      <c r="W1942" s="2" t="s">
        <v>104</v>
      </c>
      <c r="X1942" s="2" t="s">
        <v>5603</v>
      </c>
      <c r="Y1942" s="2" t="s">
        <v>5604</v>
      </c>
      <c r="Z1942" s="4">
        <v>252</v>
      </c>
      <c r="AA1942" s="4">
        <f>=ROUNDDOWN(21,0)</f>
      </c>
      <c r="AB1942" s="5">
        <v>12</v>
      </c>
      <c r="AC1942" s="2" t="s">
        <v>287</v>
      </c>
      <c r="AD1942" s="4">
        <v>100</v>
      </c>
      <c r="AE1942" s="4">
        <v>200</v>
      </c>
      <c r="AF1942" s="6">
        <v>67</v>
      </c>
      <c r="AG1942" s="6"/>
      <c r="AH1942" s="7">
        <v>1</v>
      </c>
      <c r="AI1942" s="4"/>
      <c r="AJ1942" s="4">
        <f>=ROUNDDOWN({0},0)</f>
      </c>
      <c r="AK1942" s="5"/>
      <c r="AL1942" s="2" t="s">
        <v>100</v>
      </c>
      <c r="AM1942" s="4"/>
      <c r="AN1942" s="4"/>
      <c r="AO1942" s="7">
        <v>0</v>
      </c>
      <c r="AP1942" s="4"/>
      <c r="AQ1942" s="8"/>
      <c r="AR1942" s="4"/>
      <c r="AS1942" s="8"/>
      <c r="AT1942" s="7"/>
      <c r="AU1942" s="7"/>
      <c r="AV1942" s="4" t="s">
        <v>100</v>
      </c>
      <c r="AW1942" s="8" t="s">
        <v>100</v>
      </c>
      <c r="AX1942" s="4" t="s">
        <v>100</v>
      </c>
      <c r="AY1942" s="8" t="s">
        <v>100</v>
      </c>
      <c r="AZ1942" s="7" t="s">
        <v>100</v>
      </c>
      <c r="BA1942" s="7" t="s">
        <v>100</v>
      </c>
      <c r="BB1942" s="7"/>
      <c r="BC1942" s="4" t="s">
        <v>100</v>
      </c>
      <c r="BD1942" s="8" t="s">
        <v>100</v>
      </c>
      <c r="BE1942" s="4" t="s">
        <v>100</v>
      </c>
      <c r="BF1942" s="8" t="s">
        <v>100</v>
      </c>
      <c r="BG1942" s="7" t="s">
        <v>100</v>
      </c>
      <c r="BH1942" s="7" t="s">
        <v>100</v>
      </c>
      <c r="BI1942" s="7" t="s">
        <v>100</v>
      </c>
      <c r="BJ1942" s="4">
        <v>16</v>
      </c>
      <c r="BK1942" s="8">
        <v>3029.79</v>
      </c>
      <c r="BL1942" s="2" t="s">
        <v>5608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109</v>
      </c>
      <c r="BV1942" s="2" t="s">
        <v>97</v>
      </c>
      <c r="BW1942" s="2" t="s">
        <v>270</v>
      </c>
      <c r="BX1942" s="2" t="s">
        <v>141</v>
      </c>
      <c r="BY1942" s="2" t="s">
        <v>112</v>
      </c>
      <c r="BZ1942" s="2" t="s">
        <v>100</v>
      </c>
    </row>
    <row r="1943">
      <c r="A1943" s="2" t="s">
        <v>5609</v>
      </c>
      <c r="B1943" s="2" t="s">
        <v>87</v>
      </c>
      <c r="C1943" s="2" t="s">
        <v>5599</v>
      </c>
      <c r="D1943" s="2" t="s">
        <v>89</v>
      </c>
      <c r="E1943" s="2" t="s">
        <v>90</v>
      </c>
      <c r="F1943" s="2" t="s">
        <v>5610</v>
      </c>
      <c r="G1943" s="2" t="s">
        <v>5610</v>
      </c>
      <c r="H1943" s="2" t="s">
        <v>5610</v>
      </c>
      <c r="I1943" s="2" t="s">
        <v>1860</v>
      </c>
      <c r="J1943" s="2" t="s">
        <v>114</v>
      </c>
      <c r="K1943" s="2" t="s">
        <v>521</v>
      </c>
      <c r="L1943" s="3">
        <v>172.2</v>
      </c>
      <c r="M1943" s="3">
        <v>180.81</v>
      </c>
      <c r="N1943" s="3">
        <v>409.99</v>
      </c>
      <c r="O1943" s="2" t="s">
        <v>97</v>
      </c>
      <c r="P1943" s="2" t="s">
        <v>242</v>
      </c>
      <c r="Q1943" s="2" t="s">
        <v>99</v>
      </c>
      <c r="R1943" s="2" t="s">
        <v>100</v>
      </c>
      <c r="S1943" s="2" t="s">
        <v>5611</v>
      </c>
      <c r="T1943" s="2" t="s">
        <v>100</v>
      </c>
      <c r="U1943" s="2" t="s">
        <v>283</v>
      </c>
      <c r="V1943" s="2" t="s">
        <v>284</v>
      </c>
      <c r="W1943" s="2" t="s">
        <v>345</v>
      </c>
      <c r="X1943" s="2" t="s">
        <v>1778</v>
      </c>
      <c r="Y1943" s="2" t="s">
        <v>5612</v>
      </c>
      <c r="Z1943" s="4">
        <v>199</v>
      </c>
      <c r="AA1943" s="4">
        <f>=ROUNDDOWN(33.1666666666667,0)</f>
      </c>
      <c r="AB1943" s="5">
        <v>6</v>
      </c>
      <c r="AC1943" s="2" t="s">
        <v>107</v>
      </c>
      <c r="AD1943" s="4">
        <v>100</v>
      </c>
      <c r="AE1943" s="4">
        <v>180</v>
      </c>
      <c r="AF1943" s="6">
        <v>67</v>
      </c>
      <c r="AG1943" s="6"/>
      <c r="AH1943" s="7">
        <v>1</v>
      </c>
      <c r="AI1943" s="4"/>
      <c r="AJ1943" s="4">
        <f>=ROUNDDOWN({0},0)</f>
      </c>
      <c r="AK1943" s="5"/>
      <c r="AL1943" s="2" t="s">
        <v>100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 t="s">
        <v>100</v>
      </c>
      <c r="AW1943" s="8" t="s">
        <v>100</v>
      </c>
      <c r="AX1943" s="4" t="s">
        <v>100</v>
      </c>
      <c r="AY1943" s="8" t="s">
        <v>100</v>
      </c>
      <c r="AZ1943" s="7" t="s">
        <v>100</v>
      </c>
      <c r="BA1943" s="7" t="s">
        <v>100</v>
      </c>
      <c r="BB1943" s="7"/>
      <c r="BC1943" s="4" t="s">
        <v>100</v>
      </c>
      <c r="BD1943" s="8" t="s">
        <v>100</v>
      </c>
      <c r="BE1943" s="4" t="s">
        <v>100</v>
      </c>
      <c r="BF1943" s="8" t="s">
        <v>100</v>
      </c>
      <c r="BG1943" s="7" t="s">
        <v>100</v>
      </c>
      <c r="BH1943" s="7" t="s">
        <v>100</v>
      </c>
      <c r="BI1943" s="7"/>
      <c r="BJ1943" s="4">
        <v>4</v>
      </c>
      <c r="BK1943" s="8">
        <v>739.22</v>
      </c>
      <c r="BL1943" s="2" t="s">
        <v>1896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109</v>
      </c>
      <c r="BV1943" s="2" t="s">
        <v>97</v>
      </c>
      <c r="BW1943" s="2" t="s">
        <v>3420</v>
      </c>
      <c r="BX1943" s="2" t="s">
        <v>5613</v>
      </c>
      <c r="BY1943" s="2" t="s">
        <v>112</v>
      </c>
      <c r="BZ1943" s="2" t="s">
        <v>100</v>
      </c>
    </row>
    <row r="1944">
      <c r="A1944" s="2" t="s">
        <v>5614</v>
      </c>
      <c r="B1944" s="2" t="s">
        <v>87</v>
      </c>
      <c r="C1944" s="2" t="s">
        <v>5599</v>
      </c>
      <c r="D1944" s="2" t="s">
        <v>89</v>
      </c>
      <c r="E1944" s="2" t="s">
        <v>90</v>
      </c>
      <c r="F1944" s="2" t="s">
        <v>5610</v>
      </c>
      <c r="G1944" s="2" t="s">
        <v>5610</v>
      </c>
      <c r="H1944" s="2" t="s">
        <v>5610</v>
      </c>
      <c r="I1944" s="2" t="s">
        <v>1860</v>
      </c>
      <c r="J1944" s="2" t="s">
        <v>120</v>
      </c>
      <c r="K1944" s="2" t="s">
        <v>521</v>
      </c>
      <c r="L1944" s="3">
        <v>197.8</v>
      </c>
      <c r="M1944" s="3">
        <v>207.69</v>
      </c>
      <c r="N1944" s="3">
        <v>459.99</v>
      </c>
      <c r="O1944" s="2" t="s">
        <v>97</v>
      </c>
      <c r="P1944" s="2" t="s">
        <v>242</v>
      </c>
      <c r="Q1944" s="2" t="s">
        <v>99</v>
      </c>
      <c r="R1944" s="2" t="s">
        <v>100</v>
      </c>
      <c r="S1944" s="2" t="s">
        <v>5611</v>
      </c>
      <c r="T1944" s="2" t="s">
        <v>100</v>
      </c>
      <c r="U1944" s="2" t="s">
        <v>343</v>
      </c>
      <c r="V1944" s="2" t="s">
        <v>284</v>
      </c>
      <c r="W1944" s="2" t="s">
        <v>345</v>
      </c>
      <c r="X1944" s="2" t="s">
        <v>1778</v>
      </c>
      <c r="Y1944" s="2" t="s">
        <v>5612</v>
      </c>
      <c r="Z1944" s="4">
        <v>112</v>
      </c>
      <c r="AA1944" s="4">
        <f>=ROUNDDOWN(10.1818181818182,0)</f>
      </c>
      <c r="AB1944" s="5">
        <v>11</v>
      </c>
      <c r="AC1944" s="2" t="s">
        <v>107</v>
      </c>
      <c r="AD1944" s="4">
        <v>100</v>
      </c>
      <c r="AE1944" s="4">
        <v>370</v>
      </c>
      <c r="AF1944" s="6">
        <v>67</v>
      </c>
      <c r="AG1944" s="6"/>
      <c r="AH1944" s="7">
        <v>1</v>
      </c>
      <c r="AI1944" s="4"/>
      <c r="AJ1944" s="4">
        <f>=ROUNDDOWN({0},0)</f>
      </c>
      <c r="AK1944" s="5"/>
      <c r="AL1944" s="2" t="s">
        <v>100</v>
      </c>
      <c r="AM1944" s="4"/>
      <c r="AN1944" s="4"/>
      <c r="AO1944" s="7">
        <v>0</v>
      </c>
      <c r="AP1944" s="4"/>
      <c r="AQ1944" s="8"/>
      <c r="AR1944" s="4"/>
      <c r="AS1944" s="8"/>
      <c r="AT1944" s="7"/>
      <c r="AU1944" s="7"/>
      <c r="AV1944" s="4" t="s">
        <v>100</v>
      </c>
      <c r="AW1944" s="8" t="s">
        <v>100</v>
      </c>
      <c r="AX1944" s="4" t="s">
        <v>100</v>
      </c>
      <c r="AY1944" s="8" t="s">
        <v>100</v>
      </c>
      <c r="AZ1944" s="7" t="s">
        <v>100</v>
      </c>
      <c r="BA1944" s="7" t="s">
        <v>100</v>
      </c>
      <c r="BB1944" s="7"/>
      <c r="BC1944" s="4" t="s">
        <v>100</v>
      </c>
      <c r="BD1944" s="8" t="s">
        <v>100</v>
      </c>
      <c r="BE1944" s="4" t="s">
        <v>100</v>
      </c>
      <c r="BF1944" s="8" t="s">
        <v>100</v>
      </c>
      <c r="BG1944" s="7" t="s">
        <v>100</v>
      </c>
      <c r="BH1944" s="7" t="s">
        <v>100</v>
      </c>
      <c r="BI1944" s="7"/>
      <c r="BJ1944" s="4">
        <v>7</v>
      </c>
      <c r="BK1944" s="8">
        <v>1529.74</v>
      </c>
      <c r="BL1944" s="2" t="s">
        <v>5615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109</v>
      </c>
      <c r="BV1944" s="2" t="s">
        <v>97</v>
      </c>
      <c r="BW1944" s="2" t="s">
        <v>2299</v>
      </c>
      <c r="BX1944" s="2" t="s">
        <v>3093</v>
      </c>
      <c r="BY1944" s="2" t="s">
        <v>112</v>
      </c>
      <c r="BZ1944" s="2" t="s">
        <v>100</v>
      </c>
    </row>
    <row r="1945">
      <c r="A1945" s="2" t="s">
        <v>5616</v>
      </c>
      <c r="B1945" s="2" t="s">
        <v>87</v>
      </c>
      <c r="C1945" s="2" t="s">
        <v>5599</v>
      </c>
      <c r="D1945" s="2" t="s">
        <v>89</v>
      </c>
      <c r="E1945" s="2" t="s">
        <v>90</v>
      </c>
      <c r="F1945" s="2" t="s">
        <v>5617</v>
      </c>
      <c r="G1945" s="2" t="s">
        <v>5617</v>
      </c>
      <c r="H1945" s="2" t="s">
        <v>5617</v>
      </c>
      <c r="I1945" s="2" t="s">
        <v>5618</v>
      </c>
      <c r="J1945" s="2" t="s">
        <v>785</v>
      </c>
      <c r="K1945" s="2" t="s">
        <v>5619</v>
      </c>
      <c r="L1945" s="3">
        <v>126</v>
      </c>
      <c r="M1945" s="3">
        <v>132.3</v>
      </c>
      <c r="N1945" s="3">
        <v>299.99</v>
      </c>
      <c r="O1945" s="2" t="s">
        <v>97</v>
      </c>
      <c r="P1945" s="2" t="s">
        <v>447</v>
      </c>
      <c r="Q1945" s="2" t="s">
        <v>99</v>
      </c>
      <c r="R1945" s="2" t="s">
        <v>100</v>
      </c>
      <c r="S1945" s="2" t="s">
        <v>5620</v>
      </c>
      <c r="T1945" s="2" t="s">
        <v>5621</v>
      </c>
      <c r="U1945" s="2" t="s">
        <v>283</v>
      </c>
      <c r="V1945" s="2" t="s">
        <v>805</v>
      </c>
      <c r="W1945" s="2" t="s">
        <v>976</v>
      </c>
      <c r="X1945" s="2" t="s">
        <v>104</v>
      </c>
      <c r="Y1945" s="2" t="s">
        <v>3759</v>
      </c>
      <c r="Z1945" s="4">
        <v>125</v>
      </c>
      <c r="AA1945" s="4">
        <f>=ROUNDDOWN(31.25,0)</f>
      </c>
      <c r="AB1945" s="5">
        <v>4</v>
      </c>
      <c r="AC1945" s="2" t="s">
        <v>100</v>
      </c>
      <c r="AD1945" s="4"/>
      <c r="AE1945" s="4"/>
      <c r="AF1945" s="6">
        <v>67</v>
      </c>
      <c r="AG1945" s="6"/>
      <c r="AH1945" s="7">
        <v>1</v>
      </c>
      <c r="AI1945" s="4"/>
      <c r="AJ1945" s="4">
        <f>=ROUNDDOWN({0},0)</f>
      </c>
      <c r="AK1945" s="5"/>
      <c r="AL1945" s="2" t="s">
        <v>100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 t="s">
        <v>100</v>
      </c>
      <c r="AW1945" s="8" t="s">
        <v>100</v>
      </c>
      <c r="AX1945" s="4" t="s">
        <v>100</v>
      </c>
      <c r="AY1945" s="8" t="s">
        <v>100</v>
      </c>
      <c r="AZ1945" s="7" t="s">
        <v>100</v>
      </c>
      <c r="BA1945" s="7" t="s">
        <v>100</v>
      </c>
      <c r="BB1945" s="7"/>
      <c r="BC1945" s="4" t="s">
        <v>100</v>
      </c>
      <c r="BD1945" s="8" t="s">
        <v>100</v>
      </c>
      <c r="BE1945" s="4" t="s">
        <v>100</v>
      </c>
      <c r="BF1945" s="8" t="s">
        <v>100</v>
      </c>
      <c r="BG1945" s="7" t="s">
        <v>100</v>
      </c>
      <c r="BH1945" s="7" t="s">
        <v>100</v>
      </c>
      <c r="BI1945" s="7"/>
      <c r="BJ1945" s="4">
        <v>4</v>
      </c>
      <c r="BK1945" s="8">
        <v>538.48</v>
      </c>
      <c r="BL1945" s="2" t="s">
        <v>108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109</v>
      </c>
      <c r="BV1945" s="2" t="s">
        <v>97</v>
      </c>
      <c r="BW1945" s="2" t="s">
        <v>1518</v>
      </c>
      <c r="BX1945" s="2" t="s">
        <v>814</v>
      </c>
      <c r="BY1945" s="2" t="s">
        <v>112</v>
      </c>
      <c r="BZ1945" s="2" t="s">
        <v>100</v>
      </c>
    </row>
    <row r="1946">
      <c r="A1946" s="2" t="s">
        <v>5622</v>
      </c>
      <c r="B1946" s="2" t="s">
        <v>87</v>
      </c>
      <c r="C1946" s="2" t="s">
        <v>5599</v>
      </c>
      <c r="D1946" s="2" t="s">
        <v>89</v>
      </c>
      <c r="E1946" s="2" t="s">
        <v>90</v>
      </c>
      <c r="F1946" s="2" t="s">
        <v>5617</v>
      </c>
      <c r="G1946" s="2" t="s">
        <v>5617</v>
      </c>
      <c r="H1946" s="2" t="s">
        <v>5617</v>
      </c>
      <c r="I1946" s="2" t="s">
        <v>5623</v>
      </c>
      <c r="J1946" s="2" t="s">
        <v>795</v>
      </c>
      <c r="K1946" s="2" t="s">
        <v>5619</v>
      </c>
      <c r="L1946" s="3">
        <v>147</v>
      </c>
      <c r="M1946" s="3">
        <v>154.35</v>
      </c>
      <c r="N1946" s="3">
        <v>349.99</v>
      </c>
      <c r="O1946" s="2" t="s">
        <v>97</v>
      </c>
      <c r="P1946" s="2" t="s">
        <v>447</v>
      </c>
      <c r="Q1946" s="2" t="s">
        <v>99</v>
      </c>
      <c r="R1946" s="2" t="s">
        <v>100</v>
      </c>
      <c r="S1946" s="2" t="s">
        <v>5620</v>
      </c>
      <c r="T1946" s="2" t="s">
        <v>5621</v>
      </c>
      <c r="U1946" s="2" t="s">
        <v>343</v>
      </c>
      <c r="V1946" s="2" t="s">
        <v>805</v>
      </c>
      <c r="W1946" s="2" t="s">
        <v>976</v>
      </c>
      <c r="X1946" s="2" t="s">
        <v>104</v>
      </c>
      <c r="Y1946" s="2" t="s">
        <v>3759</v>
      </c>
      <c r="Z1946" s="4">
        <v>128</v>
      </c>
      <c r="AA1946" s="4">
        <f>=ROUNDDOWN(25.6,0)</f>
      </c>
      <c r="AB1946" s="5">
        <v>5</v>
      </c>
      <c r="AC1946" s="2" t="s">
        <v>100</v>
      </c>
      <c r="AD1946" s="4"/>
      <c r="AE1946" s="4"/>
      <c r="AF1946" s="6">
        <v>67</v>
      </c>
      <c r="AG1946" s="6"/>
      <c r="AH1946" s="7">
        <v>1</v>
      </c>
      <c r="AI1946" s="4"/>
      <c r="AJ1946" s="4">
        <f>=ROUNDDOWN({0},0)</f>
      </c>
      <c r="AK1946" s="5"/>
      <c r="AL1946" s="2" t="s">
        <v>100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 t="s">
        <v>100</v>
      </c>
      <c r="AW1946" s="8" t="s">
        <v>100</v>
      </c>
      <c r="AX1946" s="4" t="s">
        <v>100</v>
      </c>
      <c r="AY1946" s="8" t="s">
        <v>100</v>
      </c>
      <c r="AZ1946" s="7" t="s">
        <v>100</v>
      </c>
      <c r="BA1946" s="7" t="s">
        <v>100</v>
      </c>
      <c r="BB1946" s="7"/>
      <c r="BC1946" s="4" t="s">
        <v>100</v>
      </c>
      <c r="BD1946" s="8" t="s">
        <v>100</v>
      </c>
      <c r="BE1946" s="4" t="s">
        <v>100</v>
      </c>
      <c r="BF1946" s="8" t="s">
        <v>100</v>
      </c>
      <c r="BG1946" s="7" t="s">
        <v>100</v>
      </c>
      <c r="BH1946" s="7" t="s">
        <v>100</v>
      </c>
      <c r="BI1946" s="7"/>
      <c r="BJ1946" s="4">
        <v>5</v>
      </c>
      <c r="BK1946" s="8">
        <v>781.02</v>
      </c>
      <c r="BL1946" s="2" t="s">
        <v>5624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109</v>
      </c>
      <c r="BV1946" s="2" t="s">
        <v>97</v>
      </c>
      <c r="BW1946" s="2" t="s">
        <v>1653</v>
      </c>
      <c r="BX1946" s="2" t="s">
        <v>100</v>
      </c>
      <c r="BY1946" s="2" t="s">
        <v>112</v>
      </c>
      <c r="BZ1946" s="2" t="s">
        <v>100</v>
      </c>
    </row>
    <row r="1947">
      <c r="A1947" s="2" t="s">
        <v>5625</v>
      </c>
      <c r="B1947" s="2" t="s">
        <v>87</v>
      </c>
      <c r="C1947" s="2" t="s">
        <v>5599</v>
      </c>
      <c r="D1947" s="2" t="s">
        <v>89</v>
      </c>
      <c r="E1947" s="2" t="s">
        <v>90</v>
      </c>
      <c r="F1947" s="2" t="s">
        <v>5626</v>
      </c>
      <c r="G1947" s="2" t="s">
        <v>5626</v>
      </c>
      <c r="H1947" s="2" t="s">
        <v>5626</v>
      </c>
      <c r="I1947" s="2" t="s">
        <v>5627</v>
      </c>
      <c r="J1947" s="2" t="s">
        <v>114</v>
      </c>
      <c r="K1947" s="2" t="s">
        <v>198</v>
      </c>
      <c r="L1947" s="3">
        <v>193.5</v>
      </c>
      <c r="M1947" s="3">
        <v>203.18</v>
      </c>
      <c r="N1947" s="3">
        <v>429.99</v>
      </c>
      <c r="O1947" s="2" t="s">
        <v>473</v>
      </c>
      <c r="P1947" s="2" t="s">
        <v>447</v>
      </c>
      <c r="Q1947" s="2" t="s">
        <v>99</v>
      </c>
      <c r="R1947" s="2" t="s">
        <v>100</v>
      </c>
      <c r="S1947" s="2" t="s">
        <v>5628</v>
      </c>
      <c r="T1947" s="2" t="s">
        <v>100</v>
      </c>
      <c r="U1947" s="2" t="s">
        <v>283</v>
      </c>
      <c r="V1947" s="2" t="s">
        <v>677</v>
      </c>
      <c r="W1947" s="2" t="s">
        <v>345</v>
      </c>
      <c r="X1947" s="2" t="s">
        <v>5629</v>
      </c>
      <c r="Y1947" s="2" t="s">
        <v>5630</v>
      </c>
      <c r="Z1947" s="4">
        <v>46</v>
      </c>
      <c r="AA1947" s="4">
        <f>=ROUNDDOWN(46,0)</f>
      </c>
      <c r="AB1947" s="5">
        <v>1</v>
      </c>
      <c r="AC1947" s="2" t="s">
        <v>100</v>
      </c>
      <c r="AD1947" s="4"/>
      <c r="AE1947" s="4"/>
      <c r="AF1947" s="6">
        <v>65</v>
      </c>
      <c r="AG1947" s="6"/>
      <c r="AH1947" s="7">
        <v>1</v>
      </c>
      <c r="AI1947" s="4"/>
      <c r="AJ1947" s="4">
        <f>=ROUNDDOWN({0},0)</f>
      </c>
      <c r="AK1947" s="5"/>
      <c r="AL1947" s="2" t="s">
        <v>100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100</v>
      </c>
      <c r="AW1947" s="8" t="s">
        <v>100</v>
      </c>
      <c r="AX1947" s="4" t="s">
        <v>100</v>
      </c>
      <c r="AY1947" s="8" t="s">
        <v>100</v>
      </c>
      <c r="AZ1947" s="7" t="s">
        <v>100</v>
      </c>
      <c r="BA1947" s="7" t="s">
        <v>100</v>
      </c>
      <c r="BB1947" s="7"/>
      <c r="BC1947" s="4" t="s">
        <v>100</v>
      </c>
      <c r="BD1947" s="8" t="s">
        <v>100</v>
      </c>
      <c r="BE1947" s="4" t="s">
        <v>100</v>
      </c>
      <c r="BF1947" s="8" t="s">
        <v>100</v>
      </c>
      <c r="BG1947" s="7" t="s">
        <v>100</v>
      </c>
      <c r="BH1947" s="7" t="s">
        <v>100</v>
      </c>
      <c r="BI1947" s="7"/>
      <c r="BJ1947" s="4"/>
      <c r="BK1947" s="8"/>
      <c r="BL1947" s="2" t="s">
        <v>100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1338</v>
      </c>
      <c r="BV1947" s="2" t="s">
        <v>97</v>
      </c>
      <c r="BW1947" s="2" t="s">
        <v>100</v>
      </c>
      <c r="BX1947" s="2" t="s">
        <v>100</v>
      </c>
      <c r="BY1947" s="2" t="s">
        <v>112</v>
      </c>
      <c r="BZ1947" s="2" t="s">
        <v>100</v>
      </c>
    </row>
    <row r="1948">
      <c r="A1948" s="2" t="s">
        <v>5631</v>
      </c>
      <c r="B1948" s="2" t="s">
        <v>87</v>
      </c>
      <c r="C1948" s="2" t="s">
        <v>5599</v>
      </c>
      <c r="D1948" s="2" t="s">
        <v>89</v>
      </c>
      <c r="E1948" s="2" t="s">
        <v>90</v>
      </c>
      <c r="F1948" s="2" t="s">
        <v>5626</v>
      </c>
      <c r="G1948" s="2" t="s">
        <v>5626</v>
      </c>
      <c r="H1948" s="2" t="s">
        <v>5626</v>
      </c>
      <c r="I1948" s="2" t="s">
        <v>5632</v>
      </c>
      <c r="J1948" s="2" t="s">
        <v>120</v>
      </c>
      <c r="K1948" s="2" t="s">
        <v>198</v>
      </c>
      <c r="L1948" s="3">
        <v>216</v>
      </c>
      <c r="M1948" s="3">
        <v>226.8</v>
      </c>
      <c r="N1948" s="3">
        <v>479.99</v>
      </c>
      <c r="O1948" s="2" t="s">
        <v>473</v>
      </c>
      <c r="P1948" s="2" t="s">
        <v>447</v>
      </c>
      <c r="Q1948" s="2" t="s">
        <v>99</v>
      </c>
      <c r="R1948" s="2" t="s">
        <v>100</v>
      </c>
      <c r="S1948" s="2" t="s">
        <v>5628</v>
      </c>
      <c r="T1948" s="2" t="s">
        <v>100</v>
      </c>
      <c r="U1948" s="2" t="s">
        <v>343</v>
      </c>
      <c r="V1948" s="2" t="s">
        <v>677</v>
      </c>
      <c r="W1948" s="2" t="s">
        <v>345</v>
      </c>
      <c r="X1948" s="2" t="s">
        <v>5629</v>
      </c>
      <c r="Y1948" s="2" t="s">
        <v>5630</v>
      </c>
      <c r="Z1948" s="4">
        <v>180</v>
      </c>
      <c r="AA1948" s="4">
        <f>=ROUNDDOWN(180,0)</f>
      </c>
      <c r="AB1948" s="5">
        <v>1</v>
      </c>
      <c r="AC1948" s="2" t="s">
        <v>100</v>
      </c>
      <c r="AD1948" s="4"/>
      <c r="AE1948" s="4"/>
      <c r="AF1948" s="6">
        <v>65</v>
      </c>
      <c r="AG1948" s="6"/>
      <c r="AH1948" s="7">
        <v>1</v>
      </c>
      <c r="AI1948" s="4"/>
      <c r="AJ1948" s="4">
        <f>=ROUNDDOWN({0},0)</f>
      </c>
      <c r="AK1948" s="5"/>
      <c r="AL1948" s="2" t="s">
        <v>100</v>
      </c>
      <c r="AM1948" s="4"/>
      <c r="AN1948" s="4"/>
      <c r="AO1948" s="7">
        <v>0</v>
      </c>
      <c r="AP1948" s="4"/>
      <c r="AQ1948" s="8"/>
      <c r="AR1948" s="4"/>
      <c r="AS1948" s="8"/>
      <c r="AT1948" s="7"/>
      <c r="AU1948" s="7"/>
      <c r="AV1948" s="4" t="s">
        <v>100</v>
      </c>
      <c r="AW1948" s="8" t="s">
        <v>100</v>
      </c>
      <c r="AX1948" s="4" t="s">
        <v>100</v>
      </c>
      <c r="AY1948" s="8" t="s">
        <v>100</v>
      </c>
      <c r="AZ1948" s="7" t="s">
        <v>100</v>
      </c>
      <c r="BA1948" s="7" t="s">
        <v>100</v>
      </c>
      <c r="BB1948" s="7"/>
      <c r="BC1948" s="4" t="s">
        <v>100</v>
      </c>
      <c r="BD1948" s="8" t="s">
        <v>100</v>
      </c>
      <c r="BE1948" s="4" t="s">
        <v>100</v>
      </c>
      <c r="BF1948" s="8" t="s">
        <v>100</v>
      </c>
      <c r="BG1948" s="7" t="s">
        <v>100</v>
      </c>
      <c r="BH1948" s="7" t="s">
        <v>100</v>
      </c>
      <c r="BI1948" s="7"/>
      <c r="BJ1948" s="4"/>
      <c r="BK1948" s="8"/>
      <c r="BL1948" s="2" t="s">
        <v>100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1338</v>
      </c>
      <c r="BV1948" s="2" t="s">
        <v>97</v>
      </c>
      <c r="BW1948" s="2" t="s">
        <v>100</v>
      </c>
      <c r="BX1948" s="2" t="s">
        <v>100</v>
      </c>
      <c r="BY1948" s="2" t="s">
        <v>112</v>
      </c>
      <c r="BZ1948" s="2" t="s">
        <v>100</v>
      </c>
    </row>
    <row r="1949">
      <c r="A1949" s="2" t="s">
        <v>5633</v>
      </c>
      <c r="B1949" s="2" t="s">
        <v>87</v>
      </c>
      <c r="C1949" s="2" t="s">
        <v>5599</v>
      </c>
      <c r="D1949" s="2" t="s">
        <v>89</v>
      </c>
      <c r="E1949" s="2" t="s">
        <v>90</v>
      </c>
      <c r="F1949" s="2" t="s">
        <v>5634</v>
      </c>
      <c r="G1949" s="2" t="s">
        <v>5634</v>
      </c>
      <c r="H1949" s="2" t="s">
        <v>5634</v>
      </c>
      <c r="I1949" s="2" t="s">
        <v>1860</v>
      </c>
      <c r="J1949" s="2" t="s">
        <v>114</v>
      </c>
      <c r="K1949" s="2" t="s">
        <v>5635</v>
      </c>
      <c r="L1949" s="3">
        <v>150</v>
      </c>
      <c r="M1949" s="3">
        <v>157.5</v>
      </c>
      <c r="N1949" s="3">
        <v>299.99</v>
      </c>
      <c r="O1949" s="2" t="s">
        <v>97</v>
      </c>
      <c r="P1949" s="2" t="s">
        <v>1335</v>
      </c>
      <c r="Q1949" s="2" t="s">
        <v>99</v>
      </c>
      <c r="R1949" s="2" t="s">
        <v>100</v>
      </c>
      <c r="S1949" s="2" t="s">
        <v>100</v>
      </c>
      <c r="T1949" s="2" t="s">
        <v>100</v>
      </c>
      <c r="U1949" s="2" t="s">
        <v>283</v>
      </c>
      <c r="V1949" s="2" t="s">
        <v>5636</v>
      </c>
      <c r="W1949" s="2" t="s">
        <v>100</v>
      </c>
      <c r="X1949" s="2" t="s">
        <v>100</v>
      </c>
      <c r="Y1949" s="2" t="s">
        <v>100</v>
      </c>
      <c r="Z1949" s="4"/>
      <c r="AA1949" s="4">
        <f>=ROUNDDOWN({0},0)</f>
      </c>
      <c r="AB1949" s="5"/>
      <c r="AC1949" s="2" t="s">
        <v>2113</v>
      </c>
      <c r="AD1949" s="4">
        <v>200</v>
      </c>
      <c r="AE1949" s="4">
        <v>200</v>
      </c>
      <c r="AF1949" s="6"/>
      <c r="AG1949" s="6"/>
      <c r="AH1949" s="7">
        <v>0</v>
      </c>
      <c r="AI1949" s="4"/>
      <c r="AJ1949" s="4">
        <f>=ROUNDDOWN({0},0)</f>
      </c>
      <c r="AK1949" s="5"/>
      <c r="AL1949" s="2" t="s">
        <v>100</v>
      </c>
      <c r="AM1949" s="4"/>
      <c r="AN1949" s="4"/>
      <c r="AO1949" s="7">
        <v>0</v>
      </c>
      <c r="AP1949" s="4"/>
      <c r="AQ1949" s="8"/>
      <c r="AR1949" s="4"/>
      <c r="AS1949" s="8"/>
      <c r="AT1949" s="7"/>
      <c r="AU1949" s="7"/>
      <c r="AV1949" s="4" t="s">
        <v>100</v>
      </c>
      <c r="AW1949" s="8" t="s">
        <v>100</v>
      </c>
      <c r="AX1949" s="4" t="s">
        <v>100</v>
      </c>
      <c r="AY1949" s="8" t="s">
        <v>100</v>
      </c>
      <c r="AZ1949" s="7" t="s">
        <v>100</v>
      </c>
      <c r="BA1949" s="7" t="s">
        <v>100</v>
      </c>
      <c r="BB1949" s="7"/>
      <c r="BC1949" s="4" t="s">
        <v>100</v>
      </c>
      <c r="BD1949" s="8" t="s">
        <v>100</v>
      </c>
      <c r="BE1949" s="4" t="s">
        <v>100</v>
      </c>
      <c r="BF1949" s="8" t="s">
        <v>100</v>
      </c>
      <c r="BG1949" s="7" t="s">
        <v>100</v>
      </c>
      <c r="BH1949" s="7" t="s">
        <v>100</v>
      </c>
      <c r="BI1949" s="7"/>
      <c r="BJ1949" s="4"/>
      <c r="BK1949" s="8"/>
      <c r="BL1949" s="2" t="s">
        <v>100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5637</v>
      </c>
      <c r="BV1949" s="2" t="s">
        <v>97</v>
      </c>
      <c r="BW1949" s="2" t="s">
        <v>100</v>
      </c>
      <c r="BX1949" s="2" t="s">
        <v>100</v>
      </c>
      <c r="BY1949" s="2" t="s">
        <v>112</v>
      </c>
      <c r="BZ1949" s="2" t="s">
        <v>100</v>
      </c>
    </row>
    <row r="1950">
      <c r="A1950" s="2" t="s">
        <v>5638</v>
      </c>
      <c r="B1950" s="2" t="s">
        <v>87</v>
      </c>
      <c r="C1950" s="2" t="s">
        <v>5599</v>
      </c>
      <c r="D1950" s="2" t="s">
        <v>89</v>
      </c>
      <c r="E1950" s="2" t="s">
        <v>90</v>
      </c>
      <c r="F1950" s="2" t="s">
        <v>5634</v>
      </c>
      <c r="G1950" s="2" t="s">
        <v>5634</v>
      </c>
      <c r="H1950" s="2" t="s">
        <v>5634</v>
      </c>
      <c r="I1950" s="2" t="s">
        <v>1860</v>
      </c>
      <c r="J1950" s="2" t="s">
        <v>120</v>
      </c>
      <c r="K1950" s="2" t="s">
        <v>5635</v>
      </c>
      <c r="L1950" s="3">
        <v>175</v>
      </c>
      <c r="M1950" s="3">
        <v>183.75</v>
      </c>
      <c r="N1950" s="3">
        <v>349.99</v>
      </c>
      <c r="O1950" s="2" t="s">
        <v>97</v>
      </c>
      <c r="P1950" s="2" t="s">
        <v>1335</v>
      </c>
      <c r="Q1950" s="2" t="s">
        <v>99</v>
      </c>
      <c r="R1950" s="2" t="s">
        <v>100</v>
      </c>
      <c r="S1950" s="2" t="s">
        <v>100</v>
      </c>
      <c r="T1950" s="2" t="s">
        <v>100</v>
      </c>
      <c r="U1950" s="2" t="s">
        <v>343</v>
      </c>
      <c r="V1950" s="2" t="s">
        <v>5636</v>
      </c>
      <c r="W1950" s="2" t="s">
        <v>100</v>
      </c>
      <c r="X1950" s="2" t="s">
        <v>100</v>
      </c>
      <c r="Y1950" s="2" t="s">
        <v>100</v>
      </c>
      <c r="Z1950" s="4"/>
      <c r="AA1950" s="4">
        <f>=ROUNDDOWN({0},0)</f>
      </c>
      <c r="AB1950" s="5"/>
      <c r="AC1950" s="2" t="s">
        <v>2113</v>
      </c>
      <c r="AD1950" s="4">
        <v>300</v>
      </c>
      <c r="AE1950" s="4">
        <v>300</v>
      </c>
      <c r="AF1950" s="6"/>
      <c r="AG1950" s="6"/>
      <c r="AH1950" s="7">
        <v>0</v>
      </c>
      <c r="AI1950" s="4"/>
      <c r="AJ1950" s="4">
        <f>=ROUNDDOWN({0},0)</f>
      </c>
      <c r="AK1950" s="5"/>
      <c r="AL1950" s="2" t="s">
        <v>100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 t="s">
        <v>100</v>
      </c>
      <c r="AW1950" s="8" t="s">
        <v>100</v>
      </c>
      <c r="AX1950" s="4" t="s">
        <v>100</v>
      </c>
      <c r="AY1950" s="8" t="s">
        <v>100</v>
      </c>
      <c r="AZ1950" s="7" t="s">
        <v>100</v>
      </c>
      <c r="BA1950" s="7" t="s">
        <v>100</v>
      </c>
      <c r="BB1950" s="7"/>
      <c r="BC1950" s="4" t="s">
        <v>100</v>
      </c>
      <c r="BD1950" s="8" t="s">
        <v>100</v>
      </c>
      <c r="BE1950" s="4" t="s">
        <v>100</v>
      </c>
      <c r="BF1950" s="8" t="s">
        <v>100</v>
      </c>
      <c r="BG1950" s="7" t="s">
        <v>100</v>
      </c>
      <c r="BH1950" s="7" t="s">
        <v>100</v>
      </c>
      <c r="BI1950" s="7"/>
      <c r="BJ1950" s="4"/>
      <c r="BK1950" s="8"/>
      <c r="BL1950" s="2" t="s">
        <v>100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5637</v>
      </c>
      <c r="BV1950" s="2" t="s">
        <v>97</v>
      </c>
      <c r="BW1950" s="2" t="s">
        <v>100</v>
      </c>
      <c r="BX1950" s="2" t="s">
        <v>100</v>
      </c>
      <c r="BY1950" s="2" t="s">
        <v>112</v>
      </c>
      <c r="BZ1950" s="2" t="s">
        <v>100</v>
      </c>
    </row>
    <row r="1951">
      <c r="A1951" s="2" t="s">
        <v>5639</v>
      </c>
      <c r="B1951" s="2" t="s">
        <v>87</v>
      </c>
      <c r="C1951" s="2" t="s">
        <v>5599</v>
      </c>
      <c r="D1951" s="2" t="s">
        <v>89</v>
      </c>
      <c r="E1951" s="2" t="s">
        <v>90</v>
      </c>
      <c r="F1951" s="2" t="s">
        <v>5640</v>
      </c>
      <c r="G1951" s="2" t="s">
        <v>100</v>
      </c>
      <c r="H1951" s="2" t="s">
        <v>100</v>
      </c>
      <c r="I1951" s="2" t="s">
        <v>1860</v>
      </c>
      <c r="J1951" s="2" t="s">
        <v>114</v>
      </c>
      <c r="K1951" s="2" t="s">
        <v>5621</v>
      </c>
      <c r="L1951" s="3">
        <v>172.2</v>
      </c>
      <c r="M1951" s="3">
        <v>180.81</v>
      </c>
      <c r="N1951" s="3">
        <v>409.99</v>
      </c>
      <c r="O1951" s="2" t="s">
        <v>97</v>
      </c>
      <c r="P1951" s="2" t="s">
        <v>281</v>
      </c>
      <c r="Q1951" s="2" t="s">
        <v>99</v>
      </c>
      <c r="R1951" s="2" t="s">
        <v>100</v>
      </c>
      <c r="S1951" s="2" t="s">
        <v>5641</v>
      </c>
      <c r="T1951" s="2" t="s">
        <v>100</v>
      </c>
      <c r="U1951" s="2" t="s">
        <v>283</v>
      </c>
      <c r="V1951" s="2" t="s">
        <v>805</v>
      </c>
      <c r="W1951" s="2" t="s">
        <v>756</v>
      </c>
      <c r="X1951" s="2" t="s">
        <v>5642</v>
      </c>
      <c r="Y1951" s="2" t="s">
        <v>131</v>
      </c>
      <c r="Z1951" s="4">
        <v>272</v>
      </c>
      <c r="AA1951" s="4">
        <f>=ROUNDDOWN(38.8571428571429,0)</f>
      </c>
      <c r="AB1951" s="5">
        <v>7</v>
      </c>
      <c r="AC1951" s="2" t="s">
        <v>1825</v>
      </c>
      <c r="AD1951" s="4">
        <v>28</v>
      </c>
      <c r="AE1951" s="4">
        <v>180</v>
      </c>
      <c r="AF1951" s="6">
        <v>67</v>
      </c>
      <c r="AG1951" s="6"/>
      <c r="AH1951" s="7">
        <v>1</v>
      </c>
      <c r="AI1951" s="4"/>
      <c r="AJ1951" s="4">
        <f>=ROUNDDOWN({0},0)</f>
      </c>
      <c r="AK1951" s="5"/>
      <c r="AL1951" s="2" t="s">
        <v>100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 t="s">
        <v>100</v>
      </c>
      <c r="AW1951" s="8" t="s">
        <v>100</v>
      </c>
      <c r="AX1951" s="4" t="s">
        <v>100</v>
      </c>
      <c r="AY1951" s="8" t="s">
        <v>100</v>
      </c>
      <c r="AZ1951" s="7" t="s">
        <v>100</v>
      </c>
      <c r="BA1951" s="7" t="s">
        <v>100</v>
      </c>
      <c r="BB1951" s="7"/>
      <c r="BC1951" s="4" t="s">
        <v>100</v>
      </c>
      <c r="BD1951" s="8" t="s">
        <v>100</v>
      </c>
      <c r="BE1951" s="4" t="s">
        <v>100</v>
      </c>
      <c r="BF1951" s="8" t="s">
        <v>100</v>
      </c>
      <c r="BG1951" s="7" t="s">
        <v>100</v>
      </c>
      <c r="BH1951" s="7" t="s">
        <v>100</v>
      </c>
      <c r="BI1951" s="7"/>
      <c r="BJ1951" s="4">
        <v>2</v>
      </c>
      <c r="BK1951" s="8">
        <v>317.06</v>
      </c>
      <c r="BL1951" s="2" t="s">
        <v>133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109</v>
      </c>
      <c r="BV1951" s="2" t="s">
        <v>97</v>
      </c>
      <c r="BW1951" s="2" t="s">
        <v>3420</v>
      </c>
      <c r="BX1951" s="2" t="s">
        <v>5643</v>
      </c>
      <c r="BY1951" s="2" t="s">
        <v>112</v>
      </c>
      <c r="BZ1951" s="2" t="s">
        <v>100</v>
      </c>
    </row>
    <row r="1952">
      <c r="A1952" s="2" t="s">
        <v>5644</v>
      </c>
      <c r="B1952" s="2" t="s">
        <v>87</v>
      </c>
      <c r="C1952" s="2" t="s">
        <v>5599</v>
      </c>
      <c r="D1952" s="2" t="s">
        <v>89</v>
      </c>
      <c r="E1952" s="2" t="s">
        <v>90</v>
      </c>
      <c r="F1952" s="2" t="s">
        <v>5640</v>
      </c>
      <c r="G1952" s="2" t="s">
        <v>100</v>
      </c>
      <c r="H1952" s="2" t="s">
        <v>100</v>
      </c>
      <c r="I1952" s="2" t="s">
        <v>1860</v>
      </c>
      <c r="J1952" s="2" t="s">
        <v>120</v>
      </c>
      <c r="K1952" s="2" t="s">
        <v>5621</v>
      </c>
      <c r="L1952" s="3">
        <v>197.8</v>
      </c>
      <c r="M1952" s="3">
        <v>207.69</v>
      </c>
      <c r="N1952" s="3">
        <v>459.99</v>
      </c>
      <c r="O1952" s="2" t="s">
        <v>97</v>
      </c>
      <c r="P1952" s="2" t="s">
        <v>281</v>
      </c>
      <c r="Q1952" s="2" t="s">
        <v>99</v>
      </c>
      <c r="R1952" s="2" t="s">
        <v>100</v>
      </c>
      <c r="S1952" s="2" t="s">
        <v>5641</v>
      </c>
      <c r="T1952" s="2" t="s">
        <v>100</v>
      </c>
      <c r="U1952" s="2" t="s">
        <v>343</v>
      </c>
      <c r="V1952" s="2" t="s">
        <v>805</v>
      </c>
      <c r="W1952" s="2" t="s">
        <v>756</v>
      </c>
      <c r="X1952" s="2" t="s">
        <v>5642</v>
      </c>
      <c r="Y1952" s="2" t="s">
        <v>131</v>
      </c>
      <c r="Z1952" s="4">
        <v>399</v>
      </c>
      <c r="AA1952" s="4">
        <f>=ROUNDDOWN(33.25,0)</f>
      </c>
      <c r="AB1952" s="5">
        <v>12</v>
      </c>
      <c r="AC1952" s="2" t="s">
        <v>1825</v>
      </c>
      <c r="AD1952" s="4">
        <v>50</v>
      </c>
      <c r="AE1952" s="4">
        <v>170</v>
      </c>
      <c r="AF1952" s="6">
        <v>67</v>
      </c>
      <c r="AG1952" s="6"/>
      <c r="AH1952" s="7">
        <v>1</v>
      </c>
      <c r="AI1952" s="4"/>
      <c r="AJ1952" s="4">
        <f>=ROUNDDOWN({0},0)</f>
      </c>
      <c r="AK1952" s="5"/>
      <c r="AL1952" s="2" t="s">
        <v>100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 t="s">
        <v>100</v>
      </c>
      <c r="AW1952" s="8" t="s">
        <v>100</v>
      </c>
      <c r="AX1952" s="4" t="s">
        <v>100</v>
      </c>
      <c r="AY1952" s="8" t="s">
        <v>100</v>
      </c>
      <c r="AZ1952" s="7" t="s">
        <v>100</v>
      </c>
      <c r="BA1952" s="7" t="s">
        <v>100</v>
      </c>
      <c r="BB1952" s="7"/>
      <c r="BC1952" s="4" t="s">
        <v>100</v>
      </c>
      <c r="BD1952" s="8" t="s">
        <v>100</v>
      </c>
      <c r="BE1952" s="4" t="s">
        <v>100</v>
      </c>
      <c r="BF1952" s="8" t="s">
        <v>100</v>
      </c>
      <c r="BG1952" s="7" t="s">
        <v>100</v>
      </c>
      <c r="BH1952" s="7" t="s">
        <v>100</v>
      </c>
      <c r="BI1952" s="7"/>
      <c r="BJ1952" s="4">
        <v>9</v>
      </c>
      <c r="BK1952" s="8">
        <v>1808.64</v>
      </c>
      <c r="BL1952" s="2" t="s">
        <v>5645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109</v>
      </c>
      <c r="BV1952" s="2" t="s">
        <v>97</v>
      </c>
      <c r="BW1952" s="2" t="s">
        <v>3420</v>
      </c>
      <c r="BX1952" s="2" t="s">
        <v>1364</v>
      </c>
      <c r="BY1952" s="2" t="s">
        <v>112</v>
      </c>
      <c r="BZ1952" s="2" t="s">
        <v>100</v>
      </c>
    </row>
    <row r="1953">
      <c r="A1953" s="2" t="s">
        <v>5646</v>
      </c>
      <c r="B1953" s="2" t="s">
        <v>87</v>
      </c>
      <c r="C1953" s="2" t="s">
        <v>5599</v>
      </c>
      <c r="D1953" s="2" t="s">
        <v>89</v>
      </c>
      <c r="E1953" s="2" t="s">
        <v>90</v>
      </c>
      <c r="F1953" s="2" t="s">
        <v>5647</v>
      </c>
      <c r="G1953" s="2" t="s">
        <v>5647</v>
      </c>
      <c r="H1953" s="2" t="s">
        <v>5647</v>
      </c>
      <c r="I1953" s="2" t="s">
        <v>5648</v>
      </c>
      <c r="J1953" s="2" t="s">
        <v>114</v>
      </c>
      <c r="K1953" s="2" t="s">
        <v>253</v>
      </c>
      <c r="L1953" s="3">
        <v>165</v>
      </c>
      <c r="M1953" s="3">
        <v>173.24</v>
      </c>
      <c r="N1953" s="3">
        <v>329.99</v>
      </c>
      <c r="O1953" s="2" t="s">
        <v>97</v>
      </c>
      <c r="P1953" s="2" t="s">
        <v>1216</v>
      </c>
      <c r="Q1953" s="2" t="s">
        <v>99</v>
      </c>
      <c r="R1953" s="2" t="s">
        <v>100</v>
      </c>
      <c r="S1953" s="2" t="s">
        <v>5649</v>
      </c>
      <c r="T1953" s="2" t="s">
        <v>359</v>
      </c>
      <c r="U1953" s="2" t="s">
        <v>283</v>
      </c>
      <c r="V1953" s="2" t="s">
        <v>805</v>
      </c>
      <c r="W1953" s="2" t="s">
        <v>788</v>
      </c>
      <c r="X1953" s="2" t="s">
        <v>976</v>
      </c>
      <c r="Y1953" s="2" t="s">
        <v>5650</v>
      </c>
      <c r="Z1953" s="4">
        <v>200</v>
      </c>
      <c r="AA1953" s="4">
        <f>=ROUNDDOWN({0},0)</f>
      </c>
      <c r="AB1953" s="5"/>
      <c r="AC1953" s="2" t="s">
        <v>553</v>
      </c>
      <c r="AD1953" s="4">
        <v>160</v>
      </c>
      <c r="AE1953" s="4">
        <v>160</v>
      </c>
      <c r="AF1953" s="6">
        <v>67</v>
      </c>
      <c r="AG1953" s="6"/>
      <c r="AH1953" s="7">
        <v>1</v>
      </c>
      <c r="AI1953" s="4"/>
      <c r="AJ1953" s="4">
        <f>=ROUNDDOWN({0},0)</f>
      </c>
      <c r="AK1953" s="5"/>
      <c r="AL1953" s="2" t="s">
        <v>100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 t="s">
        <v>100</v>
      </c>
      <c r="AW1953" s="8" t="s">
        <v>100</v>
      </c>
      <c r="AX1953" s="4" t="s">
        <v>100</v>
      </c>
      <c r="AY1953" s="8" t="s">
        <v>100</v>
      </c>
      <c r="AZ1953" s="7" t="s">
        <v>100</v>
      </c>
      <c r="BA1953" s="7" t="s">
        <v>100</v>
      </c>
      <c r="BB1953" s="7"/>
      <c r="BC1953" s="4" t="s">
        <v>100</v>
      </c>
      <c r="BD1953" s="8" t="s">
        <v>100</v>
      </c>
      <c r="BE1953" s="4" t="s">
        <v>100</v>
      </c>
      <c r="BF1953" s="8" t="s">
        <v>100</v>
      </c>
      <c r="BG1953" s="7" t="s">
        <v>100</v>
      </c>
      <c r="BH1953" s="7" t="s">
        <v>100</v>
      </c>
      <c r="BI1953" s="7"/>
      <c r="BJ1953" s="4"/>
      <c r="BK1953" s="8"/>
      <c r="BL1953" s="2" t="s">
        <v>100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3088</v>
      </c>
      <c r="BV1953" s="2" t="s">
        <v>97</v>
      </c>
      <c r="BW1953" s="2" t="s">
        <v>100</v>
      </c>
      <c r="BX1953" s="2" t="s">
        <v>100</v>
      </c>
      <c r="BY1953" s="2" t="s">
        <v>112</v>
      </c>
      <c r="BZ1953" s="2" t="s">
        <v>100</v>
      </c>
    </row>
    <row r="1954">
      <c r="A1954" s="2" t="s">
        <v>5651</v>
      </c>
      <c r="B1954" s="2" t="s">
        <v>87</v>
      </c>
      <c r="C1954" s="2" t="s">
        <v>5599</v>
      </c>
      <c r="D1954" s="2" t="s">
        <v>89</v>
      </c>
      <c r="E1954" s="2" t="s">
        <v>90</v>
      </c>
      <c r="F1954" s="2" t="s">
        <v>5647</v>
      </c>
      <c r="G1954" s="2" t="s">
        <v>5647</v>
      </c>
      <c r="H1954" s="2" t="s">
        <v>5647</v>
      </c>
      <c r="I1954" s="2" t="s">
        <v>5648</v>
      </c>
      <c r="J1954" s="2" t="s">
        <v>120</v>
      </c>
      <c r="K1954" s="2" t="s">
        <v>253</v>
      </c>
      <c r="L1954" s="3">
        <v>190</v>
      </c>
      <c r="M1954" s="3">
        <v>199.49</v>
      </c>
      <c r="N1954" s="3">
        <v>379.99</v>
      </c>
      <c r="O1954" s="2" t="s">
        <v>97</v>
      </c>
      <c r="P1954" s="2" t="s">
        <v>1216</v>
      </c>
      <c r="Q1954" s="2" t="s">
        <v>99</v>
      </c>
      <c r="R1954" s="2" t="s">
        <v>100</v>
      </c>
      <c r="S1954" s="2" t="s">
        <v>5649</v>
      </c>
      <c r="T1954" s="2" t="s">
        <v>359</v>
      </c>
      <c r="U1954" s="2" t="s">
        <v>343</v>
      </c>
      <c r="V1954" s="2" t="s">
        <v>805</v>
      </c>
      <c r="W1954" s="2" t="s">
        <v>788</v>
      </c>
      <c r="X1954" s="2" t="s">
        <v>976</v>
      </c>
      <c r="Y1954" s="2" t="s">
        <v>5650</v>
      </c>
      <c r="Z1954" s="4">
        <v>300</v>
      </c>
      <c r="AA1954" s="4">
        <f>=ROUNDDOWN({0},0)</f>
      </c>
      <c r="AB1954" s="5"/>
      <c r="AC1954" s="2" t="s">
        <v>553</v>
      </c>
      <c r="AD1954" s="4">
        <v>240</v>
      </c>
      <c r="AE1954" s="4">
        <v>240</v>
      </c>
      <c r="AF1954" s="6">
        <v>67</v>
      </c>
      <c r="AG1954" s="6"/>
      <c r="AH1954" s="7">
        <v>1</v>
      </c>
      <c r="AI1954" s="4"/>
      <c r="AJ1954" s="4">
        <f>=ROUNDDOWN({0},0)</f>
      </c>
      <c r="AK1954" s="5"/>
      <c r="AL1954" s="2" t="s">
        <v>100</v>
      </c>
      <c r="AM1954" s="4"/>
      <c r="AN1954" s="4"/>
      <c r="AO1954" s="7">
        <v>0</v>
      </c>
      <c r="AP1954" s="4"/>
      <c r="AQ1954" s="8"/>
      <c r="AR1954" s="4"/>
      <c r="AS1954" s="8"/>
      <c r="AT1954" s="7"/>
      <c r="AU1954" s="7"/>
      <c r="AV1954" s="4" t="s">
        <v>100</v>
      </c>
      <c r="AW1954" s="8" t="s">
        <v>100</v>
      </c>
      <c r="AX1954" s="4" t="s">
        <v>100</v>
      </c>
      <c r="AY1954" s="8" t="s">
        <v>100</v>
      </c>
      <c r="AZ1954" s="7" t="s">
        <v>100</v>
      </c>
      <c r="BA1954" s="7" t="s">
        <v>100</v>
      </c>
      <c r="BB1954" s="7"/>
      <c r="BC1954" s="4" t="s">
        <v>100</v>
      </c>
      <c r="BD1954" s="8" t="s">
        <v>100</v>
      </c>
      <c r="BE1954" s="4" t="s">
        <v>100</v>
      </c>
      <c r="BF1954" s="8" t="s">
        <v>100</v>
      </c>
      <c r="BG1954" s="7" t="s">
        <v>100</v>
      </c>
      <c r="BH1954" s="7" t="s">
        <v>100</v>
      </c>
      <c r="BI1954" s="7"/>
      <c r="BJ1954" s="4"/>
      <c r="BK1954" s="8"/>
      <c r="BL1954" s="2" t="s">
        <v>100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3088</v>
      </c>
      <c r="BV1954" s="2" t="s">
        <v>97</v>
      </c>
      <c r="BW1954" s="2" t="s">
        <v>100</v>
      </c>
      <c r="BX1954" s="2" t="s">
        <v>100</v>
      </c>
      <c r="BY1954" s="2" t="s">
        <v>112</v>
      </c>
      <c r="BZ1954" s="2" t="s">
        <v>100</v>
      </c>
    </row>
    <row r="1955">
      <c r="A1955" s="2" t="s">
        <v>5652</v>
      </c>
      <c r="B1955" s="2" t="s">
        <v>87</v>
      </c>
      <c r="C1955" s="2" t="s">
        <v>5599</v>
      </c>
      <c r="D1955" s="2" t="s">
        <v>89</v>
      </c>
      <c r="E1955" s="2" t="s">
        <v>90</v>
      </c>
      <c r="F1955" s="2" t="s">
        <v>5647</v>
      </c>
      <c r="G1955" s="2" t="s">
        <v>5647</v>
      </c>
      <c r="H1955" s="2" t="s">
        <v>5647</v>
      </c>
      <c r="I1955" s="2" t="s">
        <v>5648</v>
      </c>
      <c r="J1955" s="2" t="s">
        <v>114</v>
      </c>
      <c r="K1955" s="2" t="s">
        <v>1263</v>
      </c>
      <c r="L1955" s="3">
        <v>165</v>
      </c>
      <c r="M1955" s="3">
        <v>173.24</v>
      </c>
      <c r="N1955" s="3">
        <v>329.99</v>
      </c>
      <c r="O1955" s="2" t="s">
        <v>97</v>
      </c>
      <c r="P1955" s="2" t="s">
        <v>341</v>
      </c>
      <c r="Q1955" s="2" t="s">
        <v>99</v>
      </c>
      <c r="R1955" s="2" t="s">
        <v>100</v>
      </c>
      <c r="S1955" s="2" t="s">
        <v>5653</v>
      </c>
      <c r="T1955" s="2" t="s">
        <v>359</v>
      </c>
      <c r="U1955" s="2" t="s">
        <v>283</v>
      </c>
      <c r="V1955" s="2" t="s">
        <v>805</v>
      </c>
      <c r="W1955" s="2" t="s">
        <v>3803</v>
      </c>
      <c r="X1955" s="2" t="s">
        <v>976</v>
      </c>
      <c r="Y1955" s="2" t="s">
        <v>4490</v>
      </c>
      <c r="Z1955" s="4">
        <v>735</v>
      </c>
      <c r="AA1955" s="4">
        <f>=ROUNDDOWN(22.96875,0)</f>
      </c>
      <c r="AB1955" s="5">
        <v>32</v>
      </c>
      <c r="AC1955" s="2" t="s">
        <v>3400</v>
      </c>
      <c r="AD1955" s="4">
        <v>200</v>
      </c>
      <c r="AE1955" s="4">
        <v>560</v>
      </c>
      <c r="AF1955" s="6">
        <v>67</v>
      </c>
      <c r="AG1955" s="6">
        <v>50</v>
      </c>
      <c r="AH1955" s="7">
        <v>1</v>
      </c>
      <c r="AI1955" s="4"/>
      <c r="AJ1955" s="4">
        <f>=ROUNDDOWN({0},0)</f>
      </c>
      <c r="AK1955" s="5"/>
      <c r="AL1955" s="2" t="s">
        <v>400</v>
      </c>
      <c r="AM1955" s="4">
        <v>50</v>
      </c>
      <c r="AN1955" s="4">
        <v>250</v>
      </c>
      <c r="AO1955" s="7">
        <v>0</v>
      </c>
      <c r="AP1955" s="4"/>
      <c r="AQ1955" s="8"/>
      <c r="AR1955" s="4"/>
      <c r="AS1955" s="8"/>
      <c r="AT1955" s="7"/>
      <c r="AU1955" s="7"/>
      <c r="AV1955" s="4" t="s">
        <v>100</v>
      </c>
      <c r="AW1955" s="8" t="s">
        <v>100</v>
      </c>
      <c r="AX1955" s="4" t="s">
        <v>100</v>
      </c>
      <c r="AY1955" s="8" t="s">
        <v>100</v>
      </c>
      <c r="AZ1955" s="7" t="s">
        <v>100</v>
      </c>
      <c r="BA1955" s="7" t="s">
        <v>100</v>
      </c>
      <c r="BB1955" s="7"/>
      <c r="BC1955" s="4" t="s">
        <v>100</v>
      </c>
      <c r="BD1955" s="8" t="s">
        <v>100</v>
      </c>
      <c r="BE1955" s="4" t="s">
        <v>100</v>
      </c>
      <c r="BF1955" s="8" t="s">
        <v>100</v>
      </c>
      <c r="BG1955" s="7" t="s">
        <v>100</v>
      </c>
      <c r="BH1955" s="7" t="s">
        <v>100</v>
      </c>
      <c r="BI1955" s="7"/>
      <c r="BJ1955" s="4">
        <v>50</v>
      </c>
      <c r="BK1955" s="8">
        <v>8643.52</v>
      </c>
      <c r="BL1955" s="2" t="s">
        <v>5654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109</v>
      </c>
      <c r="BV1955" s="2" t="s">
        <v>97</v>
      </c>
      <c r="BW1955" s="2" t="s">
        <v>110</v>
      </c>
      <c r="BX1955" s="2" t="s">
        <v>779</v>
      </c>
      <c r="BY1955" s="2" t="s">
        <v>112</v>
      </c>
      <c r="BZ1955" s="2" t="s">
        <v>100</v>
      </c>
    </row>
    <row r="1956">
      <c r="A1956" s="2" t="s">
        <v>5655</v>
      </c>
      <c r="B1956" s="2" t="s">
        <v>87</v>
      </c>
      <c r="C1956" s="2" t="s">
        <v>5599</v>
      </c>
      <c r="D1956" s="2" t="s">
        <v>89</v>
      </c>
      <c r="E1956" s="2" t="s">
        <v>90</v>
      </c>
      <c r="F1956" s="2" t="s">
        <v>5647</v>
      </c>
      <c r="G1956" s="2" t="s">
        <v>5647</v>
      </c>
      <c r="H1956" s="2" t="s">
        <v>5647</v>
      </c>
      <c r="I1956" s="2" t="s">
        <v>5648</v>
      </c>
      <c r="J1956" s="2" t="s">
        <v>120</v>
      </c>
      <c r="K1956" s="2" t="s">
        <v>1263</v>
      </c>
      <c r="L1956" s="3">
        <v>190</v>
      </c>
      <c r="M1956" s="3">
        <v>199.49</v>
      </c>
      <c r="N1956" s="3">
        <v>379.99</v>
      </c>
      <c r="O1956" s="2" t="s">
        <v>97</v>
      </c>
      <c r="P1956" s="2" t="s">
        <v>341</v>
      </c>
      <c r="Q1956" s="2" t="s">
        <v>99</v>
      </c>
      <c r="R1956" s="2" t="s">
        <v>100</v>
      </c>
      <c r="S1956" s="2" t="s">
        <v>5653</v>
      </c>
      <c r="T1956" s="2" t="s">
        <v>359</v>
      </c>
      <c r="U1956" s="2" t="s">
        <v>343</v>
      </c>
      <c r="V1956" s="2" t="s">
        <v>805</v>
      </c>
      <c r="W1956" s="2" t="s">
        <v>3803</v>
      </c>
      <c r="X1956" s="2" t="s">
        <v>976</v>
      </c>
      <c r="Y1956" s="2" t="s">
        <v>4490</v>
      </c>
      <c r="Z1956" s="4">
        <v>913</v>
      </c>
      <c r="AA1956" s="4">
        <f>=ROUNDDOWN(16.6,0)</f>
      </c>
      <c r="AB1956" s="5">
        <v>55</v>
      </c>
      <c r="AC1956" s="2" t="s">
        <v>3400</v>
      </c>
      <c r="AD1956" s="4">
        <v>320</v>
      </c>
      <c r="AE1956" s="4">
        <v>1040</v>
      </c>
      <c r="AF1956" s="6">
        <v>67</v>
      </c>
      <c r="AG1956" s="6">
        <v>50</v>
      </c>
      <c r="AH1956" s="7">
        <v>1</v>
      </c>
      <c r="AI1956" s="4"/>
      <c r="AJ1956" s="4">
        <f>=ROUNDDOWN({0},0)</f>
      </c>
      <c r="AK1956" s="5"/>
      <c r="AL1956" s="2" t="s">
        <v>400</v>
      </c>
      <c r="AM1956" s="4">
        <v>100</v>
      </c>
      <c r="AN1956" s="4">
        <v>340</v>
      </c>
      <c r="AO1956" s="7">
        <v>0</v>
      </c>
      <c r="AP1956" s="4"/>
      <c r="AQ1956" s="8"/>
      <c r="AR1956" s="4"/>
      <c r="AS1956" s="8"/>
      <c r="AT1956" s="7"/>
      <c r="AU1956" s="7"/>
      <c r="AV1956" s="4" t="s">
        <v>100</v>
      </c>
      <c r="AW1956" s="8" t="s">
        <v>100</v>
      </c>
      <c r="AX1956" s="4" t="s">
        <v>100</v>
      </c>
      <c r="AY1956" s="8" t="s">
        <v>100</v>
      </c>
      <c r="AZ1956" s="7" t="s">
        <v>100</v>
      </c>
      <c r="BA1956" s="7" t="s">
        <v>100</v>
      </c>
      <c r="BB1956" s="7"/>
      <c r="BC1956" s="4" t="s">
        <v>100</v>
      </c>
      <c r="BD1956" s="8" t="s">
        <v>100</v>
      </c>
      <c r="BE1956" s="4" t="s">
        <v>100</v>
      </c>
      <c r="BF1956" s="8" t="s">
        <v>100</v>
      </c>
      <c r="BG1956" s="7" t="s">
        <v>100</v>
      </c>
      <c r="BH1956" s="7" t="s">
        <v>100</v>
      </c>
      <c r="BI1956" s="7"/>
      <c r="BJ1956" s="4">
        <v>52</v>
      </c>
      <c r="BK1956" s="8">
        <v>10271.43</v>
      </c>
      <c r="BL1956" s="2" t="s">
        <v>5656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109</v>
      </c>
      <c r="BV1956" s="2" t="s">
        <v>97</v>
      </c>
      <c r="BW1956" s="2" t="s">
        <v>110</v>
      </c>
      <c r="BX1956" s="2" t="s">
        <v>902</v>
      </c>
      <c r="BY1956" s="2" t="s">
        <v>112</v>
      </c>
      <c r="BZ1956" s="2" t="s">
        <v>100</v>
      </c>
    </row>
    <row r="1957">
      <c r="A1957" s="2" t="s">
        <v>5657</v>
      </c>
      <c r="B1957" s="2" t="s">
        <v>87</v>
      </c>
      <c r="C1957" s="2" t="s">
        <v>5599</v>
      </c>
      <c r="D1957" s="2" t="s">
        <v>89</v>
      </c>
      <c r="E1957" s="2" t="s">
        <v>90</v>
      </c>
      <c r="F1957" s="2" t="s">
        <v>5647</v>
      </c>
      <c r="G1957" s="2" t="s">
        <v>5647</v>
      </c>
      <c r="H1957" s="2" t="s">
        <v>5647</v>
      </c>
      <c r="I1957" s="2" t="s">
        <v>5648</v>
      </c>
      <c r="J1957" s="2" t="s">
        <v>114</v>
      </c>
      <c r="K1957" s="2" t="s">
        <v>198</v>
      </c>
      <c r="L1957" s="3">
        <v>165</v>
      </c>
      <c r="M1957" s="3">
        <v>173.24</v>
      </c>
      <c r="N1957" s="3">
        <v>329.99</v>
      </c>
      <c r="O1957" s="2" t="s">
        <v>97</v>
      </c>
      <c r="P1957" s="2" t="s">
        <v>341</v>
      </c>
      <c r="Q1957" s="2" t="s">
        <v>99</v>
      </c>
      <c r="R1957" s="2" t="s">
        <v>100</v>
      </c>
      <c r="S1957" s="2" t="s">
        <v>5658</v>
      </c>
      <c r="T1957" s="2" t="s">
        <v>359</v>
      </c>
      <c r="U1957" s="2" t="s">
        <v>283</v>
      </c>
      <c r="V1957" s="2" t="s">
        <v>805</v>
      </c>
      <c r="W1957" s="2" t="s">
        <v>788</v>
      </c>
      <c r="X1957" s="2" t="s">
        <v>976</v>
      </c>
      <c r="Y1957" s="2" t="s">
        <v>5659</v>
      </c>
      <c r="Z1957" s="4">
        <v>647</v>
      </c>
      <c r="AA1957" s="4">
        <f>=ROUNDDOWN(17.9722222222222,0)</f>
      </c>
      <c r="AB1957" s="5">
        <v>36</v>
      </c>
      <c r="AC1957" s="2" t="s">
        <v>3400</v>
      </c>
      <c r="AD1957" s="4">
        <v>120</v>
      </c>
      <c r="AE1957" s="4">
        <v>1020</v>
      </c>
      <c r="AF1957" s="6">
        <v>67</v>
      </c>
      <c r="AG1957" s="6"/>
      <c r="AH1957" s="7">
        <v>1</v>
      </c>
      <c r="AI1957" s="4"/>
      <c r="AJ1957" s="4">
        <f>=ROUNDDOWN({0},0)</f>
      </c>
      <c r="AK1957" s="5"/>
      <c r="AL1957" s="2" t="s">
        <v>100</v>
      </c>
      <c r="AM1957" s="4"/>
      <c r="AN1957" s="4"/>
      <c r="AO1957" s="7">
        <v>0</v>
      </c>
      <c r="AP1957" s="4"/>
      <c r="AQ1957" s="8"/>
      <c r="AR1957" s="4"/>
      <c r="AS1957" s="8"/>
      <c r="AT1957" s="7"/>
      <c r="AU1957" s="7"/>
      <c r="AV1957" s="4" t="s">
        <v>100</v>
      </c>
      <c r="AW1957" s="8" t="s">
        <v>100</v>
      </c>
      <c r="AX1957" s="4" t="s">
        <v>100</v>
      </c>
      <c r="AY1957" s="8" t="s">
        <v>100</v>
      </c>
      <c r="AZ1957" s="7" t="s">
        <v>100</v>
      </c>
      <c r="BA1957" s="7" t="s">
        <v>100</v>
      </c>
      <c r="BB1957" s="7"/>
      <c r="BC1957" s="4" t="s">
        <v>100</v>
      </c>
      <c r="BD1957" s="8" t="s">
        <v>100</v>
      </c>
      <c r="BE1957" s="4" t="s">
        <v>100</v>
      </c>
      <c r="BF1957" s="8" t="s">
        <v>100</v>
      </c>
      <c r="BG1957" s="7" t="s">
        <v>100</v>
      </c>
      <c r="BH1957" s="7" t="s">
        <v>100</v>
      </c>
      <c r="BI1957" s="7"/>
      <c r="BJ1957" s="4">
        <v>21</v>
      </c>
      <c r="BK1957" s="8">
        <v>3747.07</v>
      </c>
      <c r="BL1957" s="2" t="s">
        <v>5660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109</v>
      </c>
      <c r="BV1957" s="2" t="s">
        <v>97</v>
      </c>
      <c r="BW1957" s="2" t="s">
        <v>1518</v>
      </c>
      <c r="BX1957" s="2" t="s">
        <v>100</v>
      </c>
      <c r="BY1957" s="2" t="s">
        <v>112</v>
      </c>
      <c r="BZ1957" s="2" t="s">
        <v>100</v>
      </c>
    </row>
    <row r="1958">
      <c r="A1958" s="2" t="s">
        <v>5661</v>
      </c>
      <c r="B1958" s="2" t="s">
        <v>87</v>
      </c>
      <c r="C1958" s="2" t="s">
        <v>5599</v>
      </c>
      <c r="D1958" s="2" t="s">
        <v>89</v>
      </c>
      <c r="E1958" s="2" t="s">
        <v>90</v>
      </c>
      <c r="F1958" s="2" t="s">
        <v>5647</v>
      </c>
      <c r="G1958" s="2" t="s">
        <v>5647</v>
      </c>
      <c r="H1958" s="2" t="s">
        <v>5647</v>
      </c>
      <c r="I1958" s="2" t="s">
        <v>5648</v>
      </c>
      <c r="J1958" s="2" t="s">
        <v>120</v>
      </c>
      <c r="K1958" s="2" t="s">
        <v>198</v>
      </c>
      <c r="L1958" s="3">
        <v>190</v>
      </c>
      <c r="M1958" s="3">
        <v>199.49</v>
      </c>
      <c r="N1958" s="3">
        <v>379.99</v>
      </c>
      <c r="O1958" s="2" t="s">
        <v>97</v>
      </c>
      <c r="P1958" s="2" t="s">
        <v>341</v>
      </c>
      <c r="Q1958" s="2" t="s">
        <v>99</v>
      </c>
      <c r="R1958" s="2" t="s">
        <v>100</v>
      </c>
      <c r="S1958" s="2" t="s">
        <v>5658</v>
      </c>
      <c r="T1958" s="2" t="s">
        <v>359</v>
      </c>
      <c r="U1958" s="2" t="s">
        <v>343</v>
      </c>
      <c r="V1958" s="2" t="s">
        <v>805</v>
      </c>
      <c r="W1958" s="2" t="s">
        <v>788</v>
      </c>
      <c r="X1958" s="2" t="s">
        <v>976</v>
      </c>
      <c r="Y1958" s="2" t="s">
        <v>5659</v>
      </c>
      <c r="Z1958" s="4">
        <v>335</v>
      </c>
      <c r="AA1958" s="4">
        <f>=ROUNDDOWN(5.40322580645161,0)</f>
      </c>
      <c r="AB1958" s="5">
        <v>62</v>
      </c>
      <c r="AC1958" s="2" t="s">
        <v>3400</v>
      </c>
      <c r="AD1958" s="4">
        <v>300</v>
      </c>
      <c r="AE1958" s="4">
        <v>1900</v>
      </c>
      <c r="AF1958" s="6">
        <v>67</v>
      </c>
      <c r="AG1958" s="6"/>
      <c r="AH1958" s="7">
        <v>1</v>
      </c>
      <c r="AI1958" s="4"/>
      <c r="AJ1958" s="4">
        <f>=ROUNDDOWN({0},0)</f>
      </c>
      <c r="AK1958" s="5"/>
      <c r="AL1958" s="2" t="s">
        <v>100</v>
      </c>
      <c r="AM1958" s="4"/>
      <c r="AN1958" s="4"/>
      <c r="AO1958" s="7">
        <v>0</v>
      </c>
      <c r="AP1958" s="4"/>
      <c r="AQ1958" s="8"/>
      <c r="AR1958" s="4"/>
      <c r="AS1958" s="8"/>
      <c r="AT1958" s="7"/>
      <c r="AU1958" s="7"/>
      <c r="AV1958" s="4" t="s">
        <v>100</v>
      </c>
      <c r="AW1958" s="8" t="s">
        <v>100</v>
      </c>
      <c r="AX1958" s="4" t="s">
        <v>100</v>
      </c>
      <c r="AY1958" s="8" t="s">
        <v>100</v>
      </c>
      <c r="AZ1958" s="7" t="s">
        <v>100</v>
      </c>
      <c r="BA1958" s="7" t="s">
        <v>100</v>
      </c>
      <c r="BB1958" s="7"/>
      <c r="BC1958" s="4" t="s">
        <v>100</v>
      </c>
      <c r="BD1958" s="8" t="s">
        <v>100</v>
      </c>
      <c r="BE1958" s="4" t="s">
        <v>100</v>
      </c>
      <c r="BF1958" s="8" t="s">
        <v>100</v>
      </c>
      <c r="BG1958" s="7" t="s">
        <v>100</v>
      </c>
      <c r="BH1958" s="7" t="s">
        <v>100</v>
      </c>
      <c r="BI1958" s="7"/>
      <c r="BJ1958" s="4">
        <v>45</v>
      </c>
      <c r="BK1958" s="8">
        <v>9652.23</v>
      </c>
      <c r="BL1958" s="2" t="s">
        <v>5662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109</v>
      </c>
      <c r="BV1958" s="2" t="s">
        <v>97</v>
      </c>
      <c r="BW1958" s="2" t="s">
        <v>1518</v>
      </c>
      <c r="BX1958" s="2" t="s">
        <v>823</v>
      </c>
      <c r="BY1958" s="2" t="s">
        <v>112</v>
      </c>
      <c r="BZ1958" s="2" t="s">
        <v>100</v>
      </c>
    </row>
    <row r="1959">
      <c r="A1959" s="2" t="s">
        <v>5663</v>
      </c>
      <c r="B1959" s="2" t="s">
        <v>87</v>
      </c>
      <c r="C1959" s="2" t="s">
        <v>5599</v>
      </c>
      <c r="D1959" s="2" t="s">
        <v>89</v>
      </c>
      <c r="E1959" s="2" t="s">
        <v>90</v>
      </c>
      <c r="F1959" s="2" t="s">
        <v>3803</v>
      </c>
      <c r="G1959" s="2" t="s">
        <v>100</v>
      </c>
      <c r="H1959" s="2" t="s">
        <v>100</v>
      </c>
      <c r="I1959" s="2" t="s">
        <v>1860</v>
      </c>
      <c r="J1959" s="2" t="s">
        <v>114</v>
      </c>
      <c r="K1959" s="2" t="s">
        <v>253</v>
      </c>
      <c r="L1959" s="3">
        <v>139.5</v>
      </c>
      <c r="M1959" s="3">
        <v>146.48</v>
      </c>
      <c r="N1959" s="3">
        <v>309.99</v>
      </c>
      <c r="O1959" s="2" t="s">
        <v>97</v>
      </c>
      <c r="P1959" s="2" t="s">
        <v>587</v>
      </c>
      <c r="Q1959" s="2" t="s">
        <v>99</v>
      </c>
      <c r="R1959" s="2" t="s">
        <v>100</v>
      </c>
      <c r="S1959" s="2" t="s">
        <v>5664</v>
      </c>
      <c r="T1959" s="2" t="s">
        <v>100</v>
      </c>
      <c r="U1959" s="2" t="s">
        <v>283</v>
      </c>
      <c r="V1959" s="2" t="s">
        <v>805</v>
      </c>
      <c r="W1959" s="2" t="s">
        <v>788</v>
      </c>
      <c r="X1959" s="2" t="s">
        <v>1627</v>
      </c>
      <c r="Y1959" s="2" t="s">
        <v>5665</v>
      </c>
      <c r="Z1959" s="4">
        <v>147</v>
      </c>
      <c r="AA1959" s="4">
        <f>=ROUNDDOWN(18.375,0)</f>
      </c>
      <c r="AB1959" s="5">
        <v>8</v>
      </c>
      <c r="AC1959" s="2" t="s">
        <v>400</v>
      </c>
      <c r="AD1959" s="4">
        <v>110</v>
      </c>
      <c r="AE1959" s="4">
        <v>110</v>
      </c>
      <c r="AF1959" s="6">
        <v>67</v>
      </c>
      <c r="AG1959" s="6"/>
      <c r="AH1959" s="7">
        <v>1</v>
      </c>
      <c r="AI1959" s="4"/>
      <c r="AJ1959" s="4">
        <f>=ROUNDDOWN({0},0)</f>
      </c>
      <c r="AK1959" s="5"/>
      <c r="AL1959" s="2" t="s">
        <v>100</v>
      </c>
      <c r="AM1959" s="4"/>
      <c r="AN1959" s="4"/>
      <c r="AO1959" s="7">
        <v>0</v>
      </c>
      <c r="AP1959" s="4"/>
      <c r="AQ1959" s="8"/>
      <c r="AR1959" s="4"/>
      <c r="AS1959" s="8"/>
      <c r="AT1959" s="7"/>
      <c r="AU1959" s="7"/>
      <c r="AV1959" s="4" t="s">
        <v>100</v>
      </c>
      <c r="AW1959" s="8" t="s">
        <v>100</v>
      </c>
      <c r="AX1959" s="4" t="s">
        <v>100</v>
      </c>
      <c r="AY1959" s="8" t="s">
        <v>100</v>
      </c>
      <c r="AZ1959" s="7" t="s">
        <v>100</v>
      </c>
      <c r="BA1959" s="7" t="s">
        <v>100</v>
      </c>
      <c r="BB1959" s="7"/>
      <c r="BC1959" s="4" t="s">
        <v>100</v>
      </c>
      <c r="BD1959" s="8" t="s">
        <v>100</v>
      </c>
      <c r="BE1959" s="4" t="s">
        <v>100</v>
      </c>
      <c r="BF1959" s="8" t="s">
        <v>100</v>
      </c>
      <c r="BG1959" s="7" t="s">
        <v>100</v>
      </c>
      <c r="BH1959" s="7" t="s">
        <v>100</v>
      </c>
      <c r="BI1959" s="7"/>
      <c r="BJ1959" s="4">
        <v>8</v>
      </c>
      <c r="BK1959" s="8">
        <v>1115.75</v>
      </c>
      <c r="BL1959" s="2" t="s">
        <v>5666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109</v>
      </c>
      <c r="BV1959" s="2" t="s">
        <v>97</v>
      </c>
      <c r="BW1959" s="2" t="s">
        <v>3420</v>
      </c>
      <c r="BX1959" s="2" t="s">
        <v>5159</v>
      </c>
      <c r="BY1959" s="2" t="s">
        <v>112</v>
      </c>
      <c r="BZ1959" s="2" t="s">
        <v>100</v>
      </c>
    </row>
    <row r="1960">
      <c r="A1960" s="2" t="s">
        <v>5667</v>
      </c>
      <c r="B1960" s="2" t="s">
        <v>87</v>
      </c>
      <c r="C1960" s="2" t="s">
        <v>5599</v>
      </c>
      <c r="D1960" s="2" t="s">
        <v>89</v>
      </c>
      <c r="E1960" s="2" t="s">
        <v>90</v>
      </c>
      <c r="F1960" s="2" t="s">
        <v>3803</v>
      </c>
      <c r="G1960" s="2" t="s">
        <v>100</v>
      </c>
      <c r="H1960" s="2" t="s">
        <v>100</v>
      </c>
      <c r="I1960" s="2" t="s">
        <v>1860</v>
      </c>
      <c r="J1960" s="2" t="s">
        <v>120</v>
      </c>
      <c r="K1960" s="2" t="s">
        <v>253</v>
      </c>
      <c r="L1960" s="3">
        <v>180</v>
      </c>
      <c r="M1960" s="3">
        <v>189</v>
      </c>
      <c r="N1960" s="3">
        <v>359.99</v>
      </c>
      <c r="O1960" s="2" t="s">
        <v>97</v>
      </c>
      <c r="P1960" s="2" t="s">
        <v>587</v>
      </c>
      <c r="Q1960" s="2" t="s">
        <v>99</v>
      </c>
      <c r="R1960" s="2" t="s">
        <v>100</v>
      </c>
      <c r="S1960" s="2" t="s">
        <v>5664</v>
      </c>
      <c r="T1960" s="2" t="s">
        <v>100</v>
      </c>
      <c r="U1960" s="2" t="s">
        <v>343</v>
      </c>
      <c r="V1960" s="2" t="s">
        <v>805</v>
      </c>
      <c r="W1960" s="2" t="s">
        <v>788</v>
      </c>
      <c r="X1960" s="2" t="s">
        <v>1627</v>
      </c>
      <c r="Y1960" s="2" t="s">
        <v>5665</v>
      </c>
      <c r="Z1960" s="4">
        <v>79</v>
      </c>
      <c r="AA1960" s="4">
        <f>=ROUNDDOWN(8.77777777777778,0)</f>
      </c>
      <c r="AB1960" s="5">
        <v>9</v>
      </c>
      <c r="AC1960" s="2" t="s">
        <v>400</v>
      </c>
      <c r="AD1960" s="4">
        <v>120</v>
      </c>
      <c r="AE1960" s="4">
        <v>120</v>
      </c>
      <c r="AF1960" s="6">
        <v>67</v>
      </c>
      <c r="AG1960" s="6"/>
      <c r="AH1960" s="7">
        <v>1</v>
      </c>
      <c r="AI1960" s="4"/>
      <c r="AJ1960" s="4">
        <f>=ROUNDDOWN({0},0)</f>
      </c>
      <c r="AK1960" s="5"/>
      <c r="AL1960" s="2" t="s">
        <v>100</v>
      </c>
      <c r="AM1960" s="4"/>
      <c r="AN1960" s="4"/>
      <c r="AO1960" s="7">
        <v>0</v>
      </c>
      <c r="AP1960" s="4"/>
      <c r="AQ1960" s="8"/>
      <c r="AR1960" s="4"/>
      <c r="AS1960" s="8"/>
      <c r="AT1960" s="7"/>
      <c r="AU1960" s="7"/>
      <c r="AV1960" s="4" t="s">
        <v>100</v>
      </c>
      <c r="AW1960" s="8" t="s">
        <v>100</v>
      </c>
      <c r="AX1960" s="4" t="s">
        <v>100</v>
      </c>
      <c r="AY1960" s="8" t="s">
        <v>100</v>
      </c>
      <c r="AZ1960" s="7" t="s">
        <v>100</v>
      </c>
      <c r="BA1960" s="7" t="s">
        <v>100</v>
      </c>
      <c r="BB1960" s="7"/>
      <c r="BC1960" s="4" t="s">
        <v>100</v>
      </c>
      <c r="BD1960" s="8" t="s">
        <v>100</v>
      </c>
      <c r="BE1960" s="4" t="s">
        <v>100</v>
      </c>
      <c r="BF1960" s="8" t="s">
        <v>100</v>
      </c>
      <c r="BG1960" s="7" t="s">
        <v>100</v>
      </c>
      <c r="BH1960" s="7" t="s">
        <v>100</v>
      </c>
      <c r="BI1960" s="7"/>
      <c r="BJ1960" s="4">
        <v>5</v>
      </c>
      <c r="BK1960" s="8">
        <v>1091.63</v>
      </c>
      <c r="BL1960" s="2" t="s">
        <v>5668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109</v>
      </c>
      <c r="BV1960" s="2" t="s">
        <v>97</v>
      </c>
      <c r="BW1960" s="2" t="s">
        <v>3420</v>
      </c>
      <c r="BX1960" s="2" t="s">
        <v>5669</v>
      </c>
      <c r="BY1960" s="2" t="s">
        <v>112</v>
      </c>
      <c r="BZ1960" s="2" t="s">
        <v>100</v>
      </c>
    </row>
    <row r="1961">
      <c r="A1961" s="2" t="s">
        <v>5670</v>
      </c>
      <c r="B1961" s="2" t="s">
        <v>87</v>
      </c>
      <c r="C1961" s="2" t="s">
        <v>5599</v>
      </c>
      <c r="D1961" s="2" t="s">
        <v>89</v>
      </c>
      <c r="E1961" s="2" t="s">
        <v>90</v>
      </c>
      <c r="F1961" s="2" t="s">
        <v>5671</v>
      </c>
      <c r="G1961" s="2" t="s">
        <v>5671</v>
      </c>
      <c r="H1961" s="2" t="s">
        <v>5671</v>
      </c>
      <c r="I1961" s="2" t="s">
        <v>5672</v>
      </c>
      <c r="J1961" s="2" t="s">
        <v>120</v>
      </c>
      <c r="K1961" s="2" t="s">
        <v>96</v>
      </c>
      <c r="L1961" s="3">
        <v>197.59</v>
      </c>
      <c r="M1961" s="3">
        <v>207.47</v>
      </c>
      <c r="N1961" s="3">
        <v>379.99</v>
      </c>
      <c r="O1961" s="2" t="s">
        <v>1715</v>
      </c>
      <c r="P1961" s="2" t="s">
        <v>447</v>
      </c>
      <c r="Q1961" s="2" t="s">
        <v>99</v>
      </c>
      <c r="R1961" s="2" t="s">
        <v>100</v>
      </c>
      <c r="S1961" s="2" t="s">
        <v>5673</v>
      </c>
      <c r="T1961" s="2" t="s">
        <v>100</v>
      </c>
      <c r="U1961" s="2" t="s">
        <v>343</v>
      </c>
      <c r="V1961" s="2" t="s">
        <v>284</v>
      </c>
      <c r="W1961" s="2" t="s">
        <v>105</v>
      </c>
      <c r="X1961" s="2" t="s">
        <v>100</v>
      </c>
      <c r="Y1961" s="2" t="s">
        <v>5674</v>
      </c>
      <c r="Z1961" s="4">
        <v>57</v>
      </c>
      <c r="AA1961" s="4">
        <f>=ROUNDDOWN(81.4285714285714,0)</f>
      </c>
      <c r="AB1961" s="5">
        <v>0.7</v>
      </c>
      <c r="AC1961" s="2" t="s">
        <v>100</v>
      </c>
      <c r="AD1961" s="4"/>
      <c r="AE1961" s="4"/>
      <c r="AF1961" s="6">
        <v>67</v>
      </c>
      <c r="AG1961" s="6"/>
      <c r="AH1961" s="7">
        <v>1</v>
      </c>
      <c r="AI1961" s="4"/>
      <c r="AJ1961" s="4">
        <f>=ROUNDDOWN({0},0)</f>
      </c>
      <c r="AK1961" s="5"/>
      <c r="AL1961" s="2" t="s">
        <v>100</v>
      </c>
      <c r="AM1961" s="4"/>
      <c r="AN1961" s="4"/>
      <c r="AO1961" s="7">
        <v>0</v>
      </c>
      <c r="AP1961" s="4"/>
      <c r="AQ1961" s="8"/>
      <c r="AR1961" s="4"/>
      <c r="AS1961" s="8"/>
      <c r="AT1961" s="7"/>
      <c r="AU1961" s="7"/>
      <c r="AV1961" s="4"/>
      <c r="AW1961" s="8"/>
      <c r="AX1961" s="4"/>
      <c r="AY1961" s="8"/>
      <c r="AZ1961" s="7"/>
      <c r="BA1961" s="7"/>
      <c r="BB1961" s="7"/>
      <c r="BC1961" s="4"/>
      <c r="BD1961" s="8"/>
      <c r="BE1961" s="4"/>
      <c r="BF1961" s="8"/>
      <c r="BG1961" s="7"/>
      <c r="BH1961" s="7"/>
      <c r="BI1961" s="7"/>
      <c r="BJ1961" s="4"/>
      <c r="BK1961" s="8"/>
      <c r="BL1961" s="2" t="s">
        <v>100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1338</v>
      </c>
      <c r="BV1961" s="2" t="s">
        <v>97</v>
      </c>
      <c r="BW1961" s="2" t="s">
        <v>100</v>
      </c>
      <c r="BX1961" s="2" t="s">
        <v>100</v>
      </c>
      <c r="BY1961" s="2" t="s">
        <v>112</v>
      </c>
      <c r="BZ1961" s="2" t="s">
        <v>100</v>
      </c>
    </row>
    <row r="1962">
      <c r="A1962" s="2" t="s">
        <v>5675</v>
      </c>
      <c r="B1962" s="2" t="s">
        <v>87</v>
      </c>
      <c r="C1962" s="2" t="s">
        <v>5599</v>
      </c>
      <c r="D1962" s="2" t="s">
        <v>89</v>
      </c>
      <c r="E1962" s="2" t="s">
        <v>90</v>
      </c>
      <c r="F1962" s="2" t="s">
        <v>5676</v>
      </c>
      <c r="G1962" s="2" t="s">
        <v>100</v>
      </c>
      <c r="H1962" s="2" t="s">
        <v>100</v>
      </c>
      <c r="I1962" s="2" t="s">
        <v>1860</v>
      </c>
      <c r="J1962" s="2" t="s">
        <v>114</v>
      </c>
      <c r="K1962" s="2" t="s">
        <v>213</v>
      </c>
      <c r="L1962" s="3">
        <v>172.2</v>
      </c>
      <c r="M1962" s="3">
        <v>180.81</v>
      </c>
      <c r="N1962" s="3">
        <v>409.99</v>
      </c>
      <c r="O1962" s="2" t="s">
        <v>97</v>
      </c>
      <c r="P1962" s="2" t="s">
        <v>447</v>
      </c>
      <c r="Q1962" s="2" t="s">
        <v>99</v>
      </c>
      <c r="R1962" s="2" t="s">
        <v>100</v>
      </c>
      <c r="S1962" s="2" t="s">
        <v>5677</v>
      </c>
      <c r="T1962" s="2" t="s">
        <v>100</v>
      </c>
      <c r="U1962" s="2" t="s">
        <v>283</v>
      </c>
      <c r="V1962" s="2" t="s">
        <v>1265</v>
      </c>
      <c r="W1962" s="2" t="s">
        <v>1240</v>
      </c>
      <c r="X1962" s="2" t="s">
        <v>5678</v>
      </c>
      <c r="Y1962" s="2" t="s">
        <v>1824</v>
      </c>
      <c r="Z1962" s="4">
        <v>203</v>
      </c>
      <c r="AA1962" s="4">
        <f>=ROUNDDOWN(40.6,0)</f>
      </c>
      <c r="AB1962" s="5">
        <v>5</v>
      </c>
      <c r="AC1962" s="2" t="s">
        <v>615</v>
      </c>
      <c r="AD1962" s="4">
        <v>50</v>
      </c>
      <c r="AE1962" s="4">
        <v>50</v>
      </c>
      <c r="AF1962" s="6">
        <v>67</v>
      </c>
      <c r="AG1962" s="6"/>
      <c r="AH1962" s="7">
        <v>1</v>
      </c>
      <c r="AI1962" s="4"/>
      <c r="AJ1962" s="4">
        <f>=ROUNDDOWN({0},0)</f>
      </c>
      <c r="AK1962" s="5"/>
      <c r="AL1962" s="2" t="s">
        <v>100</v>
      </c>
      <c r="AM1962" s="4"/>
      <c r="AN1962" s="4"/>
      <c r="AO1962" s="7">
        <v>0</v>
      </c>
      <c r="AP1962" s="4"/>
      <c r="AQ1962" s="8"/>
      <c r="AR1962" s="4"/>
      <c r="AS1962" s="8"/>
      <c r="AT1962" s="7"/>
      <c r="AU1962" s="7"/>
      <c r="AV1962" s="4" t="s">
        <v>100</v>
      </c>
      <c r="AW1962" s="8" t="s">
        <v>100</v>
      </c>
      <c r="AX1962" s="4" t="s">
        <v>100</v>
      </c>
      <c r="AY1962" s="8" t="s">
        <v>100</v>
      </c>
      <c r="AZ1962" s="7" t="s">
        <v>100</v>
      </c>
      <c r="BA1962" s="7" t="s">
        <v>100</v>
      </c>
      <c r="BB1962" s="7"/>
      <c r="BC1962" s="4" t="s">
        <v>100</v>
      </c>
      <c r="BD1962" s="8" t="s">
        <v>100</v>
      </c>
      <c r="BE1962" s="4" t="s">
        <v>100</v>
      </c>
      <c r="BF1962" s="8" t="s">
        <v>100</v>
      </c>
      <c r="BG1962" s="7" t="s">
        <v>100</v>
      </c>
      <c r="BH1962" s="7" t="s">
        <v>100</v>
      </c>
      <c r="BI1962" s="7"/>
      <c r="BJ1962" s="4">
        <v>1</v>
      </c>
      <c r="BK1962" s="8">
        <v>185.98</v>
      </c>
      <c r="BL1962" s="2" t="s">
        <v>1310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109</v>
      </c>
      <c r="BV1962" s="2" t="s">
        <v>97</v>
      </c>
      <c r="BW1962" s="2" t="s">
        <v>3420</v>
      </c>
      <c r="BX1962" s="2" t="s">
        <v>3353</v>
      </c>
      <c r="BY1962" s="2" t="s">
        <v>112</v>
      </c>
      <c r="BZ1962" s="2" t="s">
        <v>100</v>
      </c>
    </row>
    <row r="1963">
      <c r="A1963" s="2" t="s">
        <v>5679</v>
      </c>
      <c r="B1963" s="2" t="s">
        <v>87</v>
      </c>
      <c r="C1963" s="2" t="s">
        <v>5599</v>
      </c>
      <c r="D1963" s="2" t="s">
        <v>89</v>
      </c>
      <c r="E1963" s="2" t="s">
        <v>90</v>
      </c>
      <c r="F1963" s="2" t="s">
        <v>5676</v>
      </c>
      <c r="G1963" s="2" t="s">
        <v>100</v>
      </c>
      <c r="H1963" s="2" t="s">
        <v>100</v>
      </c>
      <c r="I1963" s="2" t="s">
        <v>1860</v>
      </c>
      <c r="J1963" s="2" t="s">
        <v>120</v>
      </c>
      <c r="K1963" s="2" t="s">
        <v>213</v>
      </c>
      <c r="L1963" s="3">
        <v>202.4</v>
      </c>
      <c r="M1963" s="3">
        <v>212.52</v>
      </c>
      <c r="N1963" s="3">
        <v>459.99</v>
      </c>
      <c r="O1963" s="2" t="s">
        <v>97</v>
      </c>
      <c r="P1963" s="2" t="s">
        <v>447</v>
      </c>
      <c r="Q1963" s="2" t="s">
        <v>99</v>
      </c>
      <c r="R1963" s="2" t="s">
        <v>100</v>
      </c>
      <c r="S1963" s="2" t="s">
        <v>5677</v>
      </c>
      <c r="T1963" s="2" t="s">
        <v>100</v>
      </c>
      <c r="U1963" s="2" t="s">
        <v>343</v>
      </c>
      <c r="V1963" s="2" t="s">
        <v>1265</v>
      </c>
      <c r="W1963" s="2" t="s">
        <v>1240</v>
      </c>
      <c r="X1963" s="2" t="s">
        <v>5678</v>
      </c>
      <c r="Y1963" s="2" t="s">
        <v>1824</v>
      </c>
      <c r="Z1963" s="4">
        <v>173</v>
      </c>
      <c r="AA1963" s="4">
        <f>=ROUNDDOWN(17.3,0)</f>
      </c>
      <c r="AB1963" s="5">
        <v>10</v>
      </c>
      <c r="AC1963" s="2" t="s">
        <v>583</v>
      </c>
      <c r="AD1963" s="4">
        <v>150</v>
      </c>
      <c r="AE1963" s="4">
        <v>300</v>
      </c>
      <c r="AF1963" s="6">
        <v>67</v>
      </c>
      <c r="AG1963" s="6"/>
      <c r="AH1963" s="7">
        <v>1</v>
      </c>
      <c r="AI1963" s="4"/>
      <c r="AJ1963" s="4">
        <f>=ROUNDDOWN({0},0)</f>
      </c>
      <c r="AK1963" s="5"/>
      <c r="AL1963" s="2" t="s">
        <v>100</v>
      </c>
      <c r="AM1963" s="4"/>
      <c r="AN1963" s="4"/>
      <c r="AO1963" s="7">
        <v>0</v>
      </c>
      <c r="AP1963" s="4"/>
      <c r="AQ1963" s="8"/>
      <c r="AR1963" s="4"/>
      <c r="AS1963" s="8"/>
      <c r="AT1963" s="7"/>
      <c r="AU1963" s="7"/>
      <c r="AV1963" s="4" t="s">
        <v>100</v>
      </c>
      <c r="AW1963" s="8" t="s">
        <v>100</v>
      </c>
      <c r="AX1963" s="4" t="s">
        <v>100</v>
      </c>
      <c r="AY1963" s="8" t="s">
        <v>100</v>
      </c>
      <c r="AZ1963" s="7" t="s">
        <v>100</v>
      </c>
      <c r="BA1963" s="7" t="s">
        <v>100</v>
      </c>
      <c r="BB1963" s="7"/>
      <c r="BC1963" s="4" t="s">
        <v>100</v>
      </c>
      <c r="BD1963" s="8" t="s">
        <v>100</v>
      </c>
      <c r="BE1963" s="4" t="s">
        <v>100</v>
      </c>
      <c r="BF1963" s="8" t="s">
        <v>100</v>
      </c>
      <c r="BG1963" s="7" t="s">
        <v>100</v>
      </c>
      <c r="BH1963" s="7" t="s">
        <v>100</v>
      </c>
      <c r="BI1963" s="7"/>
      <c r="BJ1963" s="4">
        <v>1</v>
      </c>
      <c r="BK1963" s="8">
        <v>212.51</v>
      </c>
      <c r="BL1963" s="2" t="s">
        <v>1882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109</v>
      </c>
      <c r="BV1963" s="2" t="s">
        <v>97</v>
      </c>
      <c r="BW1963" s="2" t="s">
        <v>3420</v>
      </c>
      <c r="BX1963" s="2" t="s">
        <v>3348</v>
      </c>
      <c r="BY1963" s="2" t="s">
        <v>112</v>
      </c>
      <c r="BZ1963" s="2" t="s">
        <v>100</v>
      </c>
    </row>
    <row r="1964">
      <c r="A1964" s="2" t="s">
        <v>5680</v>
      </c>
      <c r="B1964" s="2" t="s">
        <v>87</v>
      </c>
      <c r="C1964" s="2" t="s">
        <v>5599</v>
      </c>
      <c r="D1964" s="2" t="s">
        <v>89</v>
      </c>
      <c r="E1964" s="2" t="s">
        <v>90</v>
      </c>
      <c r="F1964" s="2" t="s">
        <v>5681</v>
      </c>
      <c r="G1964" s="2" t="s">
        <v>5681</v>
      </c>
      <c r="H1964" s="2" t="s">
        <v>5681</v>
      </c>
      <c r="I1964" s="2" t="s">
        <v>5682</v>
      </c>
      <c r="J1964" s="2" t="s">
        <v>114</v>
      </c>
      <c r="K1964" s="2" t="s">
        <v>146</v>
      </c>
      <c r="L1964" s="3">
        <v>171.59</v>
      </c>
      <c r="M1964" s="3">
        <v>180.17</v>
      </c>
      <c r="N1964" s="3">
        <v>329.99</v>
      </c>
      <c r="O1964" s="2" t="s">
        <v>97</v>
      </c>
      <c r="P1964" s="2" t="s">
        <v>447</v>
      </c>
      <c r="Q1964" s="2" t="s">
        <v>99</v>
      </c>
      <c r="R1964" s="2" t="s">
        <v>100</v>
      </c>
      <c r="S1964" s="2" t="s">
        <v>5683</v>
      </c>
      <c r="T1964" s="2" t="s">
        <v>100</v>
      </c>
      <c r="U1964" s="2" t="s">
        <v>283</v>
      </c>
      <c r="V1964" s="2" t="s">
        <v>284</v>
      </c>
      <c r="W1964" s="2" t="s">
        <v>1240</v>
      </c>
      <c r="X1964" s="2" t="s">
        <v>104</v>
      </c>
      <c r="Y1964" s="2" t="s">
        <v>3336</v>
      </c>
      <c r="Z1964" s="4">
        <v>14</v>
      </c>
      <c r="AA1964" s="4">
        <f>=ROUNDDOWN(4.66666666666667,0)</f>
      </c>
      <c r="AB1964" s="5">
        <v>3</v>
      </c>
      <c r="AC1964" s="2" t="s">
        <v>100</v>
      </c>
      <c r="AD1964" s="4"/>
      <c r="AE1964" s="4"/>
      <c r="AF1964" s="6">
        <v>67</v>
      </c>
      <c r="AG1964" s="6"/>
      <c r="AH1964" s="7">
        <v>1</v>
      </c>
      <c r="AI1964" s="4"/>
      <c r="AJ1964" s="4">
        <f>=ROUNDDOWN({0},0)</f>
      </c>
      <c r="AK1964" s="5"/>
      <c r="AL1964" s="2" t="s">
        <v>100</v>
      </c>
      <c r="AM1964" s="4"/>
      <c r="AN1964" s="4"/>
      <c r="AO1964" s="7">
        <v>0</v>
      </c>
      <c r="AP1964" s="4"/>
      <c r="AQ1964" s="8"/>
      <c r="AR1964" s="4"/>
      <c r="AS1964" s="8"/>
      <c r="AT1964" s="7"/>
      <c r="AU1964" s="7"/>
      <c r="AV1964" s="4" t="s">
        <v>100</v>
      </c>
      <c r="AW1964" s="8" t="s">
        <v>100</v>
      </c>
      <c r="AX1964" s="4" t="s">
        <v>100</v>
      </c>
      <c r="AY1964" s="8" t="s">
        <v>100</v>
      </c>
      <c r="AZ1964" s="7" t="s">
        <v>100</v>
      </c>
      <c r="BA1964" s="7" t="s">
        <v>100</v>
      </c>
      <c r="BB1964" s="7"/>
      <c r="BC1964" s="4" t="s">
        <v>100</v>
      </c>
      <c r="BD1964" s="8" t="s">
        <v>100</v>
      </c>
      <c r="BE1964" s="4" t="s">
        <v>100</v>
      </c>
      <c r="BF1964" s="8" t="s">
        <v>100</v>
      </c>
      <c r="BG1964" s="7" t="s">
        <v>100</v>
      </c>
      <c r="BH1964" s="7" t="s">
        <v>100</v>
      </c>
      <c r="BI1964" s="7"/>
      <c r="BJ1964" s="4"/>
      <c r="BK1964" s="8"/>
      <c r="BL1964" s="2" t="s">
        <v>100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109</v>
      </c>
      <c r="BV1964" s="2" t="s">
        <v>97</v>
      </c>
      <c r="BW1964" s="2" t="s">
        <v>266</v>
      </c>
      <c r="BX1964" s="2" t="s">
        <v>3061</v>
      </c>
      <c r="BY1964" s="2" t="s">
        <v>112</v>
      </c>
      <c r="BZ1964" s="2" t="s">
        <v>100</v>
      </c>
    </row>
    <row r="1965">
      <c r="A1965" s="2" t="s">
        <v>5684</v>
      </c>
      <c r="B1965" s="2" t="s">
        <v>87</v>
      </c>
      <c r="C1965" s="2" t="s">
        <v>5599</v>
      </c>
      <c r="D1965" s="2" t="s">
        <v>89</v>
      </c>
      <c r="E1965" s="2" t="s">
        <v>90</v>
      </c>
      <c r="F1965" s="2" t="s">
        <v>5681</v>
      </c>
      <c r="G1965" s="2" t="s">
        <v>5681</v>
      </c>
      <c r="H1965" s="2" t="s">
        <v>5681</v>
      </c>
      <c r="I1965" s="2" t="s">
        <v>5685</v>
      </c>
      <c r="J1965" s="2" t="s">
        <v>120</v>
      </c>
      <c r="K1965" s="2" t="s">
        <v>146</v>
      </c>
      <c r="L1965" s="3">
        <v>197.59</v>
      </c>
      <c r="M1965" s="3">
        <v>207.47</v>
      </c>
      <c r="N1965" s="3">
        <v>379.99</v>
      </c>
      <c r="O1965" s="2" t="s">
        <v>97</v>
      </c>
      <c r="P1965" s="2" t="s">
        <v>447</v>
      </c>
      <c r="Q1965" s="2" t="s">
        <v>99</v>
      </c>
      <c r="R1965" s="2" t="s">
        <v>100</v>
      </c>
      <c r="S1965" s="2" t="s">
        <v>5683</v>
      </c>
      <c r="T1965" s="2" t="s">
        <v>100</v>
      </c>
      <c r="U1965" s="2" t="s">
        <v>343</v>
      </c>
      <c r="V1965" s="2" t="s">
        <v>284</v>
      </c>
      <c r="W1965" s="2" t="s">
        <v>1240</v>
      </c>
      <c r="X1965" s="2" t="s">
        <v>104</v>
      </c>
      <c r="Y1965" s="2" t="s">
        <v>3336</v>
      </c>
      <c r="Z1965" s="4">
        <v>83</v>
      </c>
      <c r="AA1965" s="4">
        <f>=ROUNDDOWN(13.8333333333333,0)</f>
      </c>
      <c r="AB1965" s="5">
        <v>6</v>
      </c>
      <c r="AC1965" s="2" t="s">
        <v>100</v>
      </c>
      <c r="AD1965" s="4"/>
      <c r="AE1965" s="4"/>
      <c r="AF1965" s="6">
        <v>67</v>
      </c>
      <c r="AG1965" s="6"/>
      <c r="AH1965" s="7">
        <v>1</v>
      </c>
      <c r="AI1965" s="4"/>
      <c r="AJ1965" s="4">
        <f>=ROUNDDOWN({0},0)</f>
      </c>
      <c r="AK1965" s="5"/>
      <c r="AL1965" s="2" t="s">
        <v>100</v>
      </c>
      <c r="AM1965" s="4"/>
      <c r="AN1965" s="4"/>
      <c r="AO1965" s="7">
        <v>0</v>
      </c>
      <c r="AP1965" s="4"/>
      <c r="AQ1965" s="8"/>
      <c r="AR1965" s="4"/>
      <c r="AS1965" s="8"/>
      <c r="AT1965" s="7"/>
      <c r="AU1965" s="7"/>
      <c r="AV1965" s="4" t="s">
        <v>100</v>
      </c>
      <c r="AW1965" s="8" t="s">
        <v>100</v>
      </c>
      <c r="AX1965" s="4" t="s">
        <v>100</v>
      </c>
      <c r="AY1965" s="8" t="s">
        <v>100</v>
      </c>
      <c r="AZ1965" s="7" t="s">
        <v>100</v>
      </c>
      <c r="BA1965" s="7" t="s">
        <v>100</v>
      </c>
      <c r="BB1965" s="7"/>
      <c r="BC1965" s="4" t="s">
        <v>100</v>
      </c>
      <c r="BD1965" s="8" t="s">
        <v>100</v>
      </c>
      <c r="BE1965" s="4" t="s">
        <v>100</v>
      </c>
      <c r="BF1965" s="8" t="s">
        <v>100</v>
      </c>
      <c r="BG1965" s="7" t="s">
        <v>100</v>
      </c>
      <c r="BH1965" s="7" t="s">
        <v>100</v>
      </c>
      <c r="BI1965" s="7"/>
      <c r="BJ1965" s="4">
        <v>1</v>
      </c>
      <c r="BK1965" s="8">
        <v>163.65</v>
      </c>
      <c r="BL1965" s="2" t="s">
        <v>133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109</v>
      </c>
      <c r="BV1965" s="2" t="s">
        <v>97</v>
      </c>
      <c r="BW1965" s="2" t="s">
        <v>266</v>
      </c>
      <c r="BX1965" s="2" t="s">
        <v>1933</v>
      </c>
      <c r="BY1965" s="2" t="s">
        <v>112</v>
      </c>
      <c r="BZ1965" s="2" t="s">
        <v>100</v>
      </c>
    </row>
    <row r="1966">
      <c r="A1966" s="2" t="s">
        <v>5686</v>
      </c>
      <c r="B1966" s="2" t="s">
        <v>87</v>
      </c>
      <c r="C1966" s="2" t="s">
        <v>5599</v>
      </c>
      <c r="D1966" s="2" t="s">
        <v>89</v>
      </c>
      <c r="E1966" s="2" t="s">
        <v>90</v>
      </c>
      <c r="F1966" s="2" t="s">
        <v>5687</v>
      </c>
      <c r="G1966" s="2" t="s">
        <v>5687</v>
      </c>
      <c r="H1966" s="2" t="s">
        <v>5687</v>
      </c>
      <c r="I1966" s="2" t="s">
        <v>5688</v>
      </c>
      <c r="J1966" s="2" t="s">
        <v>785</v>
      </c>
      <c r="K1966" s="2" t="s">
        <v>253</v>
      </c>
      <c r="L1966" s="3">
        <v>150</v>
      </c>
      <c r="M1966" s="3">
        <v>157.5</v>
      </c>
      <c r="N1966" s="3">
        <v>299.99</v>
      </c>
      <c r="O1966" s="2" t="s">
        <v>97</v>
      </c>
      <c r="P1966" s="2" t="s">
        <v>1216</v>
      </c>
      <c r="Q1966" s="2" t="s">
        <v>99</v>
      </c>
      <c r="R1966" s="2" t="s">
        <v>100</v>
      </c>
      <c r="S1966" s="2" t="s">
        <v>5689</v>
      </c>
      <c r="T1966" s="2" t="s">
        <v>359</v>
      </c>
      <c r="U1966" s="2" t="s">
        <v>283</v>
      </c>
      <c r="V1966" s="2" t="s">
        <v>805</v>
      </c>
      <c r="W1966" s="2" t="s">
        <v>104</v>
      </c>
      <c r="X1966" s="2" t="s">
        <v>788</v>
      </c>
      <c r="Y1966" s="2" t="s">
        <v>1541</v>
      </c>
      <c r="Z1966" s="4">
        <v>266</v>
      </c>
      <c r="AA1966" s="4">
        <f>=ROUNDDOWN({0},0)</f>
      </c>
      <c r="AB1966" s="5"/>
      <c r="AC1966" s="2" t="s">
        <v>680</v>
      </c>
      <c r="AD1966" s="4">
        <v>1</v>
      </c>
      <c r="AE1966" s="4">
        <v>157</v>
      </c>
      <c r="AF1966" s="6">
        <v>67</v>
      </c>
      <c r="AG1966" s="6"/>
      <c r="AH1966" s="7">
        <v>1</v>
      </c>
      <c r="AI1966" s="4"/>
      <c r="AJ1966" s="4">
        <f>=ROUNDDOWN({0},0)</f>
      </c>
      <c r="AK1966" s="5"/>
      <c r="AL1966" s="2" t="s">
        <v>100</v>
      </c>
      <c r="AM1966" s="4"/>
      <c r="AN1966" s="4"/>
      <c r="AO1966" s="7">
        <v>0</v>
      </c>
      <c r="AP1966" s="4"/>
      <c r="AQ1966" s="8"/>
      <c r="AR1966" s="4"/>
      <c r="AS1966" s="8"/>
      <c r="AT1966" s="7"/>
      <c r="AU1966" s="7"/>
      <c r="AV1966" s="4" t="s">
        <v>100</v>
      </c>
      <c r="AW1966" s="8" t="s">
        <v>100</v>
      </c>
      <c r="AX1966" s="4" t="s">
        <v>100</v>
      </c>
      <c r="AY1966" s="8" t="s">
        <v>100</v>
      </c>
      <c r="AZ1966" s="7" t="s">
        <v>100</v>
      </c>
      <c r="BA1966" s="7" t="s">
        <v>100</v>
      </c>
      <c r="BB1966" s="7"/>
      <c r="BC1966" s="4" t="s">
        <v>100</v>
      </c>
      <c r="BD1966" s="8" t="s">
        <v>100</v>
      </c>
      <c r="BE1966" s="4" t="s">
        <v>100</v>
      </c>
      <c r="BF1966" s="8" t="s">
        <v>100</v>
      </c>
      <c r="BG1966" s="7" t="s">
        <v>100</v>
      </c>
      <c r="BH1966" s="7" t="s">
        <v>100</v>
      </c>
      <c r="BI1966" s="7"/>
      <c r="BJ1966" s="4"/>
      <c r="BK1966" s="8"/>
      <c r="BL1966" s="2" t="s">
        <v>100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5637</v>
      </c>
      <c r="BV1966" s="2" t="s">
        <v>97</v>
      </c>
      <c r="BW1966" s="2" t="s">
        <v>100</v>
      </c>
      <c r="BX1966" s="2" t="s">
        <v>100</v>
      </c>
      <c r="BY1966" s="2" t="s">
        <v>112</v>
      </c>
      <c r="BZ1966" s="2" t="s">
        <v>100</v>
      </c>
    </row>
    <row r="1967">
      <c r="A1967" s="2" t="s">
        <v>5690</v>
      </c>
      <c r="B1967" s="2" t="s">
        <v>87</v>
      </c>
      <c r="C1967" s="2" t="s">
        <v>5599</v>
      </c>
      <c r="D1967" s="2" t="s">
        <v>89</v>
      </c>
      <c r="E1967" s="2" t="s">
        <v>90</v>
      </c>
      <c r="F1967" s="2" t="s">
        <v>5687</v>
      </c>
      <c r="G1967" s="2" t="s">
        <v>5687</v>
      </c>
      <c r="H1967" s="2" t="s">
        <v>5687</v>
      </c>
      <c r="I1967" s="2" t="s">
        <v>5688</v>
      </c>
      <c r="J1967" s="2" t="s">
        <v>795</v>
      </c>
      <c r="K1967" s="2" t="s">
        <v>253</v>
      </c>
      <c r="L1967" s="3">
        <v>175</v>
      </c>
      <c r="M1967" s="3">
        <v>183.75</v>
      </c>
      <c r="N1967" s="3">
        <v>349.99</v>
      </c>
      <c r="O1967" s="2" t="s">
        <v>97</v>
      </c>
      <c r="P1967" s="2" t="s">
        <v>1216</v>
      </c>
      <c r="Q1967" s="2" t="s">
        <v>99</v>
      </c>
      <c r="R1967" s="2" t="s">
        <v>100</v>
      </c>
      <c r="S1967" s="2" t="s">
        <v>5689</v>
      </c>
      <c r="T1967" s="2" t="s">
        <v>359</v>
      </c>
      <c r="U1967" s="2" t="s">
        <v>343</v>
      </c>
      <c r="V1967" s="2" t="s">
        <v>805</v>
      </c>
      <c r="W1967" s="2" t="s">
        <v>104</v>
      </c>
      <c r="X1967" s="2" t="s">
        <v>788</v>
      </c>
      <c r="Y1967" s="2" t="s">
        <v>5691</v>
      </c>
      <c r="Z1967" s="4">
        <v>211</v>
      </c>
      <c r="AA1967" s="4">
        <f>=ROUNDDOWN({0},0)</f>
      </c>
      <c r="AB1967" s="5"/>
      <c r="AC1967" s="2" t="s">
        <v>680</v>
      </c>
      <c r="AD1967" s="4">
        <v>11</v>
      </c>
      <c r="AE1967" s="4">
        <v>83</v>
      </c>
      <c r="AF1967" s="6">
        <v>67</v>
      </c>
      <c r="AG1967" s="6"/>
      <c r="AH1967" s="7">
        <v>1</v>
      </c>
      <c r="AI1967" s="4"/>
      <c r="AJ1967" s="4">
        <f>=ROUNDDOWN({0},0)</f>
      </c>
      <c r="AK1967" s="5"/>
      <c r="AL1967" s="2" t="s">
        <v>100</v>
      </c>
      <c r="AM1967" s="4"/>
      <c r="AN1967" s="4"/>
      <c r="AO1967" s="7">
        <v>0</v>
      </c>
      <c r="AP1967" s="4"/>
      <c r="AQ1967" s="8"/>
      <c r="AR1967" s="4"/>
      <c r="AS1967" s="8"/>
      <c r="AT1967" s="7"/>
      <c r="AU1967" s="7"/>
      <c r="AV1967" s="4" t="s">
        <v>100</v>
      </c>
      <c r="AW1967" s="8" t="s">
        <v>100</v>
      </c>
      <c r="AX1967" s="4" t="s">
        <v>100</v>
      </c>
      <c r="AY1967" s="8" t="s">
        <v>100</v>
      </c>
      <c r="AZ1967" s="7" t="s">
        <v>100</v>
      </c>
      <c r="BA1967" s="7" t="s">
        <v>100</v>
      </c>
      <c r="BB1967" s="7"/>
      <c r="BC1967" s="4" t="s">
        <v>100</v>
      </c>
      <c r="BD1967" s="8" t="s">
        <v>100</v>
      </c>
      <c r="BE1967" s="4" t="s">
        <v>100</v>
      </c>
      <c r="BF1967" s="8" t="s">
        <v>100</v>
      </c>
      <c r="BG1967" s="7" t="s">
        <v>100</v>
      </c>
      <c r="BH1967" s="7" t="s">
        <v>100</v>
      </c>
      <c r="BI1967" s="7"/>
      <c r="BJ1967" s="4"/>
      <c r="BK1967" s="8"/>
      <c r="BL1967" s="2" t="s">
        <v>100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5637</v>
      </c>
      <c r="BV1967" s="2" t="s">
        <v>97</v>
      </c>
      <c r="BW1967" s="2" t="s">
        <v>100</v>
      </c>
      <c r="BX1967" s="2" t="s">
        <v>100</v>
      </c>
      <c r="BY1967" s="2" t="s">
        <v>112</v>
      </c>
      <c r="BZ1967" s="2" t="s">
        <v>100</v>
      </c>
    </row>
    <row r="1968">
      <c r="A1968" s="2" t="s">
        <v>5692</v>
      </c>
      <c r="B1968" s="2" t="s">
        <v>87</v>
      </c>
      <c r="C1968" s="2" t="s">
        <v>5599</v>
      </c>
      <c r="D1968" s="2" t="s">
        <v>89</v>
      </c>
      <c r="E1968" s="2" t="s">
        <v>90</v>
      </c>
      <c r="F1968" s="2" t="s">
        <v>5693</v>
      </c>
      <c r="G1968" s="2" t="s">
        <v>5693</v>
      </c>
      <c r="H1968" s="2" t="s">
        <v>5693</v>
      </c>
      <c r="I1968" s="2" t="s">
        <v>5694</v>
      </c>
      <c r="J1968" s="2" t="s">
        <v>114</v>
      </c>
      <c r="K1968" s="2" t="s">
        <v>253</v>
      </c>
      <c r="L1968" s="3">
        <v>150</v>
      </c>
      <c r="M1968" s="3">
        <v>157.5</v>
      </c>
      <c r="N1968" s="3">
        <v>299.99</v>
      </c>
      <c r="O1968" s="2" t="s">
        <v>473</v>
      </c>
      <c r="P1968" s="2" t="s">
        <v>447</v>
      </c>
      <c r="Q1968" s="2" t="s">
        <v>99</v>
      </c>
      <c r="R1968" s="2" t="s">
        <v>100</v>
      </c>
      <c r="S1968" s="2" t="s">
        <v>5695</v>
      </c>
      <c r="T1968" s="2" t="s">
        <v>359</v>
      </c>
      <c r="U1968" s="2" t="s">
        <v>283</v>
      </c>
      <c r="V1968" s="2" t="s">
        <v>805</v>
      </c>
      <c r="W1968" s="2" t="s">
        <v>3803</v>
      </c>
      <c r="X1968" s="2" t="s">
        <v>976</v>
      </c>
      <c r="Y1968" s="2" t="s">
        <v>5696</v>
      </c>
      <c r="Z1968" s="4">
        <v>47</v>
      </c>
      <c r="AA1968" s="4">
        <f>=ROUNDDOWN(94,0)</f>
      </c>
      <c r="AB1968" s="5">
        <v>0.5</v>
      </c>
      <c r="AC1968" s="2" t="s">
        <v>100</v>
      </c>
      <c r="AD1968" s="4"/>
      <c r="AE1968" s="4"/>
      <c r="AF1968" s="6">
        <v>70</v>
      </c>
      <c r="AG1968" s="6"/>
      <c r="AH1968" s="7">
        <v>1</v>
      </c>
      <c r="AI1968" s="4"/>
      <c r="AJ1968" s="4">
        <f>=ROUNDDOWN({0},0)</f>
      </c>
      <c r="AK1968" s="5"/>
      <c r="AL1968" s="2" t="s">
        <v>100</v>
      </c>
      <c r="AM1968" s="4"/>
      <c r="AN1968" s="4"/>
      <c r="AO1968" s="7">
        <v>0</v>
      </c>
      <c r="AP1968" s="4"/>
      <c r="AQ1968" s="8"/>
      <c r="AR1968" s="4"/>
      <c r="AS1968" s="8"/>
      <c r="AT1968" s="7"/>
      <c r="AU1968" s="7"/>
      <c r="AV1968" s="4" t="s">
        <v>100</v>
      </c>
      <c r="AW1968" s="8" t="s">
        <v>100</v>
      </c>
      <c r="AX1968" s="4" t="s">
        <v>100</v>
      </c>
      <c r="AY1968" s="8" t="s">
        <v>100</v>
      </c>
      <c r="AZ1968" s="7" t="s">
        <v>100</v>
      </c>
      <c r="BA1968" s="7" t="s">
        <v>100</v>
      </c>
      <c r="BB1968" s="7"/>
      <c r="BC1968" s="4" t="s">
        <v>100</v>
      </c>
      <c r="BD1968" s="8" t="s">
        <v>100</v>
      </c>
      <c r="BE1968" s="4" t="s">
        <v>100</v>
      </c>
      <c r="BF1968" s="8" t="s">
        <v>100</v>
      </c>
      <c r="BG1968" s="7" t="s">
        <v>100</v>
      </c>
      <c r="BH1968" s="7" t="s">
        <v>100</v>
      </c>
      <c r="BI1968" s="7"/>
      <c r="BJ1968" s="4"/>
      <c r="BK1968" s="8"/>
      <c r="BL1968" s="2" t="s">
        <v>100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109</v>
      </c>
      <c r="BV1968" s="2" t="s">
        <v>97</v>
      </c>
      <c r="BW1968" s="2" t="s">
        <v>270</v>
      </c>
      <c r="BX1968" s="2" t="s">
        <v>1269</v>
      </c>
      <c r="BY1968" s="2" t="s">
        <v>112</v>
      </c>
      <c r="BZ1968" s="2" t="s">
        <v>100</v>
      </c>
    </row>
    <row r="1969">
      <c r="A1969" s="2" t="s">
        <v>5697</v>
      </c>
      <c r="B1969" s="2" t="s">
        <v>87</v>
      </c>
      <c r="C1969" s="2" t="s">
        <v>5599</v>
      </c>
      <c r="D1969" s="2" t="s">
        <v>89</v>
      </c>
      <c r="E1969" s="2" t="s">
        <v>90</v>
      </c>
      <c r="F1969" s="2" t="s">
        <v>5693</v>
      </c>
      <c r="G1969" s="2" t="s">
        <v>5693</v>
      </c>
      <c r="H1969" s="2" t="s">
        <v>5693</v>
      </c>
      <c r="I1969" s="2" t="s">
        <v>5698</v>
      </c>
      <c r="J1969" s="2" t="s">
        <v>120</v>
      </c>
      <c r="K1969" s="2" t="s">
        <v>253</v>
      </c>
      <c r="L1969" s="3">
        <v>175</v>
      </c>
      <c r="M1969" s="3">
        <v>183.75</v>
      </c>
      <c r="N1969" s="3">
        <v>349.99</v>
      </c>
      <c r="O1969" s="2" t="s">
        <v>473</v>
      </c>
      <c r="P1969" s="2" t="s">
        <v>447</v>
      </c>
      <c r="Q1969" s="2" t="s">
        <v>99</v>
      </c>
      <c r="R1969" s="2" t="s">
        <v>100</v>
      </c>
      <c r="S1969" s="2" t="s">
        <v>5695</v>
      </c>
      <c r="T1969" s="2" t="s">
        <v>359</v>
      </c>
      <c r="U1969" s="2" t="s">
        <v>343</v>
      </c>
      <c r="V1969" s="2" t="s">
        <v>805</v>
      </c>
      <c r="W1969" s="2" t="s">
        <v>3803</v>
      </c>
      <c r="X1969" s="2" t="s">
        <v>976</v>
      </c>
      <c r="Y1969" s="2" t="s">
        <v>5696</v>
      </c>
      <c r="Z1969" s="4">
        <v>85</v>
      </c>
      <c r="AA1969" s="4">
        <f>=ROUNDDOWN(26.5625,0)</f>
      </c>
      <c r="AB1969" s="5">
        <v>3.2</v>
      </c>
      <c r="AC1969" s="2" t="s">
        <v>100</v>
      </c>
      <c r="AD1969" s="4"/>
      <c r="AE1969" s="4"/>
      <c r="AF1969" s="6">
        <v>70</v>
      </c>
      <c r="AG1969" s="6"/>
      <c r="AH1969" s="7">
        <v>1</v>
      </c>
      <c r="AI1969" s="4"/>
      <c r="AJ1969" s="4">
        <f>=ROUNDDOWN({0},0)</f>
      </c>
      <c r="AK1969" s="5"/>
      <c r="AL1969" s="2" t="s">
        <v>100</v>
      </c>
      <c r="AM1969" s="4"/>
      <c r="AN1969" s="4"/>
      <c r="AO1969" s="7">
        <v>0</v>
      </c>
      <c r="AP1969" s="4"/>
      <c r="AQ1969" s="8"/>
      <c r="AR1969" s="4"/>
      <c r="AS1969" s="8"/>
      <c r="AT1969" s="7"/>
      <c r="AU1969" s="7"/>
      <c r="AV1969" s="4" t="s">
        <v>100</v>
      </c>
      <c r="AW1969" s="8" t="s">
        <v>100</v>
      </c>
      <c r="AX1969" s="4" t="s">
        <v>100</v>
      </c>
      <c r="AY1969" s="8" t="s">
        <v>100</v>
      </c>
      <c r="AZ1969" s="7" t="s">
        <v>100</v>
      </c>
      <c r="BA1969" s="7" t="s">
        <v>100</v>
      </c>
      <c r="BB1969" s="7"/>
      <c r="BC1969" s="4" t="s">
        <v>100</v>
      </c>
      <c r="BD1969" s="8" t="s">
        <v>100</v>
      </c>
      <c r="BE1969" s="4" t="s">
        <v>100</v>
      </c>
      <c r="BF1969" s="8" t="s">
        <v>100</v>
      </c>
      <c r="BG1969" s="7" t="s">
        <v>100</v>
      </c>
      <c r="BH1969" s="7" t="s">
        <v>100</v>
      </c>
      <c r="BI1969" s="7"/>
      <c r="BJ1969" s="4">
        <v>2</v>
      </c>
      <c r="BK1969" s="8">
        <v>309.16</v>
      </c>
      <c r="BL1969" s="2" t="s">
        <v>2863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109</v>
      </c>
      <c r="BV1969" s="2" t="s">
        <v>97</v>
      </c>
      <c r="BW1969" s="2" t="s">
        <v>270</v>
      </c>
      <c r="BX1969" s="2" t="s">
        <v>5699</v>
      </c>
      <c r="BY1969" s="2" t="s">
        <v>112</v>
      </c>
      <c r="BZ1969" s="2" t="s">
        <v>100</v>
      </c>
    </row>
    <row r="1970">
      <c r="A1970" s="2" t="s">
        <v>5700</v>
      </c>
      <c r="B1970" s="2" t="s">
        <v>87</v>
      </c>
      <c r="C1970" s="2" t="s">
        <v>5599</v>
      </c>
      <c r="D1970" s="2" t="s">
        <v>89</v>
      </c>
      <c r="E1970" s="2" t="s">
        <v>90</v>
      </c>
      <c r="F1970" s="2" t="s">
        <v>5701</v>
      </c>
      <c r="G1970" s="2" t="s">
        <v>5701</v>
      </c>
      <c r="H1970" s="2" t="s">
        <v>5701</v>
      </c>
      <c r="I1970" s="2" t="s">
        <v>5702</v>
      </c>
      <c r="J1970" s="2" t="s">
        <v>785</v>
      </c>
      <c r="K1970" s="2" t="s">
        <v>2860</v>
      </c>
      <c r="L1970" s="3">
        <v>150</v>
      </c>
      <c r="M1970" s="3">
        <v>157.5</v>
      </c>
      <c r="N1970" s="3">
        <v>299.99</v>
      </c>
      <c r="O1970" s="2" t="s">
        <v>97</v>
      </c>
      <c r="P1970" s="2" t="s">
        <v>1216</v>
      </c>
      <c r="Q1970" s="2" t="s">
        <v>99</v>
      </c>
      <c r="R1970" s="2" t="s">
        <v>100</v>
      </c>
      <c r="S1970" s="2" t="s">
        <v>5703</v>
      </c>
      <c r="T1970" s="2" t="s">
        <v>100</v>
      </c>
      <c r="U1970" s="2" t="s">
        <v>283</v>
      </c>
      <c r="V1970" s="2" t="s">
        <v>805</v>
      </c>
      <c r="W1970" s="2" t="s">
        <v>976</v>
      </c>
      <c r="X1970" s="2" t="s">
        <v>104</v>
      </c>
      <c r="Y1970" s="2" t="s">
        <v>2126</v>
      </c>
      <c r="Z1970" s="4">
        <v>136</v>
      </c>
      <c r="AA1970" s="4">
        <f>=ROUNDDOWN(68,0)</f>
      </c>
      <c r="AB1970" s="5">
        <v>2</v>
      </c>
      <c r="AC1970" s="2" t="s">
        <v>100</v>
      </c>
      <c r="AD1970" s="4"/>
      <c r="AE1970" s="4"/>
      <c r="AF1970" s="6">
        <v>67</v>
      </c>
      <c r="AG1970" s="6"/>
      <c r="AH1970" s="7">
        <v>1</v>
      </c>
      <c r="AI1970" s="4"/>
      <c r="AJ1970" s="4">
        <f>=ROUNDDOWN({0},0)</f>
      </c>
      <c r="AK1970" s="5"/>
      <c r="AL1970" s="2" t="s">
        <v>100</v>
      </c>
      <c r="AM1970" s="4"/>
      <c r="AN1970" s="4"/>
      <c r="AO1970" s="7">
        <v>0</v>
      </c>
      <c r="AP1970" s="4"/>
      <c r="AQ1970" s="8"/>
      <c r="AR1970" s="4"/>
      <c r="AS1970" s="8"/>
      <c r="AT1970" s="7"/>
      <c r="AU1970" s="7"/>
      <c r="AV1970" s="4" t="s">
        <v>100</v>
      </c>
      <c r="AW1970" s="8" t="s">
        <v>100</v>
      </c>
      <c r="AX1970" s="4" t="s">
        <v>100</v>
      </c>
      <c r="AY1970" s="8" t="s">
        <v>100</v>
      </c>
      <c r="AZ1970" s="7" t="s">
        <v>100</v>
      </c>
      <c r="BA1970" s="7" t="s">
        <v>100</v>
      </c>
      <c r="BB1970" s="7"/>
      <c r="BC1970" s="4" t="s">
        <v>100</v>
      </c>
      <c r="BD1970" s="8" t="s">
        <v>100</v>
      </c>
      <c r="BE1970" s="4" t="s">
        <v>100</v>
      </c>
      <c r="BF1970" s="8" t="s">
        <v>100</v>
      </c>
      <c r="BG1970" s="7" t="s">
        <v>100</v>
      </c>
      <c r="BH1970" s="7" t="s">
        <v>100</v>
      </c>
      <c r="BI1970" s="7"/>
      <c r="BJ1970" s="4"/>
      <c r="BK1970" s="8"/>
      <c r="BL1970" s="2" t="s">
        <v>100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109</v>
      </c>
      <c r="BV1970" s="2" t="s">
        <v>97</v>
      </c>
      <c r="BW1970" s="2" t="s">
        <v>1221</v>
      </c>
      <c r="BX1970" s="2" t="s">
        <v>100</v>
      </c>
      <c r="BY1970" s="2" t="s">
        <v>112</v>
      </c>
      <c r="BZ1970" s="2" t="s">
        <v>100</v>
      </c>
    </row>
    <row r="1971">
      <c r="A1971" s="2" t="s">
        <v>5704</v>
      </c>
      <c r="B1971" s="2" t="s">
        <v>87</v>
      </c>
      <c r="C1971" s="2" t="s">
        <v>5599</v>
      </c>
      <c r="D1971" s="2" t="s">
        <v>89</v>
      </c>
      <c r="E1971" s="2" t="s">
        <v>90</v>
      </c>
      <c r="F1971" s="2" t="s">
        <v>5701</v>
      </c>
      <c r="G1971" s="2" t="s">
        <v>5701</v>
      </c>
      <c r="H1971" s="2" t="s">
        <v>5701</v>
      </c>
      <c r="I1971" s="2" t="s">
        <v>5702</v>
      </c>
      <c r="J1971" s="2" t="s">
        <v>795</v>
      </c>
      <c r="K1971" s="2" t="s">
        <v>2860</v>
      </c>
      <c r="L1971" s="3">
        <v>175</v>
      </c>
      <c r="M1971" s="3">
        <v>183.75</v>
      </c>
      <c r="N1971" s="3">
        <v>349.99</v>
      </c>
      <c r="O1971" s="2" t="s">
        <v>97</v>
      </c>
      <c r="P1971" s="2" t="s">
        <v>1216</v>
      </c>
      <c r="Q1971" s="2" t="s">
        <v>99</v>
      </c>
      <c r="R1971" s="2" t="s">
        <v>100</v>
      </c>
      <c r="S1971" s="2" t="s">
        <v>5703</v>
      </c>
      <c r="T1971" s="2" t="s">
        <v>100</v>
      </c>
      <c r="U1971" s="2" t="s">
        <v>343</v>
      </c>
      <c r="V1971" s="2" t="s">
        <v>805</v>
      </c>
      <c r="W1971" s="2" t="s">
        <v>976</v>
      </c>
      <c r="X1971" s="2" t="s">
        <v>104</v>
      </c>
      <c r="Y1971" s="2" t="s">
        <v>5705</v>
      </c>
      <c r="Z1971" s="4">
        <v>139</v>
      </c>
      <c r="AA1971" s="4">
        <f>=ROUNDDOWN(46.3333333333333,0)</f>
      </c>
      <c r="AB1971" s="5">
        <v>3</v>
      </c>
      <c r="AC1971" s="2" t="s">
        <v>100</v>
      </c>
      <c r="AD1971" s="4"/>
      <c r="AE1971" s="4"/>
      <c r="AF1971" s="6">
        <v>67</v>
      </c>
      <c r="AG1971" s="6"/>
      <c r="AH1971" s="7">
        <v>1</v>
      </c>
      <c r="AI1971" s="4"/>
      <c r="AJ1971" s="4">
        <f>=ROUNDDOWN({0},0)</f>
      </c>
      <c r="AK1971" s="5"/>
      <c r="AL1971" s="2" t="s">
        <v>100</v>
      </c>
      <c r="AM1971" s="4"/>
      <c r="AN1971" s="4"/>
      <c r="AO1971" s="7">
        <v>0</v>
      </c>
      <c r="AP1971" s="4"/>
      <c r="AQ1971" s="8"/>
      <c r="AR1971" s="4"/>
      <c r="AS1971" s="8"/>
      <c r="AT1971" s="7"/>
      <c r="AU1971" s="7"/>
      <c r="AV1971" s="4" t="s">
        <v>100</v>
      </c>
      <c r="AW1971" s="8" t="s">
        <v>100</v>
      </c>
      <c r="AX1971" s="4" t="s">
        <v>100</v>
      </c>
      <c r="AY1971" s="8" t="s">
        <v>100</v>
      </c>
      <c r="AZ1971" s="7" t="s">
        <v>100</v>
      </c>
      <c r="BA1971" s="7" t="s">
        <v>100</v>
      </c>
      <c r="BB1971" s="7"/>
      <c r="BC1971" s="4" t="s">
        <v>100</v>
      </c>
      <c r="BD1971" s="8" t="s">
        <v>100</v>
      </c>
      <c r="BE1971" s="4" t="s">
        <v>100</v>
      </c>
      <c r="BF1971" s="8" t="s">
        <v>100</v>
      </c>
      <c r="BG1971" s="7" t="s">
        <v>100</v>
      </c>
      <c r="BH1971" s="7" t="s">
        <v>100</v>
      </c>
      <c r="BI1971" s="7"/>
      <c r="BJ1971" s="4"/>
      <c r="BK1971" s="8"/>
      <c r="BL1971" s="2" t="s">
        <v>100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109</v>
      </c>
      <c r="BV1971" s="2" t="s">
        <v>97</v>
      </c>
      <c r="BW1971" s="2" t="s">
        <v>1221</v>
      </c>
      <c r="BX1971" s="2" t="s">
        <v>100</v>
      </c>
      <c r="BY1971" s="2" t="s">
        <v>112</v>
      </c>
      <c r="BZ1971" s="2" t="s">
        <v>100</v>
      </c>
    </row>
    <row r="1972">
      <c r="A1972" s="2" t="s">
        <v>5706</v>
      </c>
      <c r="B1972" s="2" t="s">
        <v>87</v>
      </c>
      <c r="C1972" s="2" t="s">
        <v>5599</v>
      </c>
      <c r="D1972" s="2" t="s">
        <v>89</v>
      </c>
      <c r="E1972" s="2" t="s">
        <v>90</v>
      </c>
      <c r="F1972" s="2" t="s">
        <v>5707</v>
      </c>
      <c r="G1972" s="2" t="s">
        <v>5707</v>
      </c>
      <c r="H1972" s="2" t="s">
        <v>5707</v>
      </c>
      <c r="I1972" s="2" t="s">
        <v>5708</v>
      </c>
      <c r="J1972" s="2" t="s">
        <v>785</v>
      </c>
      <c r="K1972" s="2" t="s">
        <v>1413</v>
      </c>
      <c r="L1972" s="3">
        <v>150</v>
      </c>
      <c r="M1972" s="3">
        <v>157.5</v>
      </c>
      <c r="N1972" s="3">
        <v>299.99</v>
      </c>
      <c r="O1972" s="2" t="s">
        <v>97</v>
      </c>
      <c r="P1972" s="2" t="s">
        <v>1216</v>
      </c>
      <c r="Q1972" s="2" t="s">
        <v>99</v>
      </c>
      <c r="R1972" s="2" t="s">
        <v>100</v>
      </c>
      <c r="S1972" s="2" t="s">
        <v>5709</v>
      </c>
      <c r="T1972" s="2" t="s">
        <v>1218</v>
      </c>
      <c r="U1972" s="2" t="s">
        <v>283</v>
      </c>
      <c r="V1972" s="2" t="s">
        <v>1265</v>
      </c>
      <c r="W1972" s="2" t="s">
        <v>104</v>
      </c>
      <c r="X1972" s="2" t="s">
        <v>1240</v>
      </c>
      <c r="Y1972" s="2" t="s">
        <v>4005</v>
      </c>
      <c r="Z1972" s="4"/>
      <c r="AA1972" s="4">
        <f>=ROUNDDOWN({0},0)</f>
      </c>
      <c r="AB1972" s="5"/>
      <c r="AC1972" s="2" t="s">
        <v>2009</v>
      </c>
      <c r="AD1972" s="4">
        <v>70</v>
      </c>
      <c r="AE1972" s="4">
        <v>140</v>
      </c>
      <c r="AF1972" s="6">
        <v>67</v>
      </c>
      <c r="AG1972" s="6"/>
      <c r="AH1972" s="7">
        <v>0</v>
      </c>
      <c r="AI1972" s="4"/>
      <c r="AJ1972" s="4">
        <f>=ROUNDDOWN({0},0)</f>
      </c>
      <c r="AK1972" s="5"/>
      <c r="AL1972" s="2" t="s">
        <v>100</v>
      </c>
      <c r="AM1972" s="4"/>
      <c r="AN1972" s="4"/>
      <c r="AO1972" s="7">
        <v>0</v>
      </c>
      <c r="AP1972" s="4"/>
      <c r="AQ1972" s="8"/>
      <c r="AR1972" s="4"/>
      <c r="AS1972" s="8"/>
      <c r="AT1972" s="7"/>
      <c r="AU1972" s="7"/>
      <c r="AV1972" s="4" t="s">
        <v>100</v>
      </c>
      <c r="AW1972" s="8" t="s">
        <v>100</v>
      </c>
      <c r="AX1972" s="4" t="s">
        <v>100</v>
      </c>
      <c r="AY1972" s="8" t="s">
        <v>100</v>
      </c>
      <c r="AZ1972" s="7" t="s">
        <v>100</v>
      </c>
      <c r="BA1972" s="7" t="s">
        <v>100</v>
      </c>
      <c r="BB1972" s="7"/>
      <c r="BC1972" s="4" t="s">
        <v>100</v>
      </c>
      <c r="BD1972" s="8" t="s">
        <v>100</v>
      </c>
      <c r="BE1972" s="4" t="s">
        <v>100</v>
      </c>
      <c r="BF1972" s="8" t="s">
        <v>100</v>
      </c>
      <c r="BG1972" s="7" t="s">
        <v>100</v>
      </c>
      <c r="BH1972" s="7" t="s">
        <v>100</v>
      </c>
      <c r="BI1972" s="7"/>
      <c r="BJ1972" s="4"/>
      <c r="BK1972" s="8"/>
      <c r="BL1972" s="2" t="s">
        <v>100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5637</v>
      </c>
      <c r="BV1972" s="2" t="s">
        <v>97</v>
      </c>
      <c r="BW1972" s="2" t="s">
        <v>100</v>
      </c>
      <c r="BX1972" s="2" t="s">
        <v>100</v>
      </c>
      <c r="BY1972" s="2" t="s">
        <v>112</v>
      </c>
      <c r="BZ1972" s="2" t="s">
        <v>100</v>
      </c>
    </row>
    <row r="1973">
      <c r="A1973" s="2" t="s">
        <v>5710</v>
      </c>
      <c r="B1973" s="2" t="s">
        <v>87</v>
      </c>
      <c r="C1973" s="2" t="s">
        <v>5599</v>
      </c>
      <c r="D1973" s="2" t="s">
        <v>89</v>
      </c>
      <c r="E1973" s="2" t="s">
        <v>90</v>
      </c>
      <c r="F1973" s="2" t="s">
        <v>5707</v>
      </c>
      <c r="G1973" s="2" t="s">
        <v>5707</v>
      </c>
      <c r="H1973" s="2" t="s">
        <v>5707</v>
      </c>
      <c r="I1973" s="2" t="s">
        <v>5708</v>
      </c>
      <c r="J1973" s="2" t="s">
        <v>795</v>
      </c>
      <c r="K1973" s="2" t="s">
        <v>1413</v>
      </c>
      <c r="L1973" s="3">
        <v>175</v>
      </c>
      <c r="M1973" s="3">
        <v>183.75</v>
      </c>
      <c r="N1973" s="3">
        <v>349.99</v>
      </c>
      <c r="O1973" s="2" t="s">
        <v>97</v>
      </c>
      <c r="P1973" s="2" t="s">
        <v>1216</v>
      </c>
      <c r="Q1973" s="2" t="s">
        <v>99</v>
      </c>
      <c r="R1973" s="2" t="s">
        <v>100</v>
      </c>
      <c r="S1973" s="2" t="s">
        <v>5709</v>
      </c>
      <c r="T1973" s="2" t="s">
        <v>1218</v>
      </c>
      <c r="U1973" s="2" t="s">
        <v>343</v>
      </c>
      <c r="V1973" s="2" t="s">
        <v>1265</v>
      </c>
      <c r="W1973" s="2" t="s">
        <v>104</v>
      </c>
      <c r="X1973" s="2" t="s">
        <v>1240</v>
      </c>
      <c r="Y1973" s="2" t="s">
        <v>4005</v>
      </c>
      <c r="Z1973" s="4"/>
      <c r="AA1973" s="4">
        <f>=ROUNDDOWN({0},0)</f>
      </c>
      <c r="AB1973" s="5"/>
      <c r="AC1973" s="2" t="s">
        <v>2009</v>
      </c>
      <c r="AD1973" s="4">
        <v>130</v>
      </c>
      <c r="AE1973" s="4">
        <v>260</v>
      </c>
      <c r="AF1973" s="6">
        <v>67</v>
      </c>
      <c r="AG1973" s="6"/>
      <c r="AH1973" s="7">
        <v>0</v>
      </c>
      <c r="AI1973" s="4"/>
      <c r="AJ1973" s="4">
        <f>=ROUNDDOWN({0},0)</f>
      </c>
      <c r="AK1973" s="5"/>
      <c r="AL1973" s="2" t="s">
        <v>100</v>
      </c>
      <c r="AM1973" s="4"/>
      <c r="AN1973" s="4"/>
      <c r="AO1973" s="7">
        <v>0</v>
      </c>
      <c r="AP1973" s="4"/>
      <c r="AQ1973" s="8"/>
      <c r="AR1973" s="4"/>
      <c r="AS1973" s="8"/>
      <c r="AT1973" s="7"/>
      <c r="AU1973" s="7"/>
      <c r="AV1973" s="4" t="s">
        <v>100</v>
      </c>
      <c r="AW1973" s="8" t="s">
        <v>100</v>
      </c>
      <c r="AX1973" s="4" t="s">
        <v>100</v>
      </c>
      <c r="AY1973" s="8" t="s">
        <v>100</v>
      </c>
      <c r="AZ1973" s="7" t="s">
        <v>100</v>
      </c>
      <c r="BA1973" s="7" t="s">
        <v>100</v>
      </c>
      <c r="BB1973" s="7"/>
      <c r="BC1973" s="4" t="s">
        <v>100</v>
      </c>
      <c r="BD1973" s="8" t="s">
        <v>100</v>
      </c>
      <c r="BE1973" s="4" t="s">
        <v>100</v>
      </c>
      <c r="BF1973" s="8" t="s">
        <v>100</v>
      </c>
      <c r="BG1973" s="7" t="s">
        <v>100</v>
      </c>
      <c r="BH1973" s="7" t="s">
        <v>100</v>
      </c>
      <c r="BI1973" s="7"/>
      <c r="BJ1973" s="4"/>
      <c r="BK1973" s="8"/>
      <c r="BL1973" s="2" t="s">
        <v>100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5637</v>
      </c>
      <c r="BV1973" s="2" t="s">
        <v>97</v>
      </c>
      <c r="BW1973" s="2" t="s">
        <v>100</v>
      </c>
      <c r="BX1973" s="2" t="s">
        <v>100</v>
      </c>
      <c r="BY1973" s="2" t="s">
        <v>112</v>
      </c>
      <c r="BZ1973" s="2" t="s">
        <v>100</v>
      </c>
    </row>
    <row r="1974">
      <c r="A1974" s="2" t="s">
        <v>5711</v>
      </c>
      <c r="B1974" s="2" t="s">
        <v>87</v>
      </c>
      <c r="C1974" s="2" t="s">
        <v>5599</v>
      </c>
      <c r="D1974" s="2" t="s">
        <v>89</v>
      </c>
      <c r="E1974" s="2" t="s">
        <v>90</v>
      </c>
      <c r="F1974" s="2" t="s">
        <v>5712</v>
      </c>
      <c r="G1974" s="2" t="s">
        <v>5712</v>
      </c>
      <c r="H1974" s="2" t="s">
        <v>5712</v>
      </c>
      <c r="I1974" s="2" t="s">
        <v>1860</v>
      </c>
      <c r="J1974" s="2" t="s">
        <v>114</v>
      </c>
      <c r="K1974" s="2" t="s">
        <v>1263</v>
      </c>
      <c r="L1974" s="3">
        <v>150</v>
      </c>
      <c r="M1974" s="3">
        <v>157.5</v>
      </c>
      <c r="N1974" s="3">
        <v>299.99</v>
      </c>
      <c r="O1974" s="2" t="s">
        <v>97</v>
      </c>
      <c r="P1974" s="2" t="s">
        <v>1335</v>
      </c>
      <c r="Q1974" s="2" t="s">
        <v>99</v>
      </c>
      <c r="R1974" s="2" t="s">
        <v>100</v>
      </c>
      <c r="S1974" s="2" t="s">
        <v>100</v>
      </c>
      <c r="T1974" s="2" t="s">
        <v>100</v>
      </c>
      <c r="U1974" s="2" t="s">
        <v>283</v>
      </c>
      <c r="V1974" s="2" t="s">
        <v>5636</v>
      </c>
      <c r="W1974" s="2" t="s">
        <v>100</v>
      </c>
      <c r="X1974" s="2" t="s">
        <v>100</v>
      </c>
      <c r="Y1974" s="2" t="s">
        <v>100</v>
      </c>
      <c r="Z1974" s="4"/>
      <c r="AA1974" s="4">
        <f>=ROUNDDOWN({0},0)</f>
      </c>
      <c r="AB1974" s="5"/>
      <c r="AC1974" s="2" t="s">
        <v>2113</v>
      </c>
      <c r="AD1974" s="4">
        <v>200</v>
      </c>
      <c r="AE1974" s="4">
        <v>200</v>
      </c>
      <c r="AF1974" s="6"/>
      <c r="AG1974" s="6"/>
      <c r="AH1974" s="7">
        <v>0</v>
      </c>
      <c r="AI1974" s="4"/>
      <c r="AJ1974" s="4">
        <f>=ROUNDDOWN({0},0)</f>
      </c>
      <c r="AK1974" s="5"/>
      <c r="AL1974" s="2" t="s">
        <v>100</v>
      </c>
      <c r="AM1974" s="4"/>
      <c r="AN1974" s="4"/>
      <c r="AO1974" s="7">
        <v>0</v>
      </c>
      <c r="AP1974" s="4"/>
      <c r="AQ1974" s="8"/>
      <c r="AR1974" s="4"/>
      <c r="AS1974" s="8"/>
      <c r="AT1974" s="7"/>
      <c r="AU1974" s="7"/>
      <c r="AV1974" s="4" t="s">
        <v>100</v>
      </c>
      <c r="AW1974" s="8" t="s">
        <v>100</v>
      </c>
      <c r="AX1974" s="4" t="s">
        <v>100</v>
      </c>
      <c r="AY1974" s="8" t="s">
        <v>100</v>
      </c>
      <c r="AZ1974" s="7" t="s">
        <v>100</v>
      </c>
      <c r="BA1974" s="7" t="s">
        <v>100</v>
      </c>
      <c r="BB1974" s="7"/>
      <c r="BC1974" s="4" t="s">
        <v>100</v>
      </c>
      <c r="BD1974" s="8" t="s">
        <v>100</v>
      </c>
      <c r="BE1974" s="4" t="s">
        <v>100</v>
      </c>
      <c r="BF1974" s="8" t="s">
        <v>100</v>
      </c>
      <c r="BG1974" s="7" t="s">
        <v>100</v>
      </c>
      <c r="BH1974" s="7" t="s">
        <v>100</v>
      </c>
      <c r="BI1974" s="7"/>
      <c r="BJ1974" s="4"/>
      <c r="BK1974" s="8"/>
      <c r="BL1974" s="2" t="s">
        <v>100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5637</v>
      </c>
      <c r="BV1974" s="2" t="s">
        <v>97</v>
      </c>
      <c r="BW1974" s="2" t="s">
        <v>100</v>
      </c>
      <c r="BX1974" s="2" t="s">
        <v>100</v>
      </c>
      <c r="BY1974" s="2" t="s">
        <v>112</v>
      </c>
      <c r="BZ1974" s="2" t="s">
        <v>100</v>
      </c>
    </row>
    <row r="1975">
      <c r="A1975" s="2" t="s">
        <v>5713</v>
      </c>
      <c r="B1975" s="2" t="s">
        <v>87</v>
      </c>
      <c r="C1975" s="2" t="s">
        <v>5599</v>
      </c>
      <c r="D1975" s="2" t="s">
        <v>89</v>
      </c>
      <c r="E1975" s="2" t="s">
        <v>90</v>
      </c>
      <c r="F1975" s="2" t="s">
        <v>5712</v>
      </c>
      <c r="G1975" s="2" t="s">
        <v>5712</v>
      </c>
      <c r="H1975" s="2" t="s">
        <v>5712</v>
      </c>
      <c r="I1975" s="2" t="s">
        <v>1860</v>
      </c>
      <c r="J1975" s="2" t="s">
        <v>120</v>
      </c>
      <c r="K1975" s="2" t="s">
        <v>1263</v>
      </c>
      <c r="L1975" s="3">
        <v>175</v>
      </c>
      <c r="M1975" s="3">
        <v>183.75</v>
      </c>
      <c r="N1975" s="3">
        <v>349.99</v>
      </c>
      <c r="O1975" s="2" t="s">
        <v>97</v>
      </c>
      <c r="P1975" s="2" t="s">
        <v>1335</v>
      </c>
      <c r="Q1975" s="2" t="s">
        <v>99</v>
      </c>
      <c r="R1975" s="2" t="s">
        <v>100</v>
      </c>
      <c r="S1975" s="2" t="s">
        <v>100</v>
      </c>
      <c r="T1975" s="2" t="s">
        <v>100</v>
      </c>
      <c r="U1975" s="2" t="s">
        <v>343</v>
      </c>
      <c r="V1975" s="2" t="s">
        <v>5636</v>
      </c>
      <c r="W1975" s="2" t="s">
        <v>100</v>
      </c>
      <c r="X1975" s="2" t="s">
        <v>100</v>
      </c>
      <c r="Y1975" s="2" t="s">
        <v>100</v>
      </c>
      <c r="Z1975" s="4"/>
      <c r="AA1975" s="4">
        <f>=ROUNDDOWN({0},0)</f>
      </c>
      <c r="AB1975" s="5"/>
      <c r="AC1975" s="2" t="s">
        <v>2113</v>
      </c>
      <c r="AD1975" s="4">
        <v>300</v>
      </c>
      <c r="AE1975" s="4">
        <v>300</v>
      </c>
      <c r="AF1975" s="6"/>
      <c r="AG1975" s="6"/>
      <c r="AH1975" s="7">
        <v>0</v>
      </c>
      <c r="AI1975" s="4"/>
      <c r="AJ1975" s="4">
        <f>=ROUNDDOWN({0},0)</f>
      </c>
      <c r="AK1975" s="5"/>
      <c r="AL1975" s="2" t="s">
        <v>100</v>
      </c>
      <c r="AM1975" s="4"/>
      <c r="AN1975" s="4"/>
      <c r="AO1975" s="7">
        <v>0</v>
      </c>
      <c r="AP1975" s="4"/>
      <c r="AQ1975" s="8"/>
      <c r="AR1975" s="4"/>
      <c r="AS1975" s="8"/>
      <c r="AT1975" s="7"/>
      <c r="AU1975" s="7"/>
      <c r="AV1975" s="4" t="s">
        <v>100</v>
      </c>
      <c r="AW1975" s="8" t="s">
        <v>100</v>
      </c>
      <c r="AX1975" s="4" t="s">
        <v>100</v>
      </c>
      <c r="AY1975" s="8" t="s">
        <v>100</v>
      </c>
      <c r="AZ1975" s="7" t="s">
        <v>100</v>
      </c>
      <c r="BA1975" s="7" t="s">
        <v>100</v>
      </c>
      <c r="BB1975" s="7"/>
      <c r="BC1975" s="4" t="s">
        <v>100</v>
      </c>
      <c r="BD1975" s="8" t="s">
        <v>100</v>
      </c>
      <c r="BE1975" s="4" t="s">
        <v>100</v>
      </c>
      <c r="BF1975" s="8" t="s">
        <v>100</v>
      </c>
      <c r="BG1975" s="7" t="s">
        <v>100</v>
      </c>
      <c r="BH1975" s="7" t="s">
        <v>100</v>
      </c>
      <c r="BI1975" s="7"/>
      <c r="BJ1975" s="4"/>
      <c r="BK1975" s="8"/>
      <c r="BL1975" s="2" t="s">
        <v>100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5637</v>
      </c>
      <c r="BV1975" s="2" t="s">
        <v>97</v>
      </c>
      <c r="BW1975" s="2" t="s">
        <v>100</v>
      </c>
      <c r="BX1975" s="2" t="s">
        <v>100</v>
      </c>
      <c r="BY1975" s="2" t="s">
        <v>112</v>
      </c>
      <c r="BZ1975" s="2" t="s">
        <v>100</v>
      </c>
    </row>
    <row r="1976">
      <c r="A1976" s="2" t="s">
        <v>5714</v>
      </c>
      <c r="B1976" s="2" t="s">
        <v>87</v>
      </c>
      <c r="C1976" s="2" t="s">
        <v>5599</v>
      </c>
      <c r="D1976" s="2" t="s">
        <v>89</v>
      </c>
      <c r="E1976" s="2" t="s">
        <v>90</v>
      </c>
      <c r="F1976" s="2" t="s">
        <v>5715</v>
      </c>
      <c r="G1976" s="2" t="s">
        <v>5715</v>
      </c>
      <c r="H1976" s="2" t="s">
        <v>5715</v>
      </c>
      <c r="I1976" s="2" t="s">
        <v>5682</v>
      </c>
      <c r="J1976" s="2" t="s">
        <v>114</v>
      </c>
      <c r="K1976" s="2" t="s">
        <v>5716</v>
      </c>
      <c r="L1976" s="3">
        <v>165</v>
      </c>
      <c r="M1976" s="3">
        <v>173.24</v>
      </c>
      <c r="N1976" s="3">
        <v>329.99</v>
      </c>
      <c r="O1976" s="2" t="s">
        <v>97</v>
      </c>
      <c r="P1976" s="2" t="s">
        <v>447</v>
      </c>
      <c r="Q1976" s="2" t="s">
        <v>99</v>
      </c>
      <c r="R1976" s="2" t="s">
        <v>100</v>
      </c>
      <c r="S1976" s="2" t="s">
        <v>5717</v>
      </c>
      <c r="T1976" s="2" t="s">
        <v>100</v>
      </c>
      <c r="U1976" s="2" t="s">
        <v>283</v>
      </c>
      <c r="V1976" s="2" t="s">
        <v>1265</v>
      </c>
      <c r="W1976" s="2" t="s">
        <v>1240</v>
      </c>
      <c r="X1976" s="2" t="s">
        <v>100</v>
      </c>
      <c r="Y1976" s="2" t="s">
        <v>3542</v>
      </c>
      <c r="Z1976" s="4">
        <v>119</v>
      </c>
      <c r="AA1976" s="4">
        <f>=ROUNDDOWN(17,0)</f>
      </c>
      <c r="AB1976" s="5">
        <v>7</v>
      </c>
      <c r="AC1976" s="2" t="s">
        <v>593</v>
      </c>
      <c r="AD1976" s="4">
        <v>70</v>
      </c>
      <c r="AE1976" s="4">
        <v>70</v>
      </c>
      <c r="AF1976" s="6">
        <v>67</v>
      </c>
      <c r="AG1976" s="6"/>
      <c r="AH1976" s="7">
        <v>1</v>
      </c>
      <c r="AI1976" s="4"/>
      <c r="AJ1976" s="4">
        <f>=ROUNDDOWN({0},0)</f>
      </c>
      <c r="AK1976" s="5"/>
      <c r="AL1976" s="2" t="s">
        <v>100</v>
      </c>
      <c r="AM1976" s="4"/>
      <c r="AN1976" s="4"/>
      <c r="AO1976" s="7">
        <v>0</v>
      </c>
      <c r="AP1976" s="4"/>
      <c r="AQ1976" s="8"/>
      <c r="AR1976" s="4"/>
      <c r="AS1976" s="8"/>
      <c r="AT1976" s="7"/>
      <c r="AU1976" s="7"/>
      <c r="AV1976" s="4" t="s">
        <v>100</v>
      </c>
      <c r="AW1976" s="8" t="s">
        <v>100</v>
      </c>
      <c r="AX1976" s="4" t="s">
        <v>100</v>
      </c>
      <c r="AY1976" s="8" t="s">
        <v>100</v>
      </c>
      <c r="AZ1976" s="7" t="s">
        <v>100</v>
      </c>
      <c r="BA1976" s="7" t="s">
        <v>100</v>
      </c>
      <c r="BB1976" s="7"/>
      <c r="BC1976" s="4" t="s">
        <v>100</v>
      </c>
      <c r="BD1976" s="8" t="s">
        <v>100</v>
      </c>
      <c r="BE1976" s="4" t="s">
        <v>100</v>
      </c>
      <c r="BF1976" s="8" t="s">
        <v>100</v>
      </c>
      <c r="BG1976" s="7" t="s">
        <v>100</v>
      </c>
      <c r="BH1976" s="7" t="s">
        <v>100</v>
      </c>
      <c r="BI1976" s="7"/>
      <c r="BJ1976" s="4">
        <v>8</v>
      </c>
      <c r="BK1976" s="8">
        <v>1486.89</v>
      </c>
      <c r="BL1976" s="2" t="s">
        <v>5718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109</v>
      </c>
      <c r="BV1976" s="2" t="s">
        <v>97</v>
      </c>
      <c r="BW1976" s="2" t="s">
        <v>110</v>
      </c>
      <c r="BX1976" s="2" t="s">
        <v>1792</v>
      </c>
      <c r="BY1976" s="2" t="s">
        <v>112</v>
      </c>
      <c r="BZ1976" s="2" t="s">
        <v>100</v>
      </c>
    </row>
    <row r="1977">
      <c r="A1977" s="2" t="s">
        <v>5719</v>
      </c>
      <c r="B1977" s="2" t="s">
        <v>87</v>
      </c>
      <c r="C1977" s="2" t="s">
        <v>5599</v>
      </c>
      <c r="D1977" s="2" t="s">
        <v>89</v>
      </c>
      <c r="E1977" s="2" t="s">
        <v>90</v>
      </c>
      <c r="F1977" s="2" t="s">
        <v>5715</v>
      </c>
      <c r="G1977" s="2" t="s">
        <v>5715</v>
      </c>
      <c r="H1977" s="2" t="s">
        <v>5715</v>
      </c>
      <c r="I1977" s="2" t="s">
        <v>5685</v>
      </c>
      <c r="J1977" s="2" t="s">
        <v>120</v>
      </c>
      <c r="K1977" s="2" t="s">
        <v>5716</v>
      </c>
      <c r="L1977" s="3">
        <v>190</v>
      </c>
      <c r="M1977" s="3">
        <v>199.49</v>
      </c>
      <c r="N1977" s="3">
        <v>379.99</v>
      </c>
      <c r="O1977" s="2" t="s">
        <v>97</v>
      </c>
      <c r="P1977" s="2" t="s">
        <v>447</v>
      </c>
      <c r="Q1977" s="2" t="s">
        <v>99</v>
      </c>
      <c r="R1977" s="2" t="s">
        <v>100</v>
      </c>
      <c r="S1977" s="2" t="s">
        <v>5717</v>
      </c>
      <c r="T1977" s="2" t="s">
        <v>100</v>
      </c>
      <c r="U1977" s="2" t="s">
        <v>343</v>
      </c>
      <c r="V1977" s="2" t="s">
        <v>1265</v>
      </c>
      <c r="W1977" s="2" t="s">
        <v>1240</v>
      </c>
      <c r="X1977" s="2" t="s">
        <v>100</v>
      </c>
      <c r="Y1977" s="2" t="s">
        <v>3542</v>
      </c>
      <c r="Z1977" s="4">
        <v>99</v>
      </c>
      <c r="AA1977" s="4">
        <f>=ROUNDDOWN(9.9,0)</f>
      </c>
      <c r="AB1977" s="5">
        <v>10</v>
      </c>
      <c r="AC1977" s="2" t="s">
        <v>168</v>
      </c>
      <c r="AD1977" s="4">
        <v>120</v>
      </c>
      <c r="AE1977" s="4">
        <v>280</v>
      </c>
      <c r="AF1977" s="6">
        <v>67</v>
      </c>
      <c r="AG1977" s="6"/>
      <c r="AH1977" s="7">
        <v>1</v>
      </c>
      <c r="AI1977" s="4"/>
      <c r="AJ1977" s="4">
        <f>=ROUNDDOWN({0},0)</f>
      </c>
      <c r="AK1977" s="5"/>
      <c r="AL1977" s="2" t="s">
        <v>100</v>
      </c>
      <c r="AM1977" s="4"/>
      <c r="AN1977" s="4"/>
      <c r="AO1977" s="7">
        <v>0</v>
      </c>
      <c r="AP1977" s="4"/>
      <c r="AQ1977" s="8"/>
      <c r="AR1977" s="4"/>
      <c r="AS1977" s="8"/>
      <c r="AT1977" s="7"/>
      <c r="AU1977" s="7"/>
      <c r="AV1977" s="4" t="s">
        <v>100</v>
      </c>
      <c r="AW1977" s="8" t="s">
        <v>100</v>
      </c>
      <c r="AX1977" s="4" t="s">
        <v>100</v>
      </c>
      <c r="AY1977" s="8" t="s">
        <v>100</v>
      </c>
      <c r="AZ1977" s="7" t="s">
        <v>100</v>
      </c>
      <c r="BA1977" s="7" t="s">
        <v>100</v>
      </c>
      <c r="BB1977" s="7"/>
      <c r="BC1977" s="4" t="s">
        <v>100</v>
      </c>
      <c r="BD1977" s="8" t="s">
        <v>100</v>
      </c>
      <c r="BE1977" s="4" t="s">
        <v>100</v>
      </c>
      <c r="BF1977" s="8" t="s">
        <v>100</v>
      </c>
      <c r="BG1977" s="7" t="s">
        <v>100</v>
      </c>
      <c r="BH1977" s="7" t="s">
        <v>100</v>
      </c>
      <c r="BI1977" s="7"/>
      <c r="BJ1977" s="4">
        <v>9</v>
      </c>
      <c r="BK1977" s="8">
        <v>2004.29</v>
      </c>
      <c r="BL1977" s="2" t="s">
        <v>5720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109</v>
      </c>
      <c r="BV1977" s="2" t="s">
        <v>97</v>
      </c>
      <c r="BW1977" s="2" t="s">
        <v>110</v>
      </c>
      <c r="BX1977" s="2" t="s">
        <v>3805</v>
      </c>
      <c r="BY1977" s="2" t="s">
        <v>112</v>
      </c>
      <c r="BZ1977" s="2" t="s">
        <v>100</v>
      </c>
    </row>
    <row r="1978">
      <c r="A1978" s="2" t="s">
        <v>5721</v>
      </c>
      <c r="B1978" s="2" t="s">
        <v>87</v>
      </c>
      <c r="C1978" s="2" t="s">
        <v>5599</v>
      </c>
      <c r="D1978" s="2" t="s">
        <v>89</v>
      </c>
      <c r="E1978" s="2" t="s">
        <v>90</v>
      </c>
      <c r="F1978" s="2" t="s">
        <v>5722</v>
      </c>
      <c r="G1978" s="2" t="s">
        <v>100</v>
      </c>
      <c r="H1978" s="2" t="s">
        <v>100</v>
      </c>
      <c r="I1978" s="2" t="s">
        <v>1860</v>
      </c>
      <c r="J1978" s="2" t="s">
        <v>114</v>
      </c>
      <c r="K1978" s="2" t="s">
        <v>146</v>
      </c>
      <c r="L1978" s="3">
        <v>139.5</v>
      </c>
      <c r="M1978" s="3">
        <v>146.47</v>
      </c>
      <c r="N1978" s="3">
        <v>309.99</v>
      </c>
      <c r="O1978" s="2" t="s">
        <v>97</v>
      </c>
      <c r="P1978" s="2" t="s">
        <v>341</v>
      </c>
      <c r="Q1978" s="2" t="s">
        <v>99</v>
      </c>
      <c r="R1978" s="2" t="s">
        <v>100</v>
      </c>
      <c r="S1978" s="2" t="s">
        <v>5723</v>
      </c>
      <c r="T1978" s="2" t="s">
        <v>100</v>
      </c>
      <c r="U1978" s="2" t="s">
        <v>283</v>
      </c>
      <c r="V1978" s="2" t="s">
        <v>734</v>
      </c>
      <c r="W1978" s="2" t="s">
        <v>105</v>
      </c>
      <c r="X1978" s="2" t="s">
        <v>5603</v>
      </c>
      <c r="Y1978" s="2" t="s">
        <v>131</v>
      </c>
      <c r="Z1978" s="4">
        <v>234</v>
      </c>
      <c r="AA1978" s="4">
        <f>=ROUNDDOWN(13.7647058823529,0)</f>
      </c>
      <c r="AB1978" s="5">
        <v>17</v>
      </c>
      <c r="AC1978" s="2" t="s">
        <v>680</v>
      </c>
      <c r="AD1978" s="4">
        <v>100</v>
      </c>
      <c r="AE1978" s="4">
        <v>450</v>
      </c>
      <c r="AF1978" s="6">
        <v>67</v>
      </c>
      <c r="AG1978" s="6">
        <v>50</v>
      </c>
      <c r="AH1978" s="7">
        <v>1</v>
      </c>
      <c r="AI1978" s="4"/>
      <c r="AJ1978" s="4">
        <f>=ROUNDDOWN({0},0)</f>
      </c>
      <c r="AK1978" s="5"/>
      <c r="AL1978" s="2" t="s">
        <v>100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 t="s">
        <v>100</v>
      </c>
      <c r="AW1978" s="8" t="s">
        <v>100</v>
      </c>
      <c r="AX1978" s="4" t="s">
        <v>100</v>
      </c>
      <c r="AY1978" s="8" t="s">
        <v>100</v>
      </c>
      <c r="AZ1978" s="7" t="s">
        <v>100</v>
      </c>
      <c r="BA1978" s="7" t="s">
        <v>100</v>
      </c>
      <c r="BB1978" s="7"/>
      <c r="BC1978" s="4" t="s">
        <v>100</v>
      </c>
      <c r="BD1978" s="8" t="s">
        <v>100</v>
      </c>
      <c r="BE1978" s="4" t="s">
        <v>100</v>
      </c>
      <c r="BF1978" s="8" t="s">
        <v>100</v>
      </c>
      <c r="BG1978" s="7" t="s">
        <v>100</v>
      </c>
      <c r="BH1978" s="7" t="s">
        <v>100</v>
      </c>
      <c r="BI1978" s="7"/>
      <c r="BJ1978" s="4">
        <v>6</v>
      </c>
      <c r="BK1978" s="8">
        <v>906.26</v>
      </c>
      <c r="BL1978" s="2" t="s">
        <v>989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109</v>
      </c>
      <c r="BV1978" s="2" t="s">
        <v>97</v>
      </c>
      <c r="BW1978" s="2" t="s">
        <v>3420</v>
      </c>
      <c r="BX1978" s="2" t="s">
        <v>1144</v>
      </c>
      <c r="BY1978" s="2" t="s">
        <v>112</v>
      </c>
      <c r="BZ1978" s="2" t="s">
        <v>100</v>
      </c>
    </row>
    <row r="1979">
      <c r="A1979" s="2" t="s">
        <v>5724</v>
      </c>
      <c r="B1979" s="2" t="s">
        <v>87</v>
      </c>
      <c r="C1979" s="2" t="s">
        <v>5599</v>
      </c>
      <c r="D1979" s="2" t="s">
        <v>89</v>
      </c>
      <c r="E1979" s="2" t="s">
        <v>90</v>
      </c>
      <c r="F1979" s="2" t="s">
        <v>5722</v>
      </c>
      <c r="G1979" s="2" t="s">
        <v>100</v>
      </c>
      <c r="H1979" s="2" t="s">
        <v>100</v>
      </c>
      <c r="I1979" s="2" t="s">
        <v>1860</v>
      </c>
      <c r="J1979" s="2" t="s">
        <v>120</v>
      </c>
      <c r="K1979" s="2" t="s">
        <v>146</v>
      </c>
      <c r="L1979" s="3">
        <v>165.6</v>
      </c>
      <c r="M1979" s="3">
        <v>173.88</v>
      </c>
      <c r="N1979" s="3">
        <v>359.99</v>
      </c>
      <c r="O1979" s="2" t="s">
        <v>97</v>
      </c>
      <c r="P1979" s="2" t="s">
        <v>341</v>
      </c>
      <c r="Q1979" s="2" t="s">
        <v>99</v>
      </c>
      <c r="R1979" s="2" t="s">
        <v>100</v>
      </c>
      <c r="S1979" s="2" t="s">
        <v>5723</v>
      </c>
      <c r="T1979" s="2" t="s">
        <v>100</v>
      </c>
      <c r="U1979" s="2" t="s">
        <v>343</v>
      </c>
      <c r="V1979" s="2" t="s">
        <v>734</v>
      </c>
      <c r="W1979" s="2" t="s">
        <v>105</v>
      </c>
      <c r="X1979" s="2" t="s">
        <v>5603</v>
      </c>
      <c r="Y1979" s="2" t="s">
        <v>131</v>
      </c>
      <c r="Z1979" s="4">
        <v>546</v>
      </c>
      <c r="AA1979" s="4">
        <f>=ROUNDDOWN(18.2,0)</f>
      </c>
      <c r="AB1979" s="5">
        <v>30</v>
      </c>
      <c r="AC1979" s="2" t="s">
        <v>680</v>
      </c>
      <c r="AD1979" s="4">
        <v>250</v>
      </c>
      <c r="AE1979" s="4">
        <v>520</v>
      </c>
      <c r="AF1979" s="6">
        <v>67</v>
      </c>
      <c r="AG1979" s="6">
        <v>50</v>
      </c>
      <c r="AH1979" s="7">
        <v>1</v>
      </c>
      <c r="AI1979" s="4"/>
      <c r="AJ1979" s="4">
        <f>=ROUNDDOWN({0},0)</f>
      </c>
      <c r="AK1979" s="5"/>
      <c r="AL1979" s="2" t="s">
        <v>100</v>
      </c>
      <c r="AM1979" s="4"/>
      <c r="AN1979" s="4"/>
      <c r="AO1979" s="7">
        <v>0</v>
      </c>
      <c r="AP1979" s="4"/>
      <c r="AQ1979" s="8"/>
      <c r="AR1979" s="4"/>
      <c r="AS1979" s="8"/>
      <c r="AT1979" s="7"/>
      <c r="AU1979" s="7"/>
      <c r="AV1979" s="4" t="s">
        <v>100</v>
      </c>
      <c r="AW1979" s="8" t="s">
        <v>100</v>
      </c>
      <c r="AX1979" s="4" t="s">
        <v>100</v>
      </c>
      <c r="AY1979" s="8" t="s">
        <v>100</v>
      </c>
      <c r="AZ1979" s="7" t="s">
        <v>100</v>
      </c>
      <c r="BA1979" s="7" t="s">
        <v>100</v>
      </c>
      <c r="BB1979" s="7"/>
      <c r="BC1979" s="4" t="s">
        <v>100</v>
      </c>
      <c r="BD1979" s="8" t="s">
        <v>100</v>
      </c>
      <c r="BE1979" s="4" t="s">
        <v>100</v>
      </c>
      <c r="BF1979" s="8" t="s">
        <v>100</v>
      </c>
      <c r="BG1979" s="7" t="s">
        <v>100</v>
      </c>
      <c r="BH1979" s="7" t="s">
        <v>100</v>
      </c>
      <c r="BI1979" s="7"/>
      <c r="BJ1979" s="4">
        <v>25</v>
      </c>
      <c r="BK1979" s="8">
        <v>4308.61</v>
      </c>
      <c r="BL1979" s="2" t="s">
        <v>1749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109</v>
      </c>
      <c r="BV1979" s="2" t="s">
        <v>97</v>
      </c>
      <c r="BW1979" s="2" t="s">
        <v>3420</v>
      </c>
      <c r="BX1979" s="2" t="s">
        <v>3421</v>
      </c>
      <c r="BY1979" s="2" t="s">
        <v>112</v>
      </c>
      <c r="BZ1979" s="2" t="s">
        <v>100</v>
      </c>
    </row>
    <row r="1980">
      <c r="A1980" s="2" t="s">
        <v>5725</v>
      </c>
      <c r="B1980" s="2" t="s">
        <v>87</v>
      </c>
      <c r="C1980" s="2" t="s">
        <v>5599</v>
      </c>
      <c r="D1980" s="2" t="s">
        <v>89</v>
      </c>
      <c r="E1980" s="2" t="s">
        <v>90</v>
      </c>
      <c r="F1980" s="2" t="s">
        <v>5726</v>
      </c>
      <c r="G1980" s="2" t="s">
        <v>5726</v>
      </c>
      <c r="H1980" s="2" t="s">
        <v>5726</v>
      </c>
      <c r="I1980" s="2" t="s">
        <v>1860</v>
      </c>
      <c r="J1980" s="2" t="s">
        <v>114</v>
      </c>
      <c r="K1980" s="2" t="s">
        <v>198</v>
      </c>
      <c r="L1980" s="3">
        <v>139.5</v>
      </c>
      <c r="M1980" s="3">
        <v>146.48</v>
      </c>
      <c r="N1980" s="3">
        <v>309.99</v>
      </c>
      <c r="O1980" s="2" t="s">
        <v>473</v>
      </c>
      <c r="P1980" s="2" t="s">
        <v>447</v>
      </c>
      <c r="Q1980" s="2" t="s">
        <v>99</v>
      </c>
      <c r="R1980" s="2" t="s">
        <v>100</v>
      </c>
      <c r="S1980" s="2" t="s">
        <v>5727</v>
      </c>
      <c r="T1980" s="2" t="s">
        <v>100</v>
      </c>
      <c r="U1980" s="2" t="s">
        <v>283</v>
      </c>
      <c r="V1980" s="2" t="s">
        <v>677</v>
      </c>
      <c r="W1980" s="2" t="s">
        <v>104</v>
      </c>
      <c r="X1980" s="2" t="s">
        <v>5603</v>
      </c>
      <c r="Y1980" s="2" t="s">
        <v>5728</v>
      </c>
      <c r="Z1980" s="4"/>
      <c r="AA1980" s="4">
        <f>=ROUNDDOWN({0},0)</f>
      </c>
      <c r="AB1980" s="5">
        <v>0.9</v>
      </c>
      <c r="AC1980" s="2" t="s">
        <v>100</v>
      </c>
      <c r="AD1980" s="4"/>
      <c r="AE1980" s="4"/>
      <c r="AF1980" s="6">
        <v>67</v>
      </c>
      <c r="AG1980" s="6"/>
      <c r="AH1980" s="7">
        <v>0</v>
      </c>
      <c r="AI1980" s="4"/>
      <c r="AJ1980" s="4">
        <f>=ROUNDDOWN({0},0)</f>
      </c>
      <c r="AK1980" s="5"/>
      <c r="AL1980" s="2" t="s">
        <v>100</v>
      </c>
      <c r="AM1980" s="4"/>
      <c r="AN1980" s="4"/>
      <c r="AO1980" s="7">
        <v>0</v>
      </c>
      <c r="AP1980" s="4"/>
      <c r="AQ1980" s="8"/>
      <c r="AR1980" s="4"/>
      <c r="AS1980" s="8"/>
      <c r="AT1980" s="7"/>
      <c r="AU1980" s="7"/>
      <c r="AV1980" s="4"/>
      <c r="AW1980" s="8"/>
      <c r="AX1980" s="4"/>
      <c r="AY1980" s="8"/>
      <c r="AZ1980" s="7"/>
      <c r="BA1980" s="7"/>
      <c r="BB1980" s="7"/>
      <c r="BC1980" s="4"/>
      <c r="BD1980" s="8"/>
      <c r="BE1980" s="4"/>
      <c r="BF1980" s="8"/>
      <c r="BG1980" s="7"/>
      <c r="BH1980" s="7"/>
      <c r="BI1980" s="7"/>
      <c r="BJ1980" s="4"/>
      <c r="BK1980" s="8"/>
      <c r="BL1980" s="2" t="s">
        <v>100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109</v>
      </c>
      <c r="BV1980" s="2" t="s">
        <v>97</v>
      </c>
      <c r="BW1980" s="2" t="s">
        <v>3420</v>
      </c>
      <c r="BX1980" s="2" t="s">
        <v>5729</v>
      </c>
      <c r="BY1980" s="2" t="s">
        <v>112</v>
      </c>
      <c r="BZ1980" s="2" t="s">
        <v>100</v>
      </c>
    </row>
    <row r="1981">
      <c r="A1981" s="2" t="s">
        <v>5730</v>
      </c>
      <c r="B1981" s="2" t="s">
        <v>87</v>
      </c>
      <c r="C1981" s="2" t="s">
        <v>5599</v>
      </c>
      <c r="D1981" s="2" t="s">
        <v>89</v>
      </c>
      <c r="E1981" s="2" t="s">
        <v>90</v>
      </c>
      <c r="F1981" s="2" t="s">
        <v>5731</v>
      </c>
      <c r="G1981" s="2" t="s">
        <v>5731</v>
      </c>
      <c r="H1981" s="2" t="s">
        <v>5731</v>
      </c>
      <c r="I1981" s="2" t="s">
        <v>4106</v>
      </c>
      <c r="J1981" s="2" t="s">
        <v>114</v>
      </c>
      <c r="K1981" s="2" t="s">
        <v>763</v>
      </c>
      <c r="L1981" s="3">
        <v>172.2</v>
      </c>
      <c r="M1981" s="3">
        <v>180.81</v>
      </c>
      <c r="N1981" s="3">
        <v>409.99</v>
      </c>
      <c r="O1981" s="2" t="s">
        <v>97</v>
      </c>
      <c r="P1981" s="2" t="s">
        <v>341</v>
      </c>
      <c r="Q1981" s="2" t="s">
        <v>99</v>
      </c>
      <c r="R1981" s="2" t="s">
        <v>100</v>
      </c>
      <c r="S1981" s="2" t="s">
        <v>5732</v>
      </c>
      <c r="T1981" s="2" t="s">
        <v>359</v>
      </c>
      <c r="U1981" s="2" t="s">
        <v>283</v>
      </c>
      <c r="V1981" s="2" t="s">
        <v>1112</v>
      </c>
      <c r="W1981" s="2" t="s">
        <v>788</v>
      </c>
      <c r="X1981" s="2" t="s">
        <v>5603</v>
      </c>
      <c r="Y1981" s="2" t="s">
        <v>5733</v>
      </c>
      <c r="Z1981" s="4">
        <v>667</v>
      </c>
      <c r="AA1981" s="4">
        <f>=ROUNDDOWN(44.4666666666667,0)</f>
      </c>
      <c r="AB1981" s="5">
        <v>15</v>
      </c>
      <c r="AC1981" s="2" t="s">
        <v>165</v>
      </c>
      <c r="AD1981" s="4">
        <v>30</v>
      </c>
      <c r="AE1981" s="4">
        <v>80</v>
      </c>
      <c r="AF1981" s="6">
        <v>67</v>
      </c>
      <c r="AG1981" s="6">
        <v>50</v>
      </c>
      <c r="AH1981" s="7">
        <v>1</v>
      </c>
      <c r="AI1981" s="4"/>
      <c r="AJ1981" s="4">
        <f>=ROUNDDOWN({0},0)</f>
      </c>
      <c r="AK1981" s="5"/>
      <c r="AL1981" s="2" t="s">
        <v>100</v>
      </c>
      <c r="AM1981" s="4"/>
      <c r="AN1981" s="4"/>
      <c r="AO1981" s="7">
        <v>0</v>
      </c>
      <c r="AP1981" s="4"/>
      <c r="AQ1981" s="8"/>
      <c r="AR1981" s="4"/>
      <c r="AS1981" s="8"/>
      <c r="AT1981" s="7"/>
      <c r="AU1981" s="7"/>
      <c r="AV1981" s="4" t="s">
        <v>100</v>
      </c>
      <c r="AW1981" s="8" t="s">
        <v>100</v>
      </c>
      <c r="AX1981" s="4" t="s">
        <v>100</v>
      </c>
      <c r="AY1981" s="8" t="s">
        <v>100</v>
      </c>
      <c r="AZ1981" s="7" t="s">
        <v>100</v>
      </c>
      <c r="BA1981" s="7" t="s">
        <v>100</v>
      </c>
      <c r="BB1981" s="7"/>
      <c r="BC1981" s="4" t="s">
        <v>100</v>
      </c>
      <c r="BD1981" s="8" t="s">
        <v>100</v>
      </c>
      <c r="BE1981" s="4" t="s">
        <v>100</v>
      </c>
      <c r="BF1981" s="8" t="s">
        <v>100</v>
      </c>
      <c r="BG1981" s="7" t="s">
        <v>100</v>
      </c>
      <c r="BH1981" s="7" t="s">
        <v>100</v>
      </c>
      <c r="BI1981" s="7"/>
      <c r="BJ1981" s="4">
        <v>13</v>
      </c>
      <c r="BK1981" s="8">
        <v>2275.49</v>
      </c>
      <c r="BL1981" s="2" t="s">
        <v>5734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109</v>
      </c>
      <c r="BV1981" s="2" t="s">
        <v>97</v>
      </c>
      <c r="BW1981" s="2" t="s">
        <v>3420</v>
      </c>
      <c r="BX1981" s="2" t="s">
        <v>5171</v>
      </c>
      <c r="BY1981" s="2" t="s">
        <v>112</v>
      </c>
      <c r="BZ1981" s="2" t="s">
        <v>100</v>
      </c>
    </row>
    <row r="1982">
      <c r="A1982" s="2" t="s">
        <v>5735</v>
      </c>
      <c r="B1982" s="2" t="s">
        <v>87</v>
      </c>
      <c r="C1982" s="2" t="s">
        <v>5599</v>
      </c>
      <c r="D1982" s="2" t="s">
        <v>89</v>
      </c>
      <c r="E1982" s="2" t="s">
        <v>90</v>
      </c>
      <c r="F1982" s="2" t="s">
        <v>5731</v>
      </c>
      <c r="G1982" s="2" t="s">
        <v>5731</v>
      </c>
      <c r="H1982" s="2" t="s">
        <v>5731</v>
      </c>
      <c r="I1982" s="2" t="s">
        <v>4106</v>
      </c>
      <c r="J1982" s="2" t="s">
        <v>120</v>
      </c>
      <c r="K1982" s="2" t="s">
        <v>763</v>
      </c>
      <c r="L1982" s="3">
        <v>202.4</v>
      </c>
      <c r="M1982" s="3">
        <v>212.52</v>
      </c>
      <c r="N1982" s="3">
        <v>459.99</v>
      </c>
      <c r="O1982" s="2" t="s">
        <v>97</v>
      </c>
      <c r="P1982" s="2" t="s">
        <v>341</v>
      </c>
      <c r="Q1982" s="2" t="s">
        <v>99</v>
      </c>
      <c r="R1982" s="2" t="s">
        <v>100</v>
      </c>
      <c r="S1982" s="2" t="s">
        <v>5732</v>
      </c>
      <c r="T1982" s="2" t="s">
        <v>359</v>
      </c>
      <c r="U1982" s="2" t="s">
        <v>343</v>
      </c>
      <c r="V1982" s="2" t="s">
        <v>1112</v>
      </c>
      <c r="W1982" s="2" t="s">
        <v>788</v>
      </c>
      <c r="X1982" s="2" t="s">
        <v>5603</v>
      </c>
      <c r="Y1982" s="2" t="s">
        <v>5733</v>
      </c>
      <c r="Z1982" s="4">
        <v>770</v>
      </c>
      <c r="AA1982" s="4">
        <f>=ROUNDDOWN(40.5263157894737,0)</f>
      </c>
      <c r="AB1982" s="5">
        <v>19</v>
      </c>
      <c r="AC1982" s="2" t="s">
        <v>165</v>
      </c>
      <c r="AD1982" s="4">
        <v>50</v>
      </c>
      <c r="AE1982" s="4">
        <v>170</v>
      </c>
      <c r="AF1982" s="6">
        <v>67</v>
      </c>
      <c r="AG1982" s="6">
        <v>50</v>
      </c>
      <c r="AH1982" s="7">
        <v>1</v>
      </c>
      <c r="AI1982" s="4"/>
      <c r="AJ1982" s="4">
        <f>=ROUNDDOWN({0},0)</f>
      </c>
      <c r="AK1982" s="5"/>
      <c r="AL1982" s="2" t="s">
        <v>100</v>
      </c>
      <c r="AM1982" s="4"/>
      <c r="AN1982" s="4"/>
      <c r="AO1982" s="7">
        <v>0</v>
      </c>
      <c r="AP1982" s="4"/>
      <c r="AQ1982" s="8"/>
      <c r="AR1982" s="4"/>
      <c r="AS1982" s="8"/>
      <c r="AT1982" s="7"/>
      <c r="AU1982" s="7"/>
      <c r="AV1982" s="4" t="s">
        <v>100</v>
      </c>
      <c r="AW1982" s="8" t="s">
        <v>100</v>
      </c>
      <c r="AX1982" s="4" t="s">
        <v>100</v>
      </c>
      <c r="AY1982" s="8" t="s">
        <v>100</v>
      </c>
      <c r="AZ1982" s="7" t="s">
        <v>100</v>
      </c>
      <c r="BA1982" s="7" t="s">
        <v>100</v>
      </c>
      <c r="BB1982" s="7"/>
      <c r="BC1982" s="4" t="s">
        <v>100</v>
      </c>
      <c r="BD1982" s="8" t="s">
        <v>100</v>
      </c>
      <c r="BE1982" s="4" t="s">
        <v>100</v>
      </c>
      <c r="BF1982" s="8" t="s">
        <v>100</v>
      </c>
      <c r="BG1982" s="7" t="s">
        <v>100</v>
      </c>
      <c r="BH1982" s="7" t="s">
        <v>100</v>
      </c>
      <c r="BI1982" s="7"/>
      <c r="BJ1982" s="4">
        <v>10</v>
      </c>
      <c r="BK1982" s="8">
        <v>2121.68</v>
      </c>
      <c r="BL1982" s="2" t="s">
        <v>5736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109</v>
      </c>
      <c r="BV1982" s="2" t="s">
        <v>97</v>
      </c>
      <c r="BW1982" s="2" t="s">
        <v>5737</v>
      </c>
      <c r="BX1982" s="2" t="s">
        <v>4584</v>
      </c>
      <c r="BY1982" s="2" t="s">
        <v>112</v>
      </c>
      <c r="BZ1982" s="2" t="s">
        <v>100</v>
      </c>
    </row>
    <row r="1983">
      <c r="A1983" s="2" t="s">
        <v>5738</v>
      </c>
      <c r="B1983" s="2" t="s">
        <v>87</v>
      </c>
      <c r="C1983" s="2" t="s">
        <v>5599</v>
      </c>
      <c r="D1983" s="2" t="s">
        <v>89</v>
      </c>
      <c r="E1983" s="2" t="s">
        <v>90</v>
      </c>
      <c r="F1983" s="2" t="s">
        <v>5731</v>
      </c>
      <c r="G1983" s="2" t="s">
        <v>5731</v>
      </c>
      <c r="H1983" s="2" t="s">
        <v>5731</v>
      </c>
      <c r="I1983" s="2" t="s">
        <v>4106</v>
      </c>
      <c r="J1983" s="2" t="s">
        <v>114</v>
      </c>
      <c r="K1983" s="2" t="s">
        <v>1555</v>
      </c>
      <c r="L1983" s="3">
        <v>172.2</v>
      </c>
      <c r="M1983" s="3">
        <v>180.81</v>
      </c>
      <c r="N1983" s="3">
        <v>409.99</v>
      </c>
      <c r="O1983" s="2" t="s">
        <v>97</v>
      </c>
      <c r="P1983" s="2" t="s">
        <v>1216</v>
      </c>
      <c r="Q1983" s="2" t="s">
        <v>99</v>
      </c>
      <c r="R1983" s="2" t="s">
        <v>100</v>
      </c>
      <c r="S1983" s="2" t="s">
        <v>5739</v>
      </c>
      <c r="T1983" s="2" t="s">
        <v>359</v>
      </c>
      <c r="U1983" s="2" t="s">
        <v>283</v>
      </c>
      <c r="V1983" s="2" t="s">
        <v>1112</v>
      </c>
      <c r="W1983" s="2" t="s">
        <v>788</v>
      </c>
      <c r="X1983" s="2" t="s">
        <v>5603</v>
      </c>
      <c r="Y1983" s="2" t="s">
        <v>100</v>
      </c>
      <c r="Z1983" s="4"/>
      <c r="AA1983" s="4">
        <f>=ROUNDDOWN({0},0)</f>
      </c>
      <c r="AB1983" s="5"/>
      <c r="AC1983" s="2" t="s">
        <v>1372</v>
      </c>
      <c r="AD1983" s="4">
        <v>130</v>
      </c>
      <c r="AE1983" s="4">
        <v>290</v>
      </c>
      <c r="AF1983" s="6">
        <v>67</v>
      </c>
      <c r="AG1983" s="6"/>
      <c r="AH1983" s="7">
        <v>0</v>
      </c>
      <c r="AI1983" s="4"/>
      <c r="AJ1983" s="4">
        <f>=ROUNDDOWN({0},0)</f>
      </c>
      <c r="AK1983" s="5"/>
      <c r="AL1983" s="2" t="s">
        <v>100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 t="s">
        <v>100</v>
      </c>
      <c r="AW1983" s="8" t="s">
        <v>100</v>
      </c>
      <c r="AX1983" s="4" t="s">
        <v>100</v>
      </c>
      <c r="AY1983" s="8" t="s">
        <v>100</v>
      </c>
      <c r="AZ1983" s="7" t="s">
        <v>100</v>
      </c>
      <c r="BA1983" s="7" t="s">
        <v>100</v>
      </c>
      <c r="BB1983" s="7"/>
      <c r="BC1983" s="4" t="s">
        <v>100</v>
      </c>
      <c r="BD1983" s="8" t="s">
        <v>100</v>
      </c>
      <c r="BE1983" s="4" t="s">
        <v>100</v>
      </c>
      <c r="BF1983" s="8" t="s">
        <v>100</v>
      </c>
      <c r="BG1983" s="7" t="s">
        <v>100</v>
      </c>
      <c r="BH1983" s="7" t="s">
        <v>100</v>
      </c>
      <c r="BI1983" s="7"/>
      <c r="BJ1983" s="4"/>
      <c r="BK1983" s="8"/>
      <c r="BL1983" s="2" t="s">
        <v>100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1338</v>
      </c>
      <c r="BV1983" s="2" t="s">
        <v>97</v>
      </c>
      <c r="BW1983" s="2" t="s">
        <v>100</v>
      </c>
      <c r="BX1983" s="2" t="s">
        <v>100</v>
      </c>
      <c r="BY1983" s="2" t="s">
        <v>112</v>
      </c>
      <c r="BZ1983" s="2" t="s">
        <v>100</v>
      </c>
    </row>
    <row r="1984">
      <c r="A1984" s="2" t="s">
        <v>5740</v>
      </c>
      <c r="B1984" s="2" t="s">
        <v>87</v>
      </c>
      <c r="C1984" s="2" t="s">
        <v>5599</v>
      </c>
      <c r="D1984" s="2" t="s">
        <v>89</v>
      </c>
      <c r="E1984" s="2" t="s">
        <v>90</v>
      </c>
      <c r="F1984" s="2" t="s">
        <v>5731</v>
      </c>
      <c r="G1984" s="2" t="s">
        <v>5731</v>
      </c>
      <c r="H1984" s="2" t="s">
        <v>5731</v>
      </c>
      <c r="I1984" s="2" t="s">
        <v>4106</v>
      </c>
      <c r="J1984" s="2" t="s">
        <v>120</v>
      </c>
      <c r="K1984" s="2" t="s">
        <v>1555</v>
      </c>
      <c r="L1984" s="3">
        <v>202.4</v>
      </c>
      <c r="M1984" s="3">
        <v>212.52</v>
      </c>
      <c r="N1984" s="3">
        <v>459.99</v>
      </c>
      <c r="O1984" s="2" t="s">
        <v>97</v>
      </c>
      <c r="P1984" s="2" t="s">
        <v>1216</v>
      </c>
      <c r="Q1984" s="2" t="s">
        <v>99</v>
      </c>
      <c r="R1984" s="2" t="s">
        <v>100</v>
      </c>
      <c r="S1984" s="2" t="s">
        <v>5739</v>
      </c>
      <c r="T1984" s="2" t="s">
        <v>359</v>
      </c>
      <c r="U1984" s="2" t="s">
        <v>343</v>
      </c>
      <c r="V1984" s="2" t="s">
        <v>1112</v>
      </c>
      <c r="W1984" s="2" t="s">
        <v>788</v>
      </c>
      <c r="X1984" s="2" t="s">
        <v>5603</v>
      </c>
      <c r="Y1984" s="2" t="s">
        <v>100</v>
      </c>
      <c r="Z1984" s="4"/>
      <c r="AA1984" s="4">
        <f>=ROUNDDOWN({0},0)</f>
      </c>
      <c r="AB1984" s="5"/>
      <c r="AC1984" s="2" t="s">
        <v>1372</v>
      </c>
      <c r="AD1984" s="4">
        <v>160</v>
      </c>
      <c r="AE1984" s="4">
        <v>360</v>
      </c>
      <c r="AF1984" s="6">
        <v>67</v>
      </c>
      <c r="AG1984" s="6"/>
      <c r="AH1984" s="7">
        <v>0</v>
      </c>
      <c r="AI1984" s="4"/>
      <c r="AJ1984" s="4">
        <f>=ROUNDDOWN({0},0)</f>
      </c>
      <c r="AK1984" s="5"/>
      <c r="AL1984" s="2" t="s">
        <v>100</v>
      </c>
      <c r="AM1984" s="4"/>
      <c r="AN1984" s="4"/>
      <c r="AO1984" s="7">
        <v>0</v>
      </c>
      <c r="AP1984" s="4"/>
      <c r="AQ1984" s="8"/>
      <c r="AR1984" s="4"/>
      <c r="AS1984" s="8"/>
      <c r="AT1984" s="7"/>
      <c r="AU1984" s="7"/>
      <c r="AV1984" s="4" t="s">
        <v>100</v>
      </c>
      <c r="AW1984" s="8" t="s">
        <v>100</v>
      </c>
      <c r="AX1984" s="4" t="s">
        <v>100</v>
      </c>
      <c r="AY1984" s="8" t="s">
        <v>100</v>
      </c>
      <c r="AZ1984" s="7" t="s">
        <v>100</v>
      </c>
      <c r="BA1984" s="7" t="s">
        <v>100</v>
      </c>
      <c r="BB1984" s="7"/>
      <c r="BC1984" s="4" t="s">
        <v>100</v>
      </c>
      <c r="BD1984" s="8" t="s">
        <v>100</v>
      </c>
      <c r="BE1984" s="4" t="s">
        <v>100</v>
      </c>
      <c r="BF1984" s="8" t="s">
        <v>100</v>
      </c>
      <c r="BG1984" s="7" t="s">
        <v>100</v>
      </c>
      <c r="BH1984" s="7" t="s">
        <v>100</v>
      </c>
      <c r="BI1984" s="7"/>
      <c r="BJ1984" s="4"/>
      <c r="BK1984" s="8"/>
      <c r="BL1984" s="2" t="s">
        <v>100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1338</v>
      </c>
      <c r="BV1984" s="2" t="s">
        <v>97</v>
      </c>
      <c r="BW1984" s="2" t="s">
        <v>100</v>
      </c>
      <c r="BX1984" s="2" t="s">
        <v>100</v>
      </c>
      <c r="BY1984" s="2" t="s">
        <v>112</v>
      </c>
      <c r="BZ1984" s="2" t="s">
        <v>100</v>
      </c>
    </row>
    <row r="1985">
      <c r="A1985" s="2" t="s">
        <v>5741</v>
      </c>
      <c r="B1985" s="2" t="s">
        <v>87</v>
      </c>
      <c r="C1985" s="2" t="s">
        <v>5599</v>
      </c>
      <c r="D1985" s="2" t="s">
        <v>2230</v>
      </c>
      <c r="E1985" s="2" t="s">
        <v>3064</v>
      </c>
      <c r="F1985" s="2" t="s">
        <v>1769</v>
      </c>
      <c r="G1985" s="2" t="s">
        <v>1769</v>
      </c>
      <c r="H1985" s="2" t="s">
        <v>1769</v>
      </c>
      <c r="I1985" s="2" t="s">
        <v>5742</v>
      </c>
      <c r="J1985" s="2" t="s">
        <v>785</v>
      </c>
      <c r="K1985" s="2" t="s">
        <v>253</v>
      </c>
      <c r="L1985" s="3">
        <v>67.2</v>
      </c>
      <c r="M1985" s="3">
        <v>70.56</v>
      </c>
      <c r="N1985" s="3">
        <v>159.99</v>
      </c>
      <c r="O1985" s="2" t="s">
        <v>97</v>
      </c>
      <c r="P1985" s="2" t="s">
        <v>383</v>
      </c>
      <c r="Q1985" s="2" t="s">
        <v>99</v>
      </c>
      <c r="R1985" s="2" t="s">
        <v>100</v>
      </c>
      <c r="S1985" s="2" t="s">
        <v>5743</v>
      </c>
      <c r="T1985" s="2" t="s">
        <v>100</v>
      </c>
      <c r="U1985" s="2" t="s">
        <v>1459</v>
      </c>
      <c r="V1985" s="2" t="s">
        <v>663</v>
      </c>
      <c r="W1985" s="2" t="s">
        <v>104</v>
      </c>
      <c r="X1985" s="2" t="s">
        <v>976</v>
      </c>
      <c r="Y1985" s="2" t="s">
        <v>1208</v>
      </c>
      <c r="Z1985" s="4">
        <v>142</v>
      </c>
      <c r="AA1985" s="4">
        <f>=ROUNDDOWN(9.46666666666667,0)</f>
      </c>
      <c r="AB1985" s="5">
        <v>15</v>
      </c>
      <c r="AC1985" s="2" t="s">
        <v>287</v>
      </c>
      <c r="AD1985" s="4">
        <v>80</v>
      </c>
      <c r="AE1985" s="4">
        <v>568</v>
      </c>
      <c r="AF1985" s="6">
        <v>67</v>
      </c>
      <c r="AG1985" s="6"/>
      <c r="AH1985" s="7">
        <v>1</v>
      </c>
      <c r="AI1985" s="4"/>
      <c r="AJ1985" s="4">
        <f>=ROUNDDOWN({0},0)</f>
      </c>
      <c r="AK1985" s="5"/>
      <c r="AL1985" s="2" t="s">
        <v>100</v>
      </c>
      <c r="AM1985" s="4"/>
      <c r="AN1985" s="4"/>
      <c r="AO1985" s="7">
        <v>0</v>
      </c>
      <c r="AP1985" s="4"/>
      <c r="AQ1985" s="8"/>
      <c r="AR1985" s="4"/>
      <c r="AS1985" s="8"/>
      <c r="AT1985" s="7"/>
      <c r="AU1985" s="7"/>
      <c r="AV1985" s="4" t="s">
        <v>100</v>
      </c>
      <c r="AW1985" s="8" t="s">
        <v>100</v>
      </c>
      <c r="AX1985" s="4" t="s">
        <v>100</v>
      </c>
      <c r="AY1985" s="8" t="s">
        <v>100</v>
      </c>
      <c r="AZ1985" s="7" t="s">
        <v>100</v>
      </c>
      <c r="BA1985" s="7" t="s">
        <v>100</v>
      </c>
      <c r="BB1985" s="7"/>
      <c r="BC1985" s="4" t="s">
        <v>100</v>
      </c>
      <c r="BD1985" s="8" t="s">
        <v>100</v>
      </c>
      <c r="BE1985" s="4" t="s">
        <v>100</v>
      </c>
      <c r="BF1985" s="8" t="s">
        <v>100</v>
      </c>
      <c r="BG1985" s="7" t="s">
        <v>100</v>
      </c>
      <c r="BH1985" s="7" t="s">
        <v>100</v>
      </c>
      <c r="BI1985" s="7"/>
      <c r="BJ1985" s="4">
        <v>1</v>
      </c>
      <c r="BK1985" s="8">
        <v>76.2</v>
      </c>
      <c r="BL1985" s="2" t="s">
        <v>2115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109</v>
      </c>
      <c r="BV1985" s="2" t="s">
        <v>97</v>
      </c>
      <c r="BW1985" s="2" t="s">
        <v>1518</v>
      </c>
      <c r="BX1985" s="2" t="s">
        <v>4412</v>
      </c>
      <c r="BY1985" s="2" t="s">
        <v>112</v>
      </c>
      <c r="BZ1985" s="2" t="s">
        <v>100</v>
      </c>
    </row>
    <row r="1986">
      <c r="A1986" s="2" t="s">
        <v>5744</v>
      </c>
      <c r="B1986" s="2" t="s">
        <v>87</v>
      </c>
      <c r="C1986" s="2" t="s">
        <v>5599</v>
      </c>
      <c r="D1986" s="2" t="s">
        <v>2230</v>
      </c>
      <c r="E1986" s="2" t="s">
        <v>3064</v>
      </c>
      <c r="F1986" s="2" t="s">
        <v>1769</v>
      </c>
      <c r="G1986" s="2" t="s">
        <v>1769</v>
      </c>
      <c r="H1986" s="2" t="s">
        <v>1769</v>
      </c>
      <c r="I1986" s="2" t="s">
        <v>5742</v>
      </c>
      <c r="J1986" s="2" t="s">
        <v>795</v>
      </c>
      <c r="K1986" s="2" t="s">
        <v>253</v>
      </c>
      <c r="L1986" s="3">
        <v>79.8</v>
      </c>
      <c r="M1986" s="3">
        <v>83.79</v>
      </c>
      <c r="N1986" s="3">
        <v>189.99</v>
      </c>
      <c r="O1986" s="2" t="s">
        <v>97</v>
      </c>
      <c r="P1986" s="2" t="s">
        <v>383</v>
      </c>
      <c r="Q1986" s="2" t="s">
        <v>99</v>
      </c>
      <c r="R1986" s="2" t="s">
        <v>100</v>
      </c>
      <c r="S1986" s="2" t="s">
        <v>5743</v>
      </c>
      <c r="T1986" s="2" t="s">
        <v>100</v>
      </c>
      <c r="U1986" s="2" t="s">
        <v>1459</v>
      </c>
      <c r="V1986" s="2" t="s">
        <v>663</v>
      </c>
      <c r="W1986" s="2" t="s">
        <v>104</v>
      </c>
      <c r="X1986" s="2" t="s">
        <v>976</v>
      </c>
      <c r="Y1986" s="2" t="s">
        <v>1208</v>
      </c>
      <c r="Z1986" s="4">
        <v>174</v>
      </c>
      <c r="AA1986" s="4">
        <f>=ROUNDDOWN(9.15789473684211,0)</f>
      </c>
      <c r="AB1986" s="5">
        <v>19</v>
      </c>
      <c r="AC1986" s="2" t="s">
        <v>287</v>
      </c>
      <c r="AD1986" s="4">
        <v>110</v>
      </c>
      <c r="AE1986" s="4">
        <v>470</v>
      </c>
      <c r="AF1986" s="6">
        <v>67</v>
      </c>
      <c r="AG1986" s="6"/>
      <c r="AH1986" s="7">
        <v>1</v>
      </c>
      <c r="AI1986" s="4"/>
      <c r="AJ1986" s="4">
        <f>=ROUNDDOWN({0},0)</f>
      </c>
      <c r="AK1986" s="5"/>
      <c r="AL1986" s="2" t="s">
        <v>100</v>
      </c>
      <c r="AM1986" s="4"/>
      <c r="AN1986" s="4"/>
      <c r="AO1986" s="7">
        <v>0</v>
      </c>
      <c r="AP1986" s="4"/>
      <c r="AQ1986" s="8"/>
      <c r="AR1986" s="4"/>
      <c r="AS1986" s="8"/>
      <c r="AT1986" s="7"/>
      <c r="AU1986" s="7"/>
      <c r="AV1986" s="4" t="s">
        <v>100</v>
      </c>
      <c r="AW1986" s="8" t="s">
        <v>100</v>
      </c>
      <c r="AX1986" s="4" t="s">
        <v>100</v>
      </c>
      <c r="AY1986" s="8" t="s">
        <v>100</v>
      </c>
      <c r="AZ1986" s="7" t="s">
        <v>100</v>
      </c>
      <c r="BA1986" s="7" t="s">
        <v>100</v>
      </c>
      <c r="BB1986" s="7"/>
      <c r="BC1986" s="4" t="s">
        <v>100</v>
      </c>
      <c r="BD1986" s="8" t="s">
        <v>100</v>
      </c>
      <c r="BE1986" s="4" t="s">
        <v>100</v>
      </c>
      <c r="BF1986" s="8" t="s">
        <v>100</v>
      </c>
      <c r="BG1986" s="7" t="s">
        <v>100</v>
      </c>
      <c r="BH1986" s="7" t="s">
        <v>100</v>
      </c>
      <c r="BI1986" s="7"/>
      <c r="BJ1986" s="4">
        <v>7</v>
      </c>
      <c r="BK1986" s="8">
        <v>604.12</v>
      </c>
      <c r="BL1986" s="2" t="s">
        <v>1924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109</v>
      </c>
      <c r="BV1986" s="2" t="s">
        <v>97</v>
      </c>
      <c r="BW1986" s="2" t="s">
        <v>1518</v>
      </c>
      <c r="BX1986" s="2" t="s">
        <v>814</v>
      </c>
      <c r="BY1986" s="2" t="s">
        <v>112</v>
      </c>
      <c r="BZ1986" s="2" t="s">
        <v>100</v>
      </c>
    </row>
    <row r="1987">
      <c r="A1987" s="2" t="s">
        <v>5745</v>
      </c>
      <c r="B1987" s="2" t="s">
        <v>87</v>
      </c>
      <c r="C1987" s="2" t="s">
        <v>5599</v>
      </c>
      <c r="D1987" s="2" t="s">
        <v>2230</v>
      </c>
      <c r="E1987" s="2" t="s">
        <v>3064</v>
      </c>
      <c r="F1987" s="2" t="s">
        <v>394</v>
      </c>
      <c r="G1987" s="2" t="s">
        <v>394</v>
      </c>
      <c r="H1987" s="2" t="s">
        <v>394</v>
      </c>
      <c r="I1987" s="2" t="s">
        <v>5746</v>
      </c>
      <c r="J1987" s="2" t="s">
        <v>785</v>
      </c>
      <c r="K1987" s="2" t="s">
        <v>253</v>
      </c>
      <c r="L1987" s="3">
        <v>90.65</v>
      </c>
      <c r="M1987" s="3">
        <v>95.18</v>
      </c>
      <c r="N1987" s="3">
        <v>259</v>
      </c>
      <c r="O1987" s="2" t="s">
        <v>97</v>
      </c>
      <c r="P1987" s="2" t="s">
        <v>98</v>
      </c>
      <c r="Q1987" s="2" t="s">
        <v>99</v>
      </c>
      <c r="R1987" s="2" t="s">
        <v>100</v>
      </c>
      <c r="S1987" s="2" t="s">
        <v>5747</v>
      </c>
      <c r="T1987" s="2" t="s">
        <v>100</v>
      </c>
      <c r="U1987" s="2" t="s">
        <v>1508</v>
      </c>
      <c r="V1987" s="2" t="s">
        <v>645</v>
      </c>
      <c r="W1987" s="2" t="s">
        <v>104</v>
      </c>
      <c r="X1987" s="2" t="s">
        <v>1778</v>
      </c>
      <c r="Y1987" s="2" t="s">
        <v>5748</v>
      </c>
      <c r="Z1987" s="4">
        <v>265</v>
      </c>
      <c r="AA1987" s="4">
        <f>=ROUNDDOWN(44.1666666666667,0)</f>
      </c>
      <c r="AB1987" s="5">
        <v>6</v>
      </c>
      <c r="AC1987" s="2" t="s">
        <v>1487</v>
      </c>
      <c r="AD1987" s="4">
        <v>120</v>
      </c>
      <c r="AE1987" s="4">
        <v>120</v>
      </c>
      <c r="AF1987" s="6">
        <v>70</v>
      </c>
      <c r="AG1987" s="6"/>
      <c r="AH1987" s="7">
        <v>1</v>
      </c>
      <c r="AI1987" s="4"/>
      <c r="AJ1987" s="4">
        <f>=ROUNDDOWN({0},0)</f>
      </c>
      <c r="AK1987" s="5"/>
      <c r="AL1987" s="2" t="s">
        <v>100</v>
      </c>
      <c r="AM1987" s="4"/>
      <c r="AN1987" s="4"/>
      <c r="AO1987" s="7">
        <v>0</v>
      </c>
      <c r="AP1987" s="4"/>
      <c r="AQ1987" s="8"/>
      <c r="AR1987" s="4"/>
      <c r="AS1987" s="8"/>
      <c r="AT1987" s="7"/>
      <c r="AU1987" s="7"/>
      <c r="AV1987" s="4" t="s">
        <v>100</v>
      </c>
      <c r="AW1987" s="8" t="s">
        <v>100</v>
      </c>
      <c r="AX1987" s="4" t="s">
        <v>100</v>
      </c>
      <c r="AY1987" s="8" t="s">
        <v>100</v>
      </c>
      <c r="AZ1987" s="7" t="s">
        <v>100</v>
      </c>
      <c r="BA1987" s="7" t="s">
        <v>100</v>
      </c>
      <c r="BB1987" s="7"/>
      <c r="BC1987" s="4" t="s">
        <v>100</v>
      </c>
      <c r="BD1987" s="8" t="s">
        <v>100</v>
      </c>
      <c r="BE1987" s="4" t="s">
        <v>100</v>
      </c>
      <c r="BF1987" s="8" t="s">
        <v>100</v>
      </c>
      <c r="BG1987" s="7" t="s">
        <v>100</v>
      </c>
      <c r="BH1987" s="7" t="s">
        <v>100</v>
      </c>
      <c r="BI1987" s="7"/>
      <c r="BJ1987" s="4">
        <v>8</v>
      </c>
      <c r="BK1987" s="8">
        <v>690.68</v>
      </c>
      <c r="BL1987" s="2" t="s">
        <v>204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109</v>
      </c>
      <c r="BV1987" s="2" t="s">
        <v>97</v>
      </c>
      <c r="BW1987" s="2" t="s">
        <v>3420</v>
      </c>
      <c r="BX1987" s="2" t="s">
        <v>1097</v>
      </c>
      <c r="BY1987" s="2" t="s">
        <v>112</v>
      </c>
      <c r="BZ1987" s="2" t="s">
        <v>100</v>
      </c>
    </row>
    <row r="1988">
      <c r="A1988" s="2" t="s">
        <v>5749</v>
      </c>
      <c r="B1988" s="2" t="s">
        <v>87</v>
      </c>
      <c r="C1988" s="2" t="s">
        <v>5599</v>
      </c>
      <c r="D1988" s="2" t="s">
        <v>2230</v>
      </c>
      <c r="E1988" s="2" t="s">
        <v>3064</v>
      </c>
      <c r="F1988" s="2" t="s">
        <v>394</v>
      </c>
      <c r="G1988" s="2" t="s">
        <v>394</v>
      </c>
      <c r="H1988" s="2" t="s">
        <v>394</v>
      </c>
      <c r="I1988" s="2" t="s">
        <v>5746</v>
      </c>
      <c r="J1988" s="2" t="s">
        <v>120</v>
      </c>
      <c r="K1988" s="2" t="s">
        <v>253</v>
      </c>
      <c r="L1988" s="3">
        <v>108.15</v>
      </c>
      <c r="M1988" s="3">
        <v>113.56</v>
      </c>
      <c r="N1988" s="3">
        <v>309</v>
      </c>
      <c r="O1988" s="2" t="s">
        <v>97</v>
      </c>
      <c r="P1988" s="2" t="s">
        <v>98</v>
      </c>
      <c r="Q1988" s="2" t="s">
        <v>99</v>
      </c>
      <c r="R1988" s="2" t="s">
        <v>100</v>
      </c>
      <c r="S1988" s="2" t="s">
        <v>5747</v>
      </c>
      <c r="T1988" s="2" t="s">
        <v>100</v>
      </c>
      <c r="U1988" s="2" t="s">
        <v>1508</v>
      </c>
      <c r="V1988" s="2" t="s">
        <v>645</v>
      </c>
      <c r="W1988" s="2" t="s">
        <v>104</v>
      </c>
      <c r="X1988" s="2" t="s">
        <v>1778</v>
      </c>
      <c r="Y1988" s="2" t="s">
        <v>5748</v>
      </c>
      <c r="Z1988" s="4">
        <v>300</v>
      </c>
      <c r="AA1988" s="4">
        <f>=ROUNDDOWN(37.5,0)</f>
      </c>
      <c r="AB1988" s="5">
        <v>8</v>
      </c>
      <c r="AC1988" s="2" t="s">
        <v>1487</v>
      </c>
      <c r="AD1988" s="4">
        <v>130</v>
      </c>
      <c r="AE1988" s="4">
        <v>130</v>
      </c>
      <c r="AF1988" s="6">
        <v>70</v>
      </c>
      <c r="AG1988" s="6"/>
      <c r="AH1988" s="7">
        <v>1</v>
      </c>
      <c r="AI1988" s="4"/>
      <c r="AJ1988" s="4">
        <f>=ROUNDDOWN({0},0)</f>
      </c>
      <c r="AK1988" s="5"/>
      <c r="AL1988" s="2" t="s">
        <v>100</v>
      </c>
      <c r="AM1988" s="4"/>
      <c r="AN1988" s="4"/>
      <c r="AO1988" s="7">
        <v>0</v>
      </c>
      <c r="AP1988" s="4"/>
      <c r="AQ1988" s="8"/>
      <c r="AR1988" s="4"/>
      <c r="AS1988" s="8"/>
      <c r="AT1988" s="7"/>
      <c r="AU1988" s="7"/>
      <c r="AV1988" s="4" t="s">
        <v>100</v>
      </c>
      <c r="AW1988" s="8" t="s">
        <v>100</v>
      </c>
      <c r="AX1988" s="4" t="s">
        <v>100</v>
      </c>
      <c r="AY1988" s="8" t="s">
        <v>100</v>
      </c>
      <c r="AZ1988" s="7" t="s">
        <v>100</v>
      </c>
      <c r="BA1988" s="7" t="s">
        <v>100</v>
      </c>
      <c r="BB1988" s="7"/>
      <c r="BC1988" s="4" t="s">
        <v>100</v>
      </c>
      <c r="BD1988" s="8" t="s">
        <v>100</v>
      </c>
      <c r="BE1988" s="4" t="s">
        <v>100</v>
      </c>
      <c r="BF1988" s="8" t="s">
        <v>100</v>
      </c>
      <c r="BG1988" s="7" t="s">
        <v>100</v>
      </c>
      <c r="BH1988" s="7" t="s">
        <v>100</v>
      </c>
      <c r="BI1988" s="7"/>
      <c r="BJ1988" s="4">
        <v>6</v>
      </c>
      <c r="BK1988" s="8">
        <v>674.34</v>
      </c>
      <c r="BL1988" s="2" t="s">
        <v>108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109</v>
      </c>
      <c r="BV1988" s="2" t="s">
        <v>97</v>
      </c>
      <c r="BW1988" s="2" t="s">
        <v>3420</v>
      </c>
      <c r="BX1988" s="2" t="s">
        <v>1144</v>
      </c>
      <c r="BY1988" s="2" t="s">
        <v>112</v>
      </c>
      <c r="BZ1988" s="2" t="s">
        <v>100</v>
      </c>
    </row>
    <row r="1989">
      <c r="A1989" s="2" t="s">
        <v>5750</v>
      </c>
      <c r="B1989" s="2" t="s">
        <v>87</v>
      </c>
      <c r="C1989" s="2" t="s">
        <v>5599</v>
      </c>
      <c r="D1989" s="2" t="s">
        <v>2230</v>
      </c>
      <c r="E1989" s="2" t="s">
        <v>3064</v>
      </c>
      <c r="F1989" s="2" t="s">
        <v>394</v>
      </c>
      <c r="G1989" s="2" t="s">
        <v>394</v>
      </c>
      <c r="H1989" s="2" t="s">
        <v>394</v>
      </c>
      <c r="I1989" s="2" t="s">
        <v>5746</v>
      </c>
      <c r="J1989" s="2" t="s">
        <v>785</v>
      </c>
      <c r="K1989" s="2" t="s">
        <v>146</v>
      </c>
      <c r="L1989" s="3">
        <v>90.65</v>
      </c>
      <c r="M1989" s="3">
        <v>95.18</v>
      </c>
      <c r="N1989" s="3">
        <v>259</v>
      </c>
      <c r="O1989" s="2" t="s">
        <v>97</v>
      </c>
      <c r="P1989" s="2" t="s">
        <v>98</v>
      </c>
      <c r="Q1989" s="2" t="s">
        <v>99</v>
      </c>
      <c r="R1989" s="2" t="s">
        <v>100</v>
      </c>
      <c r="S1989" s="2" t="s">
        <v>5751</v>
      </c>
      <c r="T1989" s="2" t="s">
        <v>100</v>
      </c>
      <c r="U1989" s="2" t="s">
        <v>1508</v>
      </c>
      <c r="V1989" s="2" t="s">
        <v>645</v>
      </c>
      <c r="W1989" s="2" t="s">
        <v>104</v>
      </c>
      <c r="X1989" s="2" t="s">
        <v>1778</v>
      </c>
      <c r="Y1989" s="2" t="s">
        <v>5748</v>
      </c>
      <c r="Z1989" s="4">
        <v>116</v>
      </c>
      <c r="AA1989" s="4">
        <f>=ROUNDDOWN(14.5,0)</f>
      </c>
      <c r="AB1989" s="5">
        <v>8</v>
      </c>
      <c r="AC1989" s="2" t="s">
        <v>553</v>
      </c>
      <c r="AD1989" s="4">
        <v>191</v>
      </c>
      <c r="AE1989" s="4">
        <v>191</v>
      </c>
      <c r="AF1989" s="6">
        <v>70</v>
      </c>
      <c r="AG1989" s="6"/>
      <c r="AH1989" s="7">
        <v>1</v>
      </c>
      <c r="AI1989" s="4"/>
      <c r="AJ1989" s="4">
        <f>=ROUNDDOWN({0},0)</f>
      </c>
      <c r="AK1989" s="5"/>
      <c r="AL1989" s="2" t="s">
        <v>100</v>
      </c>
      <c r="AM1989" s="4"/>
      <c r="AN1989" s="4"/>
      <c r="AO1989" s="7">
        <v>0</v>
      </c>
      <c r="AP1989" s="4"/>
      <c r="AQ1989" s="8"/>
      <c r="AR1989" s="4"/>
      <c r="AS1989" s="8"/>
      <c r="AT1989" s="7"/>
      <c r="AU1989" s="7"/>
      <c r="AV1989" s="4" t="s">
        <v>100</v>
      </c>
      <c r="AW1989" s="8" t="s">
        <v>100</v>
      </c>
      <c r="AX1989" s="4" t="s">
        <v>100</v>
      </c>
      <c r="AY1989" s="8" t="s">
        <v>100</v>
      </c>
      <c r="AZ1989" s="7" t="s">
        <v>100</v>
      </c>
      <c r="BA1989" s="7" t="s">
        <v>100</v>
      </c>
      <c r="BB1989" s="7"/>
      <c r="BC1989" s="4" t="s">
        <v>100</v>
      </c>
      <c r="BD1989" s="8" t="s">
        <v>100</v>
      </c>
      <c r="BE1989" s="4" t="s">
        <v>100</v>
      </c>
      <c r="BF1989" s="8" t="s">
        <v>100</v>
      </c>
      <c r="BG1989" s="7" t="s">
        <v>100</v>
      </c>
      <c r="BH1989" s="7" t="s">
        <v>100</v>
      </c>
      <c r="BI1989" s="7"/>
      <c r="BJ1989" s="4">
        <v>4</v>
      </c>
      <c r="BK1989" s="8">
        <v>367.53</v>
      </c>
      <c r="BL1989" s="2" t="s">
        <v>5752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109</v>
      </c>
      <c r="BV1989" s="2" t="s">
        <v>97</v>
      </c>
      <c r="BW1989" s="2" t="s">
        <v>3420</v>
      </c>
      <c r="BX1989" s="2" t="s">
        <v>3545</v>
      </c>
      <c r="BY1989" s="2" t="s">
        <v>112</v>
      </c>
      <c r="BZ1989" s="2" t="s">
        <v>100</v>
      </c>
    </row>
    <row r="1990">
      <c r="A1990" s="2" t="s">
        <v>5753</v>
      </c>
      <c r="B1990" s="2" t="s">
        <v>87</v>
      </c>
      <c r="C1990" s="2" t="s">
        <v>5599</v>
      </c>
      <c r="D1990" s="2" t="s">
        <v>2230</v>
      </c>
      <c r="E1990" s="2" t="s">
        <v>3064</v>
      </c>
      <c r="F1990" s="2" t="s">
        <v>394</v>
      </c>
      <c r="G1990" s="2" t="s">
        <v>394</v>
      </c>
      <c r="H1990" s="2" t="s">
        <v>394</v>
      </c>
      <c r="I1990" s="2" t="s">
        <v>5746</v>
      </c>
      <c r="J1990" s="2" t="s">
        <v>120</v>
      </c>
      <c r="K1990" s="2" t="s">
        <v>146</v>
      </c>
      <c r="L1990" s="3">
        <v>108.15</v>
      </c>
      <c r="M1990" s="3">
        <v>113.56</v>
      </c>
      <c r="N1990" s="3">
        <v>309</v>
      </c>
      <c r="O1990" s="2" t="s">
        <v>97</v>
      </c>
      <c r="P1990" s="2" t="s">
        <v>98</v>
      </c>
      <c r="Q1990" s="2" t="s">
        <v>99</v>
      </c>
      <c r="R1990" s="2" t="s">
        <v>100</v>
      </c>
      <c r="S1990" s="2" t="s">
        <v>5751</v>
      </c>
      <c r="T1990" s="2" t="s">
        <v>100</v>
      </c>
      <c r="U1990" s="2" t="s">
        <v>1508</v>
      </c>
      <c r="V1990" s="2" t="s">
        <v>645</v>
      </c>
      <c r="W1990" s="2" t="s">
        <v>104</v>
      </c>
      <c r="X1990" s="2" t="s">
        <v>1778</v>
      </c>
      <c r="Y1990" s="2" t="s">
        <v>5748</v>
      </c>
      <c r="Z1990" s="4">
        <v>250</v>
      </c>
      <c r="AA1990" s="4">
        <f>=ROUNDDOWN(31.25,0)</f>
      </c>
      <c r="AB1990" s="5">
        <v>8</v>
      </c>
      <c r="AC1990" s="2" t="s">
        <v>553</v>
      </c>
      <c r="AD1990" s="4">
        <v>49</v>
      </c>
      <c r="AE1990" s="4">
        <v>49</v>
      </c>
      <c r="AF1990" s="6">
        <v>70</v>
      </c>
      <c r="AG1990" s="6"/>
      <c r="AH1990" s="7">
        <v>1</v>
      </c>
      <c r="AI1990" s="4"/>
      <c r="AJ1990" s="4">
        <f>=ROUNDDOWN({0},0)</f>
      </c>
      <c r="AK1990" s="5"/>
      <c r="AL1990" s="2" t="s">
        <v>100</v>
      </c>
      <c r="AM1990" s="4"/>
      <c r="AN1990" s="4"/>
      <c r="AO1990" s="7">
        <v>0</v>
      </c>
      <c r="AP1990" s="4"/>
      <c r="AQ1990" s="8"/>
      <c r="AR1990" s="4"/>
      <c r="AS1990" s="8"/>
      <c r="AT1990" s="7"/>
      <c r="AU1990" s="7"/>
      <c r="AV1990" s="4" t="s">
        <v>100</v>
      </c>
      <c r="AW1990" s="8" t="s">
        <v>100</v>
      </c>
      <c r="AX1990" s="4" t="s">
        <v>100</v>
      </c>
      <c r="AY1990" s="8" t="s">
        <v>100</v>
      </c>
      <c r="AZ1990" s="7" t="s">
        <v>100</v>
      </c>
      <c r="BA1990" s="7" t="s">
        <v>100</v>
      </c>
      <c r="BB1990" s="7"/>
      <c r="BC1990" s="4" t="s">
        <v>100</v>
      </c>
      <c r="BD1990" s="8" t="s">
        <v>100</v>
      </c>
      <c r="BE1990" s="4" t="s">
        <v>100</v>
      </c>
      <c r="BF1990" s="8" t="s">
        <v>100</v>
      </c>
      <c r="BG1990" s="7" t="s">
        <v>100</v>
      </c>
      <c r="BH1990" s="7" t="s">
        <v>100</v>
      </c>
      <c r="BI1990" s="7"/>
      <c r="BJ1990" s="4">
        <v>2</v>
      </c>
      <c r="BK1990" s="8">
        <v>203.16</v>
      </c>
      <c r="BL1990" s="2" t="s">
        <v>224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109</v>
      </c>
      <c r="BV1990" s="2" t="s">
        <v>97</v>
      </c>
      <c r="BW1990" s="2" t="s">
        <v>3420</v>
      </c>
      <c r="BX1990" s="2" t="s">
        <v>3193</v>
      </c>
      <c r="BY1990" s="2" t="s">
        <v>112</v>
      </c>
      <c r="BZ1990" s="2" t="s">
        <v>100</v>
      </c>
    </row>
    <row r="1991">
      <c r="A1991" s="2" t="s">
        <v>5754</v>
      </c>
      <c r="B1991" s="2" t="s">
        <v>87</v>
      </c>
      <c r="C1991" s="2" t="s">
        <v>5599</v>
      </c>
      <c r="D1991" s="2" t="s">
        <v>2230</v>
      </c>
      <c r="E1991" s="2" t="s">
        <v>3064</v>
      </c>
      <c r="F1991" s="2" t="s">
        <v>394</v>
      </c>
      <c r="G1991" s="2" t="s">
        <v>394</v>
      </c>
      <c r="H1991" s="2" t="s">
        <v>394</v>
      </c>
      <c r="I1991" s="2" t="s">
        <v>5746</v>
      </c>
      <c r="J1991" s="2" t="s">
        <v>785</v>
      </c>
      <c r="K1991" s="2" t="s">
        <v>5621</v>
      </c>
      <c r="L1991" s="3">
        <v>90.65</v>
      </c>
      <c r="M1991" s="3">
        <v>95.18</v>
      </c>
      <c r="N1991" s="3">
        <v>259</v>
      </c>
      <c r="O1991" s="2" t="s">
        <v>97</v>
      </c>
      <c r="P1991" s="2" t="s">
        <v>98</v>
      </c>
      <c r="Q1991" s="2" t="s">
        <v>99</v>
      </c>
      <c r="R1991" s="2" t="s">
        <v>100</v>
      </c>
      <c r="S1991" s="2" t="s">
        <v>5755</v>
      </c>
      <c r="T1991" s="2" t="s">
        <v>100</v>
      </c>
      <c r="U1991" s="2" t="s">
        <v>1508</v>
      </c>
      <c r="V1991" s="2" t="s">
        <v>645</v>
      </c>
      <c r="W1991" s="2" t="s">
        <v>104</v>
      </c>
      <c r="X1991" s="2" t="s">
        <v>1778</v>
      </c>
      <c r="Y1991" s="2" t="s">
        <v>5748</v>
      </c>
      <c r="Z1991" s="4">
        <v>83</v>
      </c>
      <c r="AA1991" s="4">
        <f>=ROUNDDOWN(8.3,0)</f>
      </c>
      <c r="AB1991" s="5">
        <v>10</v>
      </c>
      <c r="AC1991" s="2" t="s">
        <v>2212</v>
      </c>
      <c r="AD1991" s="4">
        <v>98</v>
      </c>
      <c r="AE1991" s="4">
        <v>298</v>
      </c>
      <c r="AF1991" s="6">
        <v>70</v>
      </c>
      <c r="AG1991" s="6"/>
      <c r="AH1991" s="7">
        <v>1</v>
      </c>
      <c r="AI1991" s="4"/>
      <c r="AJ1991" s="4">
        <f>=ROUNDDOWN({0},0)</f>
      </c>
      <c r="AK1991" s="5"/>
      <c r="AL1991" s="2" t="s">
        <v>100</v>
      </c>
      <c r="AM1991" s="4"/>
      <c r="AN1991" s="4"/>
      <c r="AO1991" s="7">
        <v>0</v>
      </c>
      <c r="AP1991" s="4"/>
      <c r="AQ1991" s="8"/>
      <c r="AR1991" s="4"/>
      <c r="AS1991" s="8"/>
      <c r="AT1991" s="7"/>
      <c r="AU1991" s="7"/>
      <c r="AV1991" s="4" t="s">
        <v>100</v>
      </c>
      <c r="AW1991" s="8" t="s">
        <v>100</v>
      </c>
      <c r="AX1991" s="4" t="s">
        <v>100</v>
      </c>
      <c r="AY1991" s="8" t="s">
        <v>100</v>
      </c>
      <c r="AZ1991" s="7" t="s">
        <v>100</v>
      </c>
      <c r="BA1991" s="7" t="s">
        <v>100</v>
      </c>
      <c r="BB1991" s="7"/>
      <c r="BC1991" s="4" t="s">
        <v>100</v>
      </c>
      <c r="BD1991" s="8" t="s">
        <v>100</v>
      </c>
      <c r="BE1991" s="4" t="s">
        <v>100</v>
      </c>
      <c r="BF1991" s="8" t="s">
        <v>100</v>
      </c>
      <c r="BG1991" s="7" t="s">
        <v>100</v>
      </c>
      <c r="BH1991" s="7" t="s">
        <v>100</v>
      </c>
      <c r="BI1991" s="7"/>
      <c r="BJ1991" s="4">
        <v>9</v>
      </c>
      <c r="BK1991" s="8">
        <v>850.57</v>
      </c>
      <c r="BL1991" s="2" t="s">
        <v>5756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109</v>
      </c>
      <c r="BV1991" s="2" t="s">
        <v>97</v>
      </c>
      <c r="BW1991" s="2" t="s">
        <v>3420</v>
      </c>
      <c r="BX1991" s="2" t="s">
        <v>1097</v>
      </c>
      <c r="BY1991" s="2" t="s">
        <v>112</v>
      </c>
      <c r="BZ1991" s="2" t="s">
        <v>100</v>
      </c>
    </row>
    <row r="1992">
      <c r="A1992" s="2" t="s">
        <v>5757</v>
      </c>
      <c r="B1992" s="2" t="s">
        <v>87</v>
      </c>
      <c r="C1992" s="2" t="s">
        <v>5599</v>
      </c>
      <c r="D1992" s="2" t="s">
        <v>2230</v>
      </c>
      <c r="E1992" s="2" t="s">
        <v>3064</v>
      </c>
      <c r="F1992" s="2" t="s">
        <v>394</v>
      </c>
      <c r="G1992" s="2" t="s">
        <v>394</v>
      </c>
      <c r="H1992" s="2" t="s">
        <v>394</v>
      </c>
      <c r="I1992" s="2" t="s">
        <v>5746</v>
      </c>
      <c r="J1992" s="2" t="s">
        <v>120</v>
      </c>
      <c r="K1992" s="2" t="s">
        <v>5621</v>
      </c>
      <c r="L1992" s="3">
        <v>108.15</v>
      </c>
      <c r="M1992" s="3">
        <v>113.56</v>
      </c>
      <c r="N1992" s="3">
        <v>309</v>
      </c>
      <c r="O1992" s="2" t="s">
        <v>97</v>
      </c>
      <c r="P1992" s="2" t="s">
        <v>98</v>
      </c>
      <c r="Q1992" s="2" t="s">
        <v>99</v>
      </c>
      <c r="R1992" s="2" t="s">
        <v>100</v>
      </c>
      <c r="S1992" s="2" t="s">
        <v>5755</v>
      </c>
      <c r="T1992" s="2" t="s">
        <v>100</v>
      </c>
      <c r="U1992" s="2" t="s">
        <v>1508</v>
      </c>
      <c r="V1992" s="2" t="s">
        <v>645</v>
      </c>
      <c r="W1992" s="2" t="s">
        <v>104</v>
      </c>
      <c r="X1992" s="2" t="s">
        <v>1778</v>
      </c>
      <c r="Y1992" s="2" t="s">
        <v>5748</v>
      </c>
      <c r="Z1992" s="4">
        <v>278</v>
      </c>
      <c r="AA1992" s="4">
        <f>=ROUNDDOWN(18.5333333333333,0)</f>
      </c>
      <c r="AB1992" s="5">
        <v>15</v>
      </c>
      <c r="AC1992" s="2" t="s">
        <v>2212</v>
      </c>
      <c r="AD1992" s="4">
        <v>137</v>
      </c>
      <c r="AE1992" s="4">
        <v>367</v>
      </c>
      <c r="AF1992" s="6">
        <v>70</v>
      </c>
      <c r="AG1992" s="6"/>
      <c r="AH1992" s="7">
        <v>1</v>
      </c>
      <c r="AI1992" s="4"/>
      <c r="AJ1992" s="4">
        <f>=ROUNDDOWN({0},0)</f>
      </c>
      <c r="AK1992" s="5"/>
      <c r="AL1992" s="2" t="s">
        <v>100</v>
      </c>
      <c r="AM1992" s="4"/>
      <c r="AN1992" s="4"/>
      <c r="AO1992" s="7">
        <v>0</v>
      </c>
      <c r="AP1992" s="4"/>
      <c r="AQ1992" s="8"/>
      <c r="AR1992" s="4"/>
      <c r="AS1992" s="8"/>
      <c r="AT1992" s="7"/>
      <c r="AU1992" s="7"/>
      <c r="AV1992" s="4" t="s">
        <v>100</v>
      </c>
      <c r="AW1992" s="8" t="s">
        <v>100</v>
      </c>
      <c r="AX1992" s="4" t="s">
        <v>100</v>
      </c>
      <c r="AY1992" s="8" t="s">
        <v>100</v>
      </c>
      <c r="AZ1992" s="7" t="s">
        <v>100</v>
      </c>
      <c r="BA1992" s="7" t="s">
        <v>100</v>
      </c>
      <c r="BB1992" s="7"/>
      <c r="BC1992" s="4" t="s">
        <v>100</v>
      </c>
      <c r="BD1992" s="8" t="s">
        <v>100</v>
      </c>
      <c r="BE1992" s="4" t="s">
        <v>100</v>
      </c>
      <c r="BF1992" s="8" t="s">
        <v>100</v>
      </c>
      <c r="BG1992" s="7" t="s">
        <v>100</v>
      </c>
      <c r="BH1992" s="7" t="s">
        <v>100</v>
      </c>
      <c r="BI1992" s="7"/>
      <c r="BJ1992" s="4">
        <v>16</v>
      </c>
      <c r="BK1992" s="8">
        <v>1577.76</v>
      </c>
      <c r="BL1992" s="2" t="s">
        <v>224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109</v>
      </c>
      <c r="BV1992" s="2" t="s">
        <v>97</v>
      </c>
      <c r="BW1992" s="2" t="s">
        <v>3420</v>
      </c>
      <c r="BX1992" s="2" t="s">
        <v>3172</v>
      </c>
      <c r="BY1992" s="2" t="s">
        <v>112</v>
      </c>
      <c r="BZ1992" s="2" t="s">
        <v>100</v>
      </c>
    </row>
    <row r="1993">
      <c r="A1993" s="2" t="s">
        <v>5758</v>
      </c>
      <c r="B1993" s="2" t="s">
        <v>87</v>
      </c>
      <c r="C1993" s="2" t="s">
        <v>5759</v>
      </c>
      <c r="D1993" s="2" t="s">
        <v>89</v>
      </c>
      <c r="E1993" s="2" t="s">
        <v>1944</v>
      </c>
      <c r="F1993" s="2" t="s">
        <v>5760</v>
      </c>
      <c r="G1993" s="2" t="s">
        <v>5760</v>
      </c>
      <c r="H1993" s="2" t="s">
        <v>5760</v>
      </c>
      <c r="I1993" s="2" t="s">
        <v>5761</v>
      </c>
      <c r="J1993" s="2" t="s">
        <v>114</v>
      </c>
      <c r="K1993" s="2" t="s">
        <v>340</v>
      </c>
      <c r="L1993" s="3">
        <v>47.61</v>
      </c>
      <c r="M1993" s="3">
        <v>49.99</v>
      </c>
      <c r="N1993" s="3">
        <v>99.99</v>
      </c>
      <c r="O1993" s="2" t="s">
        <v>97</v>
      </c>
      <c r="P1993" s="2" t="s">
        <v>4334</v>
      </c>
      <c r="Q1993" s="2" t="s">
        <v>99</v>
      </c>
      <c r="R1993" s="2" t="s">
        <v>100</v>
      </c>
      <c r="S1993" s="2" t="s">
        <v>5762</v>
      </c>
      <c r="T1993" s="2" t="s">
        <v>787</v>
      </c>
      <c r="U1993" s="2" t="s">
        <v>5763</v>
      </c>
      <c r="V1993" s="2" t="s">
        <v>734</v>
      </c>
      <c r="W1993" s="2" t="s">
        <v>105</v>
      </c>
      <c r="X1993" s="2" t="s">
        <v>100</v>
      </c>
      <c r="Y1993" s="2" t="s">
        <v>2000</v>
      </c>
      <c r="Z1993" s="4"/>
      <c r="AA1993" s="4">
        <f>=ROUNDDOWN({0},0)</f>
      </c>
      <c r="AB1993" s="5">
        <v>3</v>
      </c>
      <c r="AC1993" s="2" t="s">
        <v>100</v>
      </c>
      <c r="AD1993" s="4"/>
      <c r="AE1993" s="4"/>
      <c r="AF1993" s="6"/>
      <c r="AG1993" s="6"/>
      <c r="AH1993" s="7">
        <v>0</v>
      </c>
      <c r="AI1993" s="4"/>
      <c r="AJ1993" s="4">
        <f>=ROUNDDOWN({0},0)</f>
      </c>
      <c r="AK1993" s="5"/>
      <c r="AL1993" s="2" t="s">
        <v>100</v>
      </c>
      <c r="AM1993" s="4"/>
      <c r="AN1993" s="4"/>
      <c r="AO1993" s="7">
        <v>0</v>
      </c>
      <c r="AP1993" s="4"/>
      <c r="AQ1993" s="8"/>
      <c r="AR1993" s="4"/>
      <c r="AS1993" s="8"/>
      <c r="AT1993" s="7"/>
      <c r="AU1993" s="7"/>
      <c r="AV1993" s="4" t="s">
        <v>100</v>
      </c>
      <c r="AW1993" s="8" t="s">
        <v>100</v>
      </c>
      <c r="AX1993" s="4" t="s">
        <v>100</v>
      </c>
      <c r="AY1993" s="8" t="s">
        <v>100</v>
      </c>
      <c r="AZ1993" s="7" t="s">
        <v>100</v>
      </c>
      <c r="BA1993" s="7" t="s">
        <v>100</v>
      </c>
      <c r="BB1993" s="7"/>
      <c r="BC1993" s="4" t="s">
        <v>100</v>
      </c>
      <c r="BD1993" s="8" t="s">
        <v>100</v>
      </c>
      <c r="BE1993" s="4" t="s">
        <v>100</v>
      </c>
      <c r="BF1993" s="8" t="s">
        <v>100</v>
      </c>
      <c r="BG1993" s="7" t="s">
        <v>100</v>
      </c>
      <c r="BH1993" s="7" t="s">
        <v>100</v>
      </c>
      <c r="BI1993" s="7"/>
      <c r="BJ1993" s="4"/>
      <c r="BK1993" s="8"/>
      <c r="BL1993" s="2" t="s">
        <v>100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109</v>
      </c>
      <c r="BV1993" s="2" t="s">
        <v>97</v>
      </c>
      <c r="BW1993" s="2" t="s">
        <v>2339</v>
      </c>
      <c r="BX1993" s="2" t="s">
        <v>5764</v>
      </c>
      <c r="BY1993" s="2" t="s">
        <v>112</v>
      </c>
      <c r="BZ1993" s="2" t="s">
        <v>100</v>
      </c>
    </row>
    <row r="1994">
      <c r="A1994" s="2" t="s">
        <v>5765</v>
      </c>
      <c r="B1994" s="2" t="s">
        <v>87</v>
      </c>
      <c r="C1994" s="2" t="s">
        <v>5759</v>
      </c>
      <c r="D1994" s="2" t="s">
        <v>89</v>
      </c>
      <c r="E1994" s="2" t="s">
        <v>1944</v>
      </c>
      <c r="F1994" s="2" t="s">
        <v>5760</v>
      </c>
      <c r="G1994" s="2" t="s">
        <v>5760</v>
      </c>
      <c r="H1994" s="2" t="s">
        <v>5760</v>
      </c>
      <c r="I1994" s="2" t="s">
        <v>5761</v>
      </c>
      <c r="J1994" s="2" t="s">
        <v>120</v>
      </c>
      <c r="K1994" s="2" t="s">
        <v>340</v>
      </c>
      <c r="L1994" s="3">
        <v>52.38</v>
      </c>
      <c r="M1994" s="3">
        <v>55</v>
      </c>
      <c r="N1994" s="3">
        <v>109.99</v>
      </c>
      <c r="O1994" s="2" t="s">
        <v>97</v>
      </c>
      <c r="P1994" s="2" t="s">
        <v>4334</v>
      </c>
      <c r="Q1994" s="2" t="s">
        <v>99</v>
      </c>
      <c r="R1994" s="2" t="s">
        <v>100</v>
      </c>
      <c r="S1994" s="2" t="s">
        <v>5762</v>
      </c>
      <c r="T1994" s="2" t="s">
        <v>787</v>
      </c>
      <c r="U1994" s="2" t="s">
        <v>5763</v>
      </c>
      <c r="V1994" s="2" t="s">
        <v>734</v>
      </c>
      <c r="W1994" s="2" t="s">
        <v>105</v>
      </c>
      <c r="X1994" s="2" t="s">
        <v>100</v>
      </c>
      <c r="Y1994" s="2" t="s">
        <v>2159</v>
      </c>
      <c r="Z1994" s="4"/>
      <c r="AA1994" s="4">
        <f>=ROUNDDOWN({0},0)</f>
      </c>
      <c r="AB1994" s="5">
        <v>3.3</v>
      </c>
      <c r="AC1994" s="2" t="s">
        <v>100</v>
      </c>
      <c r="AD1994" s="4"/>
      <c r="AE1994" s="4"/>
      <c r="AF1994" s="6"/>
      <c r="AG1994" s="6"/>
      <c r="AH1994" s="7">
        <v>0</v>
      </c>
      <c r="AI1994" s="4"/>
      <c r="AJ1994" s="4">
        <f>=ROUNDDOWN({0},0)</f>
      </c>
      <c r="AK1994" s="5"/>
      <c r="AL1994" s="2" t="s">
        <v>100</v>
      </c>
      <c r="AM1994" s="4"/>
      <c r="AN1994" s="4"/>
      <c r="AO1994" s="7">
        <v>0</v>
      </c>
      <c r="AP1994" s="4"/>
      <c r="AQ1994" s="8"/>
      <c r="AR1994" s="4"/>
      <c r="AS1994" s="8"/>
      <c r="AT1994" s="7"/>
      <c r="AU1994" s="7"/>
      <c r="AV1994" s="4" t="s">
        <v>100</v>
      </c>
      <c r="AW1994" s="8" t="s">
        <v>100</v>
      </c>
      <c r="AX1994" s="4" t="s">
        <v>100</v>
      </c>
      <c r="AY1994" s="8" t="s">
        <v>100</v>
      </c>
      <c r="AZ1994" s="7" t="s">
        <v>100</v>
      </c>
      <c r="BA1994" s="7" t="s">
        <v>100</v>
      </c>
      <c r="BB1994" s="7"/>
      <c r="BC1994" s="4" t="s">
        <v>100</v>
      </c>
      <c r="BD1994" s="8" t="s">
        <v>100</v>
      </c>
      <c r="BE1994" s="4" t="s">
        <v>100</v>
      </c>
      <c r="BF1994" s="8" t="s">
        <v>100</v>
      </c>
      <c r="BG1994" s="7" t="s">
        <v>100</v>
      </c>
      <c r="BH1994" s="7" t="s">
        <v>100</v>
      </c>
      <c r="BI1994" s="7"/>
      <c r="BJ1994" s="4"/>
      <c r="BK1994" s="8"/>
      <c r="BL1994" s="2" t="s">
        <v>100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109</v>
      </c>
      <c r="BV1994" s="2" t="s">
        <v>97</v>
      </c>
      <c r="BW1994" s="2" t="s">
        <v>2339</v>
      </c>
      <c r="BX1994" s="2" t="s">
        <v>5766</v>
      </c>
      <c r="BY1994" s="2" t="s">
        <v>112</v>
      </c>
      <c r="BZ1994" s="2" t="s">
        <v>100</v>
      </c>
    </row>
    <row r="1995">
      <c r="A1995" s="2" t="s">
        <v>5767</v>
      </c>
      <c r="B1995" s="2" t="s">
        <v>87</v>
      </c>
      <c r="C1995" s="2" t="s">
        <v>5759</v>
      </c>
      <c r="D1995" s="2" t="s">
        <v>89</v>
      </c>
      <c r="E1995" s="2" t="s">
        <v>1944</v>
      </c>
      <c r="F1995" s="2" t="s">
        <v>5760</v>
      </c>
      <c r="G1995" s="2" t="s">
        <v>5760</v>
      </c>
      <c r="H1995" s="2" t="s">
        <v>5760</v>
      </c>
      <c r="I1995" s="2" t="s">
        <v>5761</v>
      </c>
      <c r="J1995" s="2" t="s">
        <v>114</v>
      </c>
      <c r="K1995" s="2" t="s">
        <v>146</v>
      </c>
      <c r="L1995" s="3">
        <v>47.61</v>
      </c>
      <c r="M1995" s="3">
        <v>49.99</v>
      </c>
      <c r="N1995" s="3">
        <v>99.99</v>
      </c>
      <c r="O1995" s="2" t="s">
        <v>97</v>
      </c>
      <c r="P1995" s="2" t="s">
        <v>447</v>
      </c>
      <c r="Q1995" s="2" t="s">
        <v>99</v>
      </c>
      <c r="R1995" s="2" t="s">
        <v>100</v>
      </c>
      <c r="S1995" s="2" t="s">
        <v>5768</v>
      </c>
      <c r="T1995" s="2" t="s">
        <v>787</v>
      </c>
      <c r="U1995" s="2" t="s">
        <v>5763</v>
      </c>
      <c r="V1995" s="2" t="s">
        <v>734</v>
      </c>
      <c r="W1995" s="2" t="s">
        <v>105</v>
      </c>
      <c r="X1995" s="2" t="s">
        <v>100</v>
      </c>
      <c r="Y1995" s="2" t="s">
        <v>2159</v>
      </c>
      <c r="Z1995" s="4"/>
      <c r="AA1995" s="4">
        <f>=ROUNDDOWN({0},0)</f>
      </c>
      <c r="AB1995" s="5">
        <v>16</v>
      </c>
      <c r="AC1995" s="2" t="s">
        <v>100</v>
      </c>
      <c r="AD1995" s="4"/>
      <c r="AE1995" s="4"/>
      <c r="AF1995" s="6"/>
      <c r="AG1995" s="6"/>
      <c r="AH1995" s="7">
        <v>0</v>
      </c>
      <c r="AI1995" s="4"/>
      <c r="AJ1995" s="4">
        <f>=ROUNDDOWN({0},0)</f>
      </c>
      <c r="AK1995" s="5"/>
      <c r="AL1995" s="2" t="s">
        <v>100</v>
      </c>
      <c r="AM1995" s="4"/>
      <c r="AN1995" s="4"/>
      <c r="AO1995" s="7">
        <v>0</v>
      </c>
      <c r="AP1995" s="4"/>
      <c r="AQ1995" s="8"/>
      <c r="AR1995" s="4"/>
      <c r="AS1995" s="8"/>
      <c r="AT1995" s="7"/>
      <c r="AU1995" s="7"/>
      <c r="AV1995" s="4" t="s">
        <v>100</v>
      </c>
      <c r="AW1995" s="8" t="s">
        <v>100</v>
      </c>
      <c r="AX1995" s="4" t="s">
        <v>100</v>
      </c>
      <c r="AY1995" s="8" t="s">
        <v>100</v>
      </c>
      <c r="AZ1995" s="7" t="s">
        <v>100</v>
      </c>
      <c r="BA1995" s="7" t="s">
        <v>100</v>
      </c>
      <c r="BB1995" s="7"/>
      <c r="BC1995" s="4" t="s">
        <v>100</v>
      </c>
      <c r="BD1995" s="8" t="s">
        <v>100</v>
      </c>
      <c r="BE1995" s="4" t="s">
        <v>100</v>
      </c>
      <c r="BF1995" s="8" t="s">
        <v>100</v>
      </c>
      <c r="BG1995" s="7" t="s">
        <v>100</v>
      </c>
      <c r="BH1995" s="7" t="s">
        <v>100</v>
      </c>
      <c r="BI1995" s="7"/>
      <c r="BJ1995" s="4"/>
      <c r="BK1995" s="8"/>
      <c r="BL1995" s="2" t="s">
        <v>100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109</v>
      </c>
      <c r="BV1995" s="2" t="s">
        <v>97</v>
      </c>
      <c r="BW1995" s="2" t="s">
        <v>2339</v>
      </c>
      <c r="BX1995" s="2" t="s">
        <v>100</v>
      </c>
      <c r="BY1995" s="2" t="s">
        <v>112</v>
      </c>
      <c r="BZ1995" s="2" t="s">
        <v>100</v>
      </c>
    </row>
    <row r="1996">
      <c r="A1996" s="2" t="s">
        <v>5769</v>
      </c>
      <c r="B1996" s="2" t="s">
        <v>87</v>
      </c>
      <c r="C1996" s="2" t="s">
        <v>5759</v>
      </c>
      <c r="D1996" s="2" t="s">
        <v>89</v>
      </c>
      <c r="E1996" s="2" t="s">
        <v>1944</v>
      </c>
      <c r="F1996" s="2" t="s">
        <v>5760</v>
      </c>
      <c r="G1996" s="2" t="s">
        <v>5760</v>
      </c>
      <c r="H1996" s="2" t="s">
        <v>5760</v>
      </c>
      <c r="I1996" s="2" t="s">
        <v>5761</v>
      </c>
      <c r="J1996" s="2" t="s">
        <v>120</v>
      </c>
      <c r="K1996" s="2" t="s">
        <v>146</v>
      </c>
      <c r="L1996" s="3">
        <v>52.38</v>
      </c>
      <c r="M1996" s="3">
        <v>55</v>
      </c>
      <c r="N1996" s="3">
        <v>109.99</v>
      </c>
      <c r="O1996" s="2" t="s">
        <v>97</v>
      </c>
      <c r="P1996" s="2" t="s">
        <v>447</v>
      </c>
      <c r="Q1996" s="2" t="s">
        <v>99</v>
      </c>
      <c r="R1996" s="2" t="s">
        <v>100</v>
      </c>
      <c r="S1996" s="2" t="s">
        <v>5768</v>
      </c>
      <c r="T1996" s="2" t="s">
        <v>787</v>
      </c>
      <c r="U1996" s="2" t="s">
        <v>5763</v>
      </c>
      <c r="V1996" s="2" t="s">
        <v>734</v>
      </c>
      <c r="W1996" s="2" t="s">
        <v>105</v>
      </c>
      <c r="X1996" s="2" t="s">
        <v>100</v>
      </c>
      <c r="Y1996" s="2" t="s">
        <v>779</v>
      </c>
      <c r="Z1996" s="4"/>
      <c r="AA1996" s="4">
        <f>=ROUNDDOWN({0},0)</f>
      </c>
      <c r="AB1996" s="5">
        <v>7.9</v>
      </c>
      <c r="AC1996" s="2" t="s">
        <v>100</v>
      </c>
      <c r="AD1996" s="4"/>
      <c r="AE1996" s="4"/>
      <c r="AF1996" s="6"/>
      <c r="AG1996" s="6"/>
      <c r="AH1996" s="7">
        <v>0</v>
      </c>
      <c r="AI1996" s="4"/>
      <c r="AJ1996" s="4">
        <f>=ROUNDDOWN({0},0)</f>
      </c>
      <c r="AK1996" s="5"/>
      <c r="AL1996" s="2" t="s">
        <v>100</v>
      </c>
      <c r="AM1996" s="4"/>
      <c r="AN1996" s="4"/>
      <c r="AO1996" s="7">
        <v>0</v>
      </c>
      <c r="AP1996" s="4"/>
      <c r="AQ1996" s="8"/>
      <c r="AR1996" s="4"/>
      <c r="AS1996" s="8"/>
      <c r="AT1996" s="7"/>
      <c r="AU1996" s="7"/>
      <c r="AV1996" s="4" t="s">
        <v>100</v>
      </c>
      <c r="AW1996" s="8" t="s">
        <v>100</v>
      </c>
      <c r="AX1996" s="4" t="s">
        <v>100</v>
      </c>
      <c r="AY1996" s="8" t="s">
        <v>100</v>
      </c>
      <c r="AZ1996" s="7" t="s">
        <v>100</v>
      </c>
      <c r="BA1996" s="7" t="s">
        <v>100</v>
      </c>
      <c r="BB1996" s="7"/>
      <c r="BC1996" s="4" t="s">
        <v>100</v>
      </c>
      <c r="BD1996" s="8" t="s">
        <v>100</v>
      </c>
      <c r="BE1996" s="4" t="s">
        <v>100</v>
      </c>
      <c r="BF1996" s="8" t="s">
        <v>100</v>
      </c>
      <c r="BG1996" s="7" t="s">
        <v>100</v>
      </c>
      <c r="BH1996" s="7" t="s">
        <v>100</v>
      </c>
      <c r="BI1996" s="7"/>
      <c r="BJ1996" s="4"/>
      <c r="BK1996" s="8"/>
      <c r="BL1996" s="2" t="s">
        <v>100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109</v>
      </c>
      <c r="BV1996" s="2" t="s">
        <v>97</v>
      </c>
      <c r="BW1996" s="2" t="s">
        <v>2339</v>
      </c>
      <c r="BX1996" s="2" t="s">
        <v>100</v>
      </c>
      <c r="BY1996" s="2" t="s">
        <v>112</v>
      </c>
      <c r="BZ1996" s="2" t="s">
        <v>100</v>
      </c>
    </row>
    <row r="1997">
      <c r="A1997" s="2" t="s">
        <v>5770</v>
      </c>
      <c r="B1997" s="2" t="s">
        <v>87</v>
      </c>
      <c r="C1997" s="2" t="s">
        <v>5759</v>
      </c>
      <c r="D1997" s="2" t="s">
        <v>89</v>
      </c>
      <c r="E1997" s="2" t="s">
        <v>1944</v>
      </c>
      <c r="F1997" s="2" t="s">
        <v>5771</v>
      </c>
      <c r="G1997" s="2" t="s">
        <v>5771</v>
      </c>
      <c r="H1997" s="2" t="s">
        <v>5771</v>
      </c>
      <c r="I1997" s="2" t="s">
        <v>5772</v>
      </c>
      <c r="J1997" s="2" t="s">
        <v>114</v>
      </c>
      <c r="K1997" s="2" t="s">
        <v>253</v>
      </c>
      <c r="L1997" s="3">
        <v>47.61</v>
      </c>
      <c r="M1997" s="3">
        <v>49.99</v>
      </c>
      <c r="N1997" s="3">
        <v>99.99</v>
      </c>
      <c r="O1997" s="2" t="s">
        <v>97</v>
      </c>
      <c r="P1997" s="2" t="s">
        <v>4334</v>
      </c>
      <c r="Q1997" s="2" t="s">
        <v>99</v>
      </c>
      <c r="R1997" s="2" t="s">
        <v>100</v>
      </c>
      <c r="S1997" s="2" t="s">
        <v>5773</v>
      </c>
      <c r="T1997" s="2" t="s">
        <v>787</v>
      </c>
      <c r="U1997" s="2" t="s">
        <v>5763</v>
      </c>
      <c r="V1997" s="2" t="s">
        <v>734</v>
      </c>
      <c r="W1997" s="2" t="s">
        <v>105</v>
      </c>
      <c r="X1997" s="2" t="s">
        <v>100</v>
      </c>
      <c r="Y1997" s="2" t="s">
        <v>779</v>
      </c>
      <c r="Z1997" s="4"/>
      <c r="AA1997" s="4">
        <f>=ROUNDDOWN({0},0)</f>
      </c>
      <c r="AB1997" s="5"/>
      <c r="AC1997" s="2" t="s">
        <v>100</v>
      </c>
      <c r="AD1997" s="4"/>
      <c r="AE1997" s="4"/>
      <c r="AF1997" s="6"/>
      <c r="AG1997" s="6"/>
      <c r="AH1997" s="7">
        <v>0</v>
      </c>
      <c r="AI1997" s="4"/>
      <c r="AJ1997" s="4">
        <f>=ROUNDDOWN({0},0)</f>
      </c>
      <c r="AK1997" s="5"/>
      <c r="AL1997" s="2" t="s">
        <v>100</v>
      </c>
      <c r="AM1997" s="4"/>
      <c r="AN1997" s="4"/>
      <c r="AO1997" s="7">
        <v>0</v>
      </c>
      <c r="AP1997" s="4"/>
      <c r="AQ1997" s="8"/>
      <c r="AR1997" s="4"/>
      <c r="AS1997" s="8"/>
      <c r="AT1997" s="7"/>
      <c r="AU1997" s="7"/>
      <c r="AV1997" s="4" t="s">
        <v>100</v>
      </c>
      <c r="AW1997" s="8" t="s">
        <v>100</v>
      </c>
      <c r="AX1997" s="4" t="s">
        <v>100</v>
      </c>
      <c r="AY1997" s="8" t="s">
        <v>100</v>
      </c>
      <c r="AZ1997" s="7" t="s">
        <v>100</v>
      </c>
      <c r="BA1997" s="7" t="s">
        <v>100</v>
      </c>
      <c r="BB1997" s="7"/>
      <c r="BC1997" s="4" t="s">
        <v>100</v>
      </c>
      <c r="BD1997" s="8" t="s">
        <v>100</v>
      </c>
      <c r="BE1997" s="4" t="s">
        <v>100</v>
      </c>
      <c r="BF1997" s="8" t="s">
        <v>100</v>
      </c>
      <c r="BG1997" s="7" t="s">
        <v>100</v>
      </c>
      <c r="BH1997" s="7" t="s">
        <v>100</v>
      </c>
      <c r="BI1997" s="7"/>
      <c r="BJ1997" s="4"/>
      <c r="BK1997" s="8"/>
      <c r="BL1997" s="2" t="s">
        <v>100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109</v>
      </c>
      <c r="BV1997" s="2" t="s">
        <v>97</v>
      </c>
      <c r="BW1997" s="2" t="s">
        <v>2339</v>
      </c>
      <c r="BX1997" s="2" t="s">
        <v>5774</v>
      </c>
      <c r="BY1997" s="2" t="s">
        <v>112</v>
      </c>
      <c r="BZ1997" s="2" t="s">
        <v>100</v>
      </c>
    </row>
    <row r="1998">
      <c r="A1998" s="2" t="s">
        <v>5775</v>
      </c>
      <c r="B1998" s="2" t="s">
        <v>87</v>
      </c>
      <c r="C1998" s="2" t="s">
        <v>5759</v>
      </c>
      <c r="D1998" s="2" t="s">
        <v>89</v>
      </c>
      <c r="E1998" s="2" t="s">
        <v>1944</v>
      </c>
      <c r="F1998" s="2" t="s">
        <v>5771</v>
      </c>
      <c r="G1998" s="2" t="s">
        <v>5771</v>
      </c>
      <c r="H1998" s="2" t="s">
        <v>5771</v>
      </c>
      <c r="I1998" s="2" t="s">
        <v>5772</v>
      </c>
      <c r="J1998" s="2" t="s">
        <v>120</v>
      </c>
      <c r="K1998" s="2" t="s">
        <v>253</v>
      </c>
      <c r="L1998" s="3">
        <v>52.38</v>
      </c>
      <c r="M1998" s="3">
        <v>55</v>
      </c>
      <c r="N1998" s="3">
        <v>109.99</v>
      </c>
      <c r="O1998" s="2" t="s">
        <v>97</v>
      </c>
      <c r="P1998" s="2" t="s">
        <v>4334</v>
      </c>
      <c r="Q1998" s="2" t="s">
        <v>99</v>
      </c>
      <c r="R1998" s="2" t="s">
        <v>100</v>
      </c>
      <c r="S1998" s="2" t="s">
        <v>5773</v>
      </c>
      <c r="T1998" s="2" t="s">
        <v>787</v>
      </c>
      <c r="U1998" s="2" t="s">
        <v>5763</v>
      </c>
      <c r="V1998" s="2" t="s">
        <v>734</v>
      </c>
      <c r="W1998" s="2" t="s">
        <v>105</v>
      </c>
      <c r="X1998" s="2" t="s">
        <v>100</v>
      </c>
      <c r="Y1998" s="2" t="s">
        <v>779</v>
      </c>
      <c r="Z1998" s="4"/>
      <c r="AA1998" s="4">
        <f>=ROUNDDOWN({0},0)</f>
      </c>
      <c r="AB1998" s="5"/>
      <c r="AC1998" s="2" t="s">
        <v>100</v>
      </c>
      <c r="AD1998" s="4"/>
      <c r="AE1998" s="4"/>
      <c r="AF1998" s="6"/>
      <c r="AG1998" s="6"/>
      <c r="AH1998" s="7">
        <v>0</v>
      </c>
      <c r="AI1998" s="4"/>
      <c r="AJ1998" s="4">
        <f>=ROUNDDOWN({0},0)</f>
      </c>
      <c r="AK1998" s="5"/>
      <c r="AL1998" s="2" t="s">
        <v>100</v>
      </c>
      <c r="AM1998" s="4"/>
      <c r="AN1998" s="4"/>
      <c r="AO1998" s="7">
        <v>0</v>
      </c>
      <c r="AP1998" s="4"/>
      <c r="AQ1998" s="8"/>
      <c r="AR1998" s="4"/>
      <c r="AS1998" s="8"/>
      <c r="AT1998" s="7"/>
      <c r="AU1998" s="7"/>
      <c r="AV1998" s="4" t="s">
        <v>100</v>
      </c>
      <c r="AW1998" s="8" t="s">
        <v>100</v>
      </c>
      <c r="AX1998" s="4" t="s">
        <v>100</v>
      </c>
      <c r="AY1998" s="8" t="s">
        <v>100</v>
      </c>
      <c r="AZ1998" s="7" t="s">
        <v>100</v>
      </c>
      <c r="BA1998" s="7" t="s">
        <v>100</v>
      </c>
      <c r="BB1998" s="7"/>
      <c r="BC1998" s="4" t="s">
        <v>100</v>
      </c>
      <c r="BD1998" s="8" t="s">
        <v>100</v>
      </c>
      <c r="BE1998" s="4" t="s">
        <v>100</v>
      </c>
      <c r="BF1998" s="8" t="s">
        <v>100</v>
      </c>
      <c r="BG1998" s="7" t="s">
        <v>100</v>
      </c>
      <c r="BH1998" s="7" t="s">
        <v>100</v>
      </c>
      <c r="BI1998" s="7"/>
      <c r="BJ1998" s="4"/>
      <c r="BK1998" s="8"/>
      <c r="BL1998" s="2" t="s">
        <v>100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109</v>
      </c>
      <c r="BV1998" s="2" t="s">
        <v>97</v>
      </c>
      <c r="BW1998" s="2" t="s">
        <v>2339</v>
      </c>
      <c r="BX1998" s="2" t="s">
        <v>5776</v>
      </c>
      <c r="BY1998" s="2" t="s">
        <v>112</v>
      </c>
      <c r="BZ1998" s="2" t="s">
        <v>100</v>
      </c>
    </row>
    <row r="1999">
      <c r="A1999" s="2" t="s">
        <v>5777</v>
      </c>
      <c r="B1999" s="2" t="s">
        <v>87</v>
      </c>
      <c r="C1999" s="2" t="s">
        <v>5759</v>
      </c>
      <c r="D1999" s="2" t="s">
        <v>89</v>
      </c>
      <c r="E1999" s="2" t="s">
        <v>1944</v>
      </c>
      <c r="F1999" s="2" t="s">
        <v>5771</v>
      </c>
      <c r="G1999" s="2" t="s">
        <v>5771</v>
      </c>
      <c r="H1999" s="2" t="s">
        <v>5771</v>
      </c>
      <c r="I1999" s="2" t="s">
        <v>5772</v>
      </c>
      <c r="J1999" s="2" t="s">
        <v>114</v>
      </c>
      <c r="K1999" s="2" t="s">
        <v>146</v>
      </c>
      <c r="L1999" s="3">
        <v>47.61</v>
      </c>
      <c r="M1999" s="3">
        <v>49.99</v>
      </c>
      <c r="N1999" s="3">
        <v>99.99</v>
      </c>
      <c r="O1999" s="2" t="s">
        <v>97</v>
      </c>
      <c r="P1999" s="2" t="s">
        <v>4334</v>
      </c>
      <c r="Q1999" s="2" t="s">
        <v>99</v>
      </c>
      <c r="R1999" s="2" t="s">
        <v>100</v>
      </c>
      <c r="S1999" s="2" t="s">
        <v>5778</v>
      </c>
      <c r="T1999" s="2" t="s">
        <v>787</v>
      </c>
      <c r="U1999" s="2" t="s">
        <v>5763</v>
      </c>
      <c r="V1999" s="2" t="s">
        <v>734</v>
      </c>
      <c r="W1999" s="2" t="s">
        <v>105</v>
      </c>
      <c r="X1999" s="2" t="s">
        <v>100</v>
      </c>
      <c r="Y1999" s="2" t="s">
        <v>779</v>
      </c>
      <c r="Z1999" s="4"/>
      <c r="AA1999" s="4">
        <f>=ROUNDDOWN({0},0)</f>
      </c>
      <c r="AB1999" s="5">
        <v>6</v>
      </c>
      <c r="AC1999" s="2" t="s">
        <v>100</v>
      </c>
      <c r="AD1999" s="4"/>
      <c r="AE1999" s="4"/>
      <c r="AF1999" s="6"/>
      <c r="AG1999" s="6"/>
      <c r="AH1999" s="7">
        <v>0</v>
      </c>
      <c r="AI1999" s="4"/>
      <c r="AJ1999" s="4">
        <f>=ROUNDDOWN({0},0)</f>
      </c>
      <c r="AK1999" s="5"/>
      <c r="AL1999" s="2" t="s">
        <v>100</v>
      </c>
      <c r="AM1999" s="4"/>
      <c r="AN1999" s="4"/>
      <c r="AO1999" s="7">
        <v>0</v>
      </c>
      <c r="AP1999" s="4"/>
      <c r="AQ1999" s="8"/>
      <c r="AR1999" s="4"/>
      <c r="AS1999" s="8"/>
      <c r="AT1999" s="7"/>
      <c r="AU1999" s="7"/>
      <c r="AV1999" s="4" t="s">
        <v>100</v>
      </c>
      <c r="AW1999" s="8" t="s">
        <v>100</v>
      </c>
      <c r="AX1999" s="4" t="s">
        <v>100</v>
      </c>
      <c r="AY1999" s="8" t="s">
        <v>100</v>
      </c>
      <c r="AZ1999" s="7" t="s">
        <v>100</v>
      </c>
      <c r="BA1999" s="7" t="s">
        <v>100</v>
      </c>
      <c r="BB1999" s="7"/>
      <c r="BC1999" s="4" t="s">
        <v>100</v>
      </c>
      <c r="BD1999" s="8" t="s">
        <v>100</v>
      </c>
      <c r="BE1999" s="4" t="s">
        <v>100</v>
      </c>
      <c r="BF1999" s="8" t="s">
        <v>100</v>
      </c>
      <c r="BG1999" s="7" t="s">
        <v>100</v>
      </c>
      <c r="BH1999" s="7" t="s">
        <v>100</v>
      </c>
      <c r="BI1999" s="7"/>
      <c r="BJ1999" s="4"/>
      <c r="BK1999" s="8"/>
      <c r="BL1999" s="2" t="s">
        <v>100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109</v>
      </c>
      <c r="BV1999" s="2" t="s">
        <v>97</v>
      </c>
      <c r="BW1999" s="2" t="s">
        <v>2339</v>
      </c>
      <c r="BX1999" s="2" t="s">
        <v>1674</v>
      </c>
      <c r="BY1999" s="2" t="s">
        <v>112</v>
      </c>
      <c r="BZ1999" s="2" t="s">
        <v>100</v>
      </c>
    </row>
    <row r="2000">
      <c r="A2000" s="2" t="s">
        <v>5779</v>
      </c>
      <c r="B2000" s="2" t="s">
        <v>87</v>
      </c>
      <c r="C2000" s="2" t="s">
        <v>5759</v>
      </c>
      <c r="D2000" s="2" t="s">
        <v>89</v>
      </c>
      <c r="E2000" s="2" t="s">
        <v>1944</v>
      </c>
      <c r="F2000" s="2" t="s">
        <v>5771</v>
      </c>
      <c r="G2000" s="2" t="s">
        <v>5771</v>
      </c>
      <c r="H2000" s="2" t="s">
        <v>5771</v>
      </c>
      <c r="I2000" s="2" t="s">
        <v>5772</v>
      </c>
      <c r="J2000" s="2" t="s">
        <v>120</v>
      </c>
      <c r="K2000" s="2" t="s">
        <v>146</v>
      </c>
      <c r="L2000" s="3">
        <v>52.38</v>
      </c>
      <c r="M2000" s="3">
        <v>55</v>
      </c>
      <c r="N2000" s="3">
        <v>109.99</v>
      </c>
      <c r="O2000" s="2" t="s">
        <v>97</v>
      </c>
      <c r="P2000" s="2" t="s">
        <v>4334</v>
      </c>
      <c r="Q2000" s="2" t="s">
        <v>99</v>
      </c>
      <c r="R2000" s="2" t="s">
        <v>100</v>
      </c>
      <c r="S2000" s="2" t="s">
        <v>5778</v>
      </c>
      <c r="T2000" s="2" t="s">
        <v>787</v>
      </c>
      <c r="U2000" s="2" t="s">
        <v>5763</v>
      </c>
      <c r="V2000" s="2" t="s">
        <v>734</v>
      </c>
      <c r="W2000" s="2" t="s">
        <v>105</v>
      </c>
      <c r="X2000" s="2" t="s">
        <v>100</v>
      </c>
      <c r="Y2000" s="2" t="s">
        <v>779</v>
      </c>
      <c r="Z2000" s="4"/>
      <c r="AA2000" s="4">
        <f>=ROUNDDOWN({0},0)</f>
      </c>
      <c r="AB2000" s="5">
        <v>4.7</v>
      </c>
      <c r="AC2000" s="2" t="s">
        <v>100</v>
      </c>
      <c r="AD2000" s="4"/>
      <c r="AE2000" s="4"/>
      <c r="AF2000" s="6"/>
      <c r="AG2000" s="6"/>
      <c r="AH2000" s="7">
        <v>0</v>
      </c>
      <c r="AI2000" s="4"/>
      <c r="AJ2000" s="4">
        <f>=ROUNDDOWN({0},0)</f>
      </c>
      <c r="AK2000" s="5"/>
      <c r="AL2000" s="2" t="s">
        <v>100</v>
      </c>
      <c r="AM2000" s="4"/>
      <c r="AN2000" s="4"/>
      <c r="AO2000" s="7">
        <v>0</v>
      </c>
      <c r="AP2000" s="4"/>
      <c r="AQ2000" s="8"/>
      <c r="AR2000" s="4"/>
      <c r="AS2000" s="8"/>
      <c r="AT2000" s="7"/>
      <c r="AU2000" s="7"/>
      <c r="AV2000" s="4" t="s">
        <v>100</v>
      </c>
      <c r="AW2000" s="8" t="s">
        <v>100</v>
      </c>
      <c r="AX2000" s="4" t="s">
        <v>100</v>
      </c>
      <c r="AY2000" s="8" t="s">
        <v>100</v>
      </c>
      <c r="AZ2000" s="7" t="s">
        <v>100</v>
      </c>
      <c r="BA2000" s="7" t="s">
        <v>100</v>
      </c>
      <c r="BB2000" s="7"/>
      <c r="BC2000" s="4" t="s">
        <v>100</v>
      </c>
      <c r="BD2000" s="8" t="s">
        <v>100</v>
      </c>
      <c r="BE2000" s="4" t="s">
        <v>100</v>
      </c>
      <c r="BF2000" s="8" t="s">
        <v>100</v>
      </c>
      <c r="BG2000" s="7" t="s">
        <v>100</v>
      </c>
      <c r="BH2000" s="7" t="s">
        <v>100</v>
      </c>
      <c r="BI2000" s="7"/>
      <c r="BJ2000" s="4"/>
      <c r="BK2000" s="8"/>
      <c r="BL2000" s="2" t="s">
        <v>100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109</v>
      </c>
      <c r="BV2000" s="2" t="s">
        <v>97</v>
      </c>
      <c r="BW2000" s="2" t="s">
        <v>2339</v>
      </c>
      <c r="BX2000" s="2" t="s">
        <v>100</v>
      </c>
      <c r="BY2000" s="2" t="s">
        <v>112</v>
      </c>
      <c r="BZ2000" s="2" t="s">
        <v>100</v>
      </c>
    </row>
    <row r="2001">
      <c r="A2001" s="2" t="s">
        <v>5780</v>
      </c>
      <c r="B2001" s="2" t="s">
        <v>87</v>
      </c>
      <c r="C2001" s="2" t="s">
        <v>5759</v>
      </c>
      <c r="D2001" s="2" t="s">
        <v>89</v>
      </c>
      <c r="E2001" s="2" t="s">
        <v>1944</v>
      </c>
      <c r="F2001" s="2" t="s">
        <v>5781</v>
      </c>
      <c r="G2001" s="2" t="s">
        <v>5781</v>
      </c>
      <c r="H2001" s="2" t="s">
        <v>5781</v>
      </c>
      <c r="I2001" s="2" t="s">
        <v>5782</v>
      </c>
      <c r="J2001" s="2" t="s">
        <v>114</v>
      </c>
      <c r="K2001" s="2" t="s">
        <v>1555</v>
      </c>
      <c r="L2001" s="3">
        <v>47.61</v>
      </c>
      <c r="M2001" s="3">
        <v>49.99</v>
      </c>
      <c r="N2001" s="3">
        <v>99.99</v>
      </c>
      <c r="O2001" s="2" t="s">
        <v>97</v>
      </c>
      <c r="P2001" s="2" t="s">
        <v>447</v>
      </c>
      <c r="Q2001" s="2" t="s">
        <v>99</v>
      </c>
      <c r="R2001" s="2" t="s">
        <v>100</v>
      </c>
      <c r="S2001" s="2" t="s">
        <v>5783</v>
      </c>
      <c r="T2001" s="2" t="s">
        <v>787</v>
      </c>
      <c r="U2001" s="2" t="s">
        <v>5763</v>
      </c>
      <c r="V2001" s="2" t="s">
        <v>1265</v>
      </c>
      <c r="W2001" s="2" t="s">
        <v>105</v>
      </c>
      <c r="X2001" s="2" t="s">
        <v>100</v>
      </c>
      <c r="Y2001" s="2" t="s">
        <v>2955</v>
      </c>
      <c r="Z2001" s="4"/>
      <c r="AA2001" s="4">
        <f>=ROUNDDOWN({0},0)</f>
      </c>
      <c r="AB2001" s="5"/>
      <c r="AC2001" s="2" t="s">
        <v>100</v>
      </c>
      <c r="AD2001" s="4"/>
      <c r="AE2001" s="4"/>
      <c r="AF2001" s="6"/>
      <c r="AG2001" s="6"/>
      <c r="AH2001" s="7">
        <v>0</v>
      </c>
      <c r="AI2001" s="4"/>
      <c r="AJ2001" s="4">
        <f>=ROUNDDOWN({0},0)</f>
      </c>
      <c r="AK2001" s="5"/>
      <c r="AL2001" s="2" t="s">
        <v>100</v>
      </c>
      <c r="AM2001" s="4"/>
      <c r="AN2001" s="4"/>
      <c r="AO2001" s="7">
        <v>0</v>
      </c>
      <c r="AP2001" s="4"/>
      <c r="AQ2001" s="8"/>
      <c r="AR2001" s="4"/>
      <c r="AS2001" s="8"/>
      <c r="AT2001" s="7"/>
      <c r="AU2001" s="7"/>
      <c r="AV2001" s="4" t="s">
        <v>100</v>
      </c>
      <c r="AW2001" s="8" t="s">
        <v>100</v>
      </c>
      <c r="AX2001" s="4" t="s">
        <v>100</v>
      </c>
      <c r="AY2001" s="8" t="s">
        <v>100</v>
      </c>
      <c r="AZ2001" s="7" t="s">
        <v>100</v>
      </c>
      <c r="BA2001" s="7" t="s">
        <v>100</v>
      </c>
      <c r="BB2001" s="7"/>
      <c r="BC2001" s="4" t="s">
        <v>100</v>
      </c>
      <c r="BD2001" s="8" t="s">
        <v>100</v>
      </c>
      <c r="BE2001" s="4" t="s">
        <v>100</v>
      </c>
      <c r="BF2001" s="8" t="s">
        <v>100</v>
      </c>
      <c r="BG2001" s="7" t="s">
        <v>100</v>
      </c>
      <c r="BH2001" s="7" t="s">
        <v>100</v>
      </c>
      <c r="BI2001" s="7"/>
      <c r="BJ2001" s="4"/>
      <c r="BK2001" s="8"/>
      <c r="BL2001" s="2" t="s">
        <v>100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109</v>
      </c>
      <c r="BV2001" s="2" t="s">
        <v>97</v>
      </c>
      <c r="BW2001" s="2" t="s">
        <v>2339</v>
      </c>
      <c r="BX2001" s="2" t="s">
        <v>5784</v>
      </c>
      <c r="BY2001" s="2" t="s">
        <v>112</v>
      </c>
      <c r="BZ2001" s="2" t="s">
        <v>100</v>
      </c>
    </row>
    <row r="2002">
      <c r="A2002" s="2" t="s">
        <v>5785</v>
      </c>
      <c r="B2002" s="2" t="s">
        <v>87</v>
      </c>
      <c r="C2002" s="2" t="s">
        <v>5759</v>
      </c>
      <c r="D2002" s="2" t="s">
        <v>89</v>
      </c>
      <c r="E2002" s="2" t="s">
        <v>1944</v>
      </c>
      <c r="F2002" s="2" t="s">
        <v>5781</v>
      </c>
      <c r="G2002" s="2" t="s">
        <v>5781</v>
      </c>
      <c r="H2002" s="2" t="s">
        <v>5781</v>
      </c>
      <c r="I2002" s="2" t="s">
        <v>5782</v>
      </c>
      <c r="J2002" s="2" t="s">
        <v>120</v>
      </c>
      <c r="K2002" s="2" t="s">
        <v>1555</v>
      </c>
      <c r="L2002" s="3">
        <v>52.38</v>
      </c>
      <c r="M2002" s="3">
        <v>55</v>
      </c>
      <c r="N2002" s="3">
        <v>109.99</v>
      </c>
      <c r="O2002" s="2" t="s">
        <v>97</v>
      </c>
      <c r="P2002" s="2" t="s">
        <v>447</v>
      </c>
      <c r="Q2002" s="2" t="s">
        <v>99</v>
      </c>
      <c r="R2002" s="2" t="s">
        <v>100</v>
      </c>
      <c r="S2002" s="2" t="s">
        <v>5783</v>
      </c>
      <c r="T2002" s="2" t="s">
        <v>787</v>
      </c>
      <c r="U2002" s="2" t="s">
        <v>5763</v>
      </c>
      <c r="V2002" s="2" t="s">
        <v>1265</v>
      </c>
      <c r="W2002" s="2" t="s">
        <v>105</v>
      </c>
      <c r="X2002" s="2" t="s">
        <v>100</v>
      </c>
      <c r="Y2002" s="2" t="s">
        <v>2000</v>
      </c>
      <c r="Z2002" s="4"/>
      <c r="AA2002" s="4">
        <f>=ROUNDDOWN({0},0)</f>
      </c>
      <c r="AB2002" s="5">
        <v>1</v>
      </c>
      <c r="AC2002" s="2" t="s">
        <v>100</v>
      </c>
      <c r="AD2002" s="4"/>
      <c r="AE2002" s="4"/>
      <c r="AF2002" s="6"/>
      <c r="AG2002" s="6"/>
      <c r="AH2002" s="7">
        <v>0</v>
      </c>
      <c r="AI2002" s="4"/>
      <c r="AJ2002" s="4">
        <f>=ROUNDDOWN({0},0)</f>
      </c>
      <c r="AK2002" s="5"/>
      <c r="AL2002" s="2" t="s">
        <v>100</v>
      </c>
      <c r="AM2002" s="4"/>
      <c r="AN2002" s="4"/>
      <c r="AO2002" s="7">
        <v>0</v>
      </c>
      <c r="AP2002" s="4"/>
      <c r="AQ2002" s="8"/>
      <c r="AR2002" s="4"/>
      <c r="AS2002" s="8"/>
      <c r="AT2002" s="7"/>
      <c r="AU2002" s="7"/>
      <c r="AV2002" s="4" t="s">
        <v>100</v>
      </c>
      <c r="AW2002" s="8" t="s">
        <v>100</v>
      </c>
      <c r="AX2002" s="4" t="s">
        <v>100</v>
      </c>
      <c r="AY2002" s="8" t="s">
        <v>100</v>
      </c>
      <c r="AZ2002" s="7" t="s">
        <v>100</v>
      </c>
      <c r="BA2002" s="7" t="s">
        <v>100</v>
      </c>
      <c r="BB2002" s="7"/>
      <c r="BC2002" s="4" t="s">
        <v>100</v>
      </c>
      <c r="BD2002" s="8" t="s">
        <v>100</v>
      </c>
      <c r="BE2002" s="4" t="s">
        <v>100</v>
      </c>
      <c r="BF2002" s="8" t="s">
        <v>100</v>
      </c>
      <c r="BG2002" s="7" t="s">
        <v>100</v>
      </c>
      <c r="BH2002" s="7" t="s">
        <v>100</v>
      </c>
      <c r="BI2002" s="7"/>
      <c r="BJ2002" s="4"/>
      <c r="BK2002" s="8"/>
      <c r="BL2002" s="2" t="s">
        <v>100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109</v>
      </c>
      <c r="BV2002" s="2" t="s">
        <v>97</v>
      </c>
      <c r="BW2002" s="2" t="s">
        <v>2339</v>
      </c>
      <c r="BX2002" s="2" t="s">
        <v>5786</v>
      </c>
      <c r="BY2002" s="2" t="s">
        <v>112</v>
      </c>
      <c r="BZ2002" s="2" t="s">
        <v>100</v>
      </c>
    </row>
    <row r="2003">
      <c r="A2003" s="2" t="s">
        <v>5787</v>
      </c>
      <c r="B2003" s="2" t="s">
        <v>87</v>
      </c>
      <c r="C2003" s="2" t="s">
        <v>5759</v>
      </c>
      <c r="D2003" s="2" t="s">
        <v>89</v>
      </c>
      <c r="E2003" s="2" t="s">
        <v>1944</v>
      </c>
      <c r="F2003" s="2" t="s">
        <v>5781</v>
      </c>
      <c r="G2003" s="2" t="s">
        <v>5781</v>
      </c>
      <c r="H2003" s="2" t="s">
        <v>5781</v>
      </c>
      <c r="I2003" s="2" t="s">
        <v>5782</v>
      </c>
      <c r="J2003" s="2" t="s">
        <v>114</v>
      </c>
      <c r="K2003" s="2" t="s">
        <v>1515</v>
      </c>
      <c r="L2003" s="3">
        <v>47.61</v>
      </c>
      <c r="M2003" s="3">
        <v>49.99</v>
      </c>
      <c r="N2003" s="3">
        <v>99.99</v>
      </c>
      <c r="O2003" s="2" t="s">
        <v>97</v>
      </c>
      <c r="P2003" s="2" t="s">
        <v>447</v>
      </c>
      <c r="Q2003" s="2" t="s">
        <v>99</v>
      </c>
      <c r="R2003" s="2" t="s">
        <v>100</v>
      </c>
      <c r="S2003" s="2" t="s">
        <v>5788</v>
      </c>
      <c r="T2003" s="2" t="s">
        <v>787</v>
      </c>
      <c r="U2003" s="2" t="s">
        <v>5763</v>
      </c>
      <c r="V2003" s="2" t="s">
        <v>1265</v>
      </c>
      <c r="W2003" s="2" t="s">
        <v>105</v>
      </c>
      <c r="X2003" s="2" t="s">
        <v>100</v>
      </c>
      <c r="Y2003" s="2" t="s">
        <v>2955</v>
      </c>
      <c r="Z2003" s="4"/>
      <c r="AA2003" s="4">
        <f>=ROUNDDOWN({0},0)</f>
      </c>
      <c r="AB2003" s="5"/>
      <c r="AC2003" s="2" t="s">
        <v>100</v>
      </c>
      <c r="AD2003" s="4"/>
      <c r="AE2003" s="4"/>
      <c r="AF2003" s="6"/>
      <c r="AG2003" s="6"/>
      <c r="AH2003" s="7">
        <v>0</v>
      </c>
      <c r="AI2003" s="4"/>
      <c r="AJ2003" s="4">
        <f>=ROUNDDOWN({0},0)</f>
      </c>
      <c r="AK2003" s="5"/>
      <c r="AL2003" s="2" t="s">
        <v>100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 t="s">
        <v>100</v>
      </c>
      <c r="AW2003" s="8" t="s">
        <v>100</v>
      </c>
      <c r="AX2003" s="4" t="s">
        <v>100</v>
      </c>
      <c r="AY2003" s="8" t="s">
        <v>100</v>
      </c>
      <c r="AZ2003" s="7" t="s">
        <v>100</v>
      </c>
      <c r="BA2003" s="7" t="s">
        <v>100</v>
      </c>
      <c r="BB2003" s="7"/>
      <c r="BC2003" s="4" t="s">
        <v>100</v>
      </c>
      <c r="BD2003" s="8" t="s">
        <v>100</v>
      </c>
      <c r="BE2003" s="4" t="s">
        <v>100</v>
      </c>
      <c r="BF2003" s="8" t="s">
        <v>100</v>
      </c>
      <c r="BG2003" s="7" t="s">
        <v>100</v>
      </c>
      <c r="BH2003" s="7" t="s">
        <v>100</v>
      </c>
      <c r="BI2003" s="7"/>
      <c r="BJ2003" s="4"/>
      <c r="BK2003" s="8"/>
      <c r="BL2003" s="2" t="s">
        <v>100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109</v>
      </c>
      <c r="BV2003" s="2" t="s">
        <v>97</v>
      </c>
      <c r="BW2003" s="2" t="s">
        <v>2339</v>
      </c>
      <c r="BX2003" s="2" t="s">
        <v>5789</v>
      </c>
      <c r="BY2003" s="2" t="s">
        <v>112</v>
      </c>
      <c r="BZ2003" s="2" t="s">
        <v>100</v>
      </c>
    </row>
    <row r="2004">
      <c r="A2004" s="2" t="s">
        <v>5790</v>
      </c>
      <c r="B2004" s="2" t="s">
        <v>87</v>
      </c>
      <c r="C2004" s="2" t="s">
        <v>5759</v>
      </c>
      <c r="D2004" s="2" t="s">
        <v>89</v>
      </c>
      <c r="E2004" s="2" t="s">
        <v>1944</v>
      </c>
      <c r="F2004" s="2" t="s">
        <v>5781</v>
      </c>
      <c r="G2004" s="2" t="s">
        <v>5781</v>
      </c>
      <c r="H2004" s="2" t="s">
        <v>5781</v>
      </c>
      <c r="I2004" s="2" t="s">
        <v>5782</v>
      </c>
      <c r="J2004" s="2" t="s">
        <v>120</v>
      </c>
      <c r="K2004" s="2" t="s">
        <v>1515</v>
      </c>
      <c r="L2004" s="3">
        <v>52.38</v>
      </c>
      <c r="M2004" s="3">
        <v>55</v>
      </c>
      <c r="N2004" s="3">
        <v>109.99</v>
      </c>
      <c r="O2004" s="2" t="s">
        <v>97</v>
      </c>
      <c r="P2004" s="2" t="s">
        <v>447</v>
      </c>
      <c r="Q2004" s="2" t="s">
        <v>99</v>
      </c>
      <c r="R2004" s="2" t="s">
        <v>100</v>
      </c>
      <c r="S2004" s="2" t="s">
        <v>5788</v>
      </c>
      <c r="T2004" s="2" t="s">
        <v>787</v>
      </c>
      <c r="U2004" s="2" t="s">
        <v>5763</v>
      </c>
      <c r="V2004" s="2" t="s">
        <v>1265</v>
      </c>
      <c r="W2004" s="2" t="s">
        <v>105</v>
      </c>
      <c r="X2004" s="2" t="s">
        <v>100</v>
      </c>
      <c r="Y2004" s="2" t="s">
        <v>2955</v>
      </c>
      <c r="Z2004" s="4"/>
      <c r="AA2004" s="4">
        <f>=ROUNDDOWN({0},0)</f>
      </c>
      <c r="AB2004" s="5"/>
      <c r="AC2004" s="2" t="s">
        <v>100</v>
      </c>
      <c r="AD2004" s="4"/>
      <c r="AE2004" s="4"/>
      <c r="AF2004" s="6"/>
      <c r="AG2004" s="6"/>
      <c r="AH2004" s="7">
        <v>0</v>
      </c>
      <c r="AI2004" s="4"/>
      <c r="AJ2004" s="4">
        <f>=ROUNDDOWN({0},0)</f>
      </c>
      <c r="AK2004" s="5"/>
      <c r="AL2004" s="2" t="s">
        <v>100</v>
      </c>
      <c r="AM2004" s="4"/>
      <c r="AN2004" s="4"/>
      <c r="AO2004" s="7">
        <v>0</v>
      </c>
      <c r="AP2004" s="4"/>
      <c r="AQ2004" s="8"/>
      <c r="AR2004" s="4"/>
      <c r="AS2004" s="8"/>
      <c r="AT2004" s="7"/>
      <c r="AU2004" s="7"/>
      <c r="AV2004" s="4" t="s">
        <v>100</v>
      </c>
      <c r="AW2004" s="8" t="s">
        <v>100</v>
      </c>
      <c r="AX2004" s="4" t="s">
        <v>100</v>
      </c>
      <c r="AY2004" s="8" t="s">
        <v>100</v>
      </c>
      <c r="AZ2004" s="7" t="s">
        <v>100</v>
      </c>
      <c r="BA2004" s="7" t="s">
        <v>100</v>
      </c>
      <c r="BB2004" s="7"/>
      <c r="BC2004" s="4" t="s">
        <v>100</v>
      </c>
      <c r="BD2004" s="8" t="s">
        <v>100</v>
      </c>
      <c r="BE2004" s="4" t="s">
        <v>100</v>
      </c>
      <c r="BF2004" s="8" t="s">
        <v>100</v>
      </c>
      <c r="BG2004" s="7" t="s">
        <v>100</v>
      </c>
      <c r="BH2004" s="7" t="s">
        <v>100</v>
      </c>
      <c r="BI2004" s="7"/>
      <c r="BJ2004" s="4"/>
      <c r="BK2004" s="8"/>
      <c r="BL2004" s="2" t="s">
        <v>100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109</v>
      </c>
      <c r="BV2004" s="2" t="s">
        <v>97</v>
      </c>
      <c r="BW2004" s="2" t="s">
        <v>2339</v>
      </c>
      <c r="BX2004" s="2" t="s">
        <v>5791</v>
      </c>
      <c r="BY2004" s="2" t="s">
        <v>112</v>
      </c>
      <c r="BZ2004" s="2" t="s">
        <v>100</v>
      </c>
    </row>
    <row r="2005">
      <c r="A2005" s="2" t="s">
        <v>5792</v>
      </c>
      <c r="B2005" s="2" t="s">
        <v>87</v>
      </c>
      <c r="C2005" s="2" t="s">
        <v>5759</v>
      </c>
      <c r="D2005" s="2" t="s">
        <v>89</v>
      </c>
      <c r="E2005" s="2" t="s">
        <v>90</v>
      </c>
      <c r="F2005" s="2" t="s">
        <v>5793</v>
      </c>
      <c r="G2005" s="2" t="s">
        <v>5793</v>
      </c>
      <c r="H2005" s="2" t="s">
        <v>5793</v>
      </c>
      <c r="I2005" s="2" t="s">
        <v>1563</v>
      </c>
      <c r="J2005" s="2" t="s">
        <v>785</v>
      </c>
      <c r="K2005" s="2" t="s">
        <v>146</v>
      </c>
      <c r="L2005" s="3">
        <v>52.38</v>
      </c>
      <c r="M2005" s="3">
        <v>55</v>
      </c>
      <c r="N2005" s="3">
        <v>109.99</v>
      </c>
      <c r="O2005" s="2" t="s">
        <v>97</v>
      </c>
      <c r="P2005" s="2" t="s">
        <v>4334</v>
      </c>
      <c r="Q2005" s="2" t="s">
        <v>99</v>
      </c>
      <c r="R2005" s="2" t="s">
        <v>100</v>
      </c>
      <c r="S2005" s="2" t="s">
        <v>5794</v>
      </c>
      <c r="T2005" s="2" t="s">
        <v>1565</v>
      </c>
      <c r="U2005" s="2" t="s">
        <v>644</v>
      </c>
      <c r="V2005" s="2" t="s">
        <v>645</v>
      </c>
      <c r="W2005" s="2" t="s">
        <v>1240</v>
      </c>
      <c r="X2005" s="2" t="s">
        <v>104</v>
      </c>
      <c r="Y2005" s="2" t="s">
        <v>4206</v>
      </c>
      <c r="Z2005" s="4"/>
      <c r="AA2005" s="4">
        <f>=ROUNDDOWN({0},0)</f>
      </c>
      <c r="AB2005" s="5">
        <v>2.1</v>
      </c>
      <c r="AC2005" s="2" t="s">
        <v>100</v>
      </c>
      <c r="AD2005" s="4"/>
      <c r="AE2005" s="4"/>
      <c r="AF2005" s="6"/>
      <c r="AG2005" s="6"/>
      <c r="AH2005" s="7">
        <v>0</v>
      </c>
      <c r="AI2005" s="4"/>
      <c r="AJ2005" s="4">
        <f>=ROUNDDOWN({0},0)</f>
      </c>
      <c r="AK2005" s="5"/>
      <c r="AL2005" s="2" t="s">
        <v>100</v>
      </c>
      <c r="AM2005" s="4"/>
      <c r="AN2005" s="4"/>
      <c r="AO2005" s="7">
        <v>0</v>
      </c>
      <c r="AP2005" s="4"/>
      <c r="AQ2005" s="8"/>
      <c r="AR2005" s="4"/>
      <c r="AS2005" s="8"/>
      <c r="AT2005" s="7"/>
      <c r="AU2005" s="7"/>
      <c r="AV2005" s="4" t="s">
        <v>100</v>
      </c>
      <c r="AW2005" s="8" t="s">
        <v>100</v>
      </c>
      <c r="AX2005" s="4" t="s">
        <v>100</v>
      </c>
      <c r="AY2005" s="8" t="s">
        <v>100</v>
      </c>
      <c r="AZ2005" s="7" t="s">
        <v>100</v>
      </c>
      <c r="BA2005" s="7" t="s">
        <v>100</v>
      </c>
      <c r="BB2005" s="7"/>
      <c r="BC2005" s="4" t="s">
        <v>100</v>
      </c>
      <c r="BD2005" s="8" t="s">
        <v>100</v>
      </c>
      <c r="BE2005" s="4" t="s">
        <v>100</v>
      </c>
      <c r="BF2005" s="8" t="s">
        <v>100</v>
      </c>
      <c r="BG2005" s="7" t="s">
        <v>100</v>
      </c>
      <c r="BH2005" s="7" t="s">
        <v>100</v>
      </c>
      <c r="BI2005" s="7"/>
      <c r="BJ2005" s="4"/>
      <c r="BK2005" s="8"/>
      <c r="BL2005" s="2" t="s">
        <v>100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109</v>
      </c>
      <c r="BV2005" s="2" t="s">
        <v>97</v>
      </c>
      <c r="BW2005" s="2" t="s">
        <v>2339</v>
      </c>
      <c r="BX2005" s="2" t="s">
        <v>100</v>
      </c>
      <c r="BY2005" s="2" t="s">
        <v>112</v>
      </c>
      <c r="BZ2005" s="2" t="s">
        <v>100</v>
      </c>
    </row>
    <row r="2006">
      <c r="A2006" s="2" t="s">
        <v>5795</v>
      </c>
      <c r="B2006" s="2" t="s">
        <v>87</v>
      </c>
      <c r="C2006" s="2" t="s">
        <v>5759</v>
      </c>
      <c r="D2006" s="2" t="s">
        <v>89</v>
      </c>
      <c r="E2006" s="2" t="s">
        <v>90</v>
      </c>
      <c r="F2006" s="2" t="s">
        <v>5793</v>
      </c>
      <c r="G2006" s="2" t="s">
        <v>5793</v>
      </c>
      <c r="H2006" s="2" t="s">
        <v>5793</v>
      </c>
      <c r="I2006" s="2" t="s">
        <v>1563</v>
      </c>
      <c r="J2006" s="2" t="s">
        <v>795</v>
      </c>
      <c r="K2006" s="2" t="s">
        <v>146</v>
      </c>
      <c r="L2006" s="3">
        <v>57.14</v>
      </c>
      <c r="M2006" s="3">
        <v>60</v>
      </c>
      <c r="N2006" s="3">
        <v>119.99</v>
      </c>
      <c r="O2006" s="2" t="s">
        <v>97</v>
      </c>
      <c r="P2006" s="2" t="s">
        <v>447</v>
      </c>
      <c r="Q2006" s="2" t="s">
        <v>99</v>
      </c>
      <c r="R2006" s="2" t="s">
        <v>100</v>
      </c>
      <c r="S2006" s="2" t="s">
        <v>5794</v>
      </c>
      <c r="T2006" s="2" t="s">
        <v>1565</v>
      </c>
      <c r="U2006" s="2" t="s">
        <v>644</v>
      </c>
      <c r="V2006" s="2" t="s">
        <v>645</v>
      </c>
      <c r="W2006" s="2" t="s">
        <v>1240</v>
      </c>
      <c r="X2006" s="2" t="s">
        <v>104</v>
      </c>
      <c r="Y2006" s="2" t="s">
        <v>4206</v>
      </c>
      <c r="Z2006" s="4"/>
      <c r="AA2006" s="4">
        <f>=ROUNDDOWN({0},0)</f>
      </c>
      <c r="AB2006" s="5"/>
      <c r="AC2006" s="2" t="s">
        <v>100</v>
      </c>
      <c r="AD2006" s="4"/>
      <c r="AE2006" s="4"/>
      <c r="AF2006" s="6"/>
      <c r="AG2006" s="6"/>
      <c r="AH2006" s="7">
        <v>0</v>
      </c>
      <c r="AI2006" s="4"/>
      <c r="AJ2006" s="4">
        <f>=ROUNDDOWN({0},0)</f>
      </c>
      <c r="AK2006" s="5"/>
      <c r="AL2006" s="2" t="s">
        <v>100</v>
      </c>
      <c r="AM2006" s="4"/>
      <c r="AN2006" s="4"/>
      <c r="AO2006" s="7">
        <v>0</v>
      </c>
      <c r="AP2006" s="4"/>
      <c r="AQ2006" s="8"/>
      <c r="AR2006" s="4"/>
      <c r="AS2006" s="8"/>
      <c r="AT2006" s="7"/>
      <c r="AU2006" s="7"/>
      <c r="AV2006" s="4" t="s">
        <v>100</v>
      </c>
      <c r="AW2006" s="8" t="s">
        <v>100</v>
      </c>
      <c r="AX2006" s="4" t="s">
        <v>100</v>
      </c>
      <c r="AY2006" s="8" t="s">
        <v>100</v>
      </c>
      <c r="AZ2006" s="7" t="s">
        <v>100</v>
      </c>
      <c r="BA2006" s="7" t="s">
        <v>100</v>
      </c>
      <c r="BB2006" s="7"/>
      <c r="BC2006" s="4" t="s">
        <v>100</v>
      </c>
      <c r="BD2006" s="8" t="s">
        <v>100</v>
      </c>
      <c r="BE2006" s="4" t="s">
        <v>100</v>
      </c>
      <c r="BF2006" s="8" t="s">
        <v>100</v>
      </c>
      <c r="BG2006" s="7" t="s">
        <v>100</v>
      </c>
      <c r="BH2006" s="7" t="s">
        <v>100</v>
      </c>
      <c r="BI2006" s="7"/>
      <c r="BJ2006" s="4"/>
      <c r="BK2006" s="8"/>
      <c r="BL2006" s="2" t="s">
        <v>100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109</v>
      </c>
      <c r="BV2006" s="2" t="s">
        <v>97</v>
      </c>
      <c r="BW2006" s="2" t="s">
        <v>2339</v>
      </c>
      <c r="BX2006" s="2" t="s">
        <v>5786</v>
      </c>
      <c r="BY2006" s="2" t="s">
        <v>112</v>
      </c>
      <c r="BZ2006" s="2" t="s">
        <v>100</v>
      </c>
    </row>
    <row r="2007">
      <c r="A2007" s="2" t="s">
        <v>5796</v>
      </c>
      <c r="B2007" s="2" t="s">
        <v>87</v>
      </c>
      <c r="C2007" s="2" t="s">
        <v>5759</v>
      </c>
      <c r="D2007" s="2" t="s">
        <v>89</v>
      </c>
      <c r="E2007" s="2" t="s">
        <v>90</v>
      </c>
      <c r="F2007" s="2" t="s">
        <v>5793</v>
      </c>
      <c r="G2007" s="2" t="s">
        <v>5793</v>
      </c>
      <c r="H2007" s="2" t="s">
        <v>5793</v>
      </c>
      <c r="I2007" s="2" t="s">
        <v>1563</v>
      </c>
      <c r="J2007" s="2" t="s">
        <v>785</v>
      </c>
      <c r="K2007" s="2" t="s">
        <v>198</v>
      </c>
      <c r="L2007" s="3">
        <v>52.38</v>
      </c>
      <c r="M2007" s="3">
        <v>55</v>
      </c>
      <c r="N2007" s="3">
        <v>109.99</v>
      </c>
      <c r="O2007" s="2" t="s">
        <v>97</v>
      </c>
      <c r="P2007" s="2" t="s">
        <v>4334</v>
      </c>
      <c r="Q2007" s="2" t="s">
        <v>99</v>
      </c>
      <c r="R2007" s="2" t="s">
        <v>100</v>
      </c>
      <c r="S2007" s="2" t="s">
        <v>5797</v>
      </c>
      <c r="T2007" s="2" t="s">
        <v>1565</v>
      </c>
      <c r="U2007" s="2" t="s">
        <v>644</v>
      </c>
      <c r="V2007" s="2" t="s">
        <v>645</v>
      </c>
      <c r="W2007" s="2" t="s">
        <v>1240</v>
      </c>
      <c r="X2007" s="2" t="s">
        <v>104</v>
      </c>
      <c r="Y2007" s="2" t="s">
        <v>1086</v>
      </c>
      <c r="Z2007" s="4"/>
      <c r="AA2007" s="4">
        <f>=ROUNDDOWN({0},0)</f>
      </c>
      <c r="AB2007" s="5">
        <v>4.9</v>
      </c>
      <c r="AC2007" s="2" t="s">
        <v>100</v>
      </c>
      <c r="AD2007" s="4"/>
      <c r="AE2007" s="4"/>
      <c r="AF2007" s="6"/>
      <c r="AG2007" s="6"/>
      <c r="AH2007" s="7">
        <v>0</v>
      </c>
      <c r="AI2007" s="4"/>
      <c r="AJ2007" s="4">
        <f>=ROUNDDOWN({0},0)</f>
      </c>
      <c r="AK2007" s="5"/>
      <c r="AL2007" s="2" t="s">
        <v>100</v>
      </c>
      <c r="AM2007" s="4"/>
      <c r="AN2007" s="4"/>
      <c r="AO2007" s="7">
        <v>0</v>
      </c>
      <c r="AP2007" s="4"/>
      <c r="AQ2007" s="8"/>
      <c r="AR2007" s="4"/>
      <c r="AS2007" s="8"/>
      <c r="AT2007" s="7"/>
      <c r="AU2007" s="7"/>
      <c r="AV2007" s="4" t="s">
        <v>100</v>
      </c>
      <c r="AW2007" s="8" t="s">
        <v>100</v>
      </c>
      <c r="AX2007" s="4" t="s">
        <v>100</v>
      </c>
      <c r="AY2007" s="8" t="s">
        <v>100</v>
      </c>
      <c r="AZ2007" s="7" t="s">
        <v>100</v>
      </c>
      <c r="BA2007" s="7" t="s">
        <v>100</v>
      </c>
      <c r="BB2007" s="7"/>
      <c r="BC2007" s="4" t="s">
        <v>100</v>
      </c>
      <c r="BD2007" s="8" t="s">
        <v>100</v>
      </c>
      <c r="BE2007" s="4" t="s">
        <v>100</v>
      </c>
      <c r="BF2007" s="8" t="s">
        <v>100</v>
      </c>
      <c r="BG2007" s="7" t="s">
        <v>100</v>
      </c>
      <c r="BH2007" s="7" t="s">
        <v>100</v>
      </c>
      <c r="BI2007" s="7"/>
      <c r="BJ2007" s="4"/>
      <c r="BK2007" s="8"/>
      <c r="BL2007" s="2" t="s">
        <v>100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109</v>
      </c>
      <c r="BV2007" s="2" t="s">
        <v>97</v>
      </c>
      <c r="BW2007" s="2" t="s">
        <v>2339</v>
      </c>
      <c r="BX2007" s="2" t="s">
        <v>100</v>
      </c>
      <c r="BY2007" s="2" t="s">
        <v>112</v>
      </c>
      <c r="BZ2007" s="2" t="s">
        <v>100</v>
      </c>
    </row>
    <row r="2008">
      <c r="A2008" s="2" t="s">
        <v>5798</v>
      </c>
      <c r="B2008" s="2" t="s">
        <v>87</v>
      </c>
      <c r="C2008" s="2" t="s">
        <v>5759</v>
      </c>
      <c r="D2008" s="2" t="s">
        <v>89</v>
      </c>
      <c r="E2008" s="2" t="s">
        <v>90</v>
      </c>
      <c r="F2008" s="2" t="s">
        <v>5793</v>
      </c>
      <c r="G2008" s="2" t="s">
        <v>5793</v>
      </c>
      <c r="H2008" s="2" t="s">
        <v>5793</v>
      </c>
      <c r="I2008" s="2" t="s">
        <v>1563</v>
      </c>
      <c r="J2008" s="2" t="s">
        <v>795</v>
      </c>
      <c r="K2008" s="2" t="s">
        <v>198</v>
      </c>
      <c r="L2008" s="3">
        <v>57.14</v>
      </c>
      <c r="M2008" s="3">
        <v>60</v>
      </c>
      <c r="N2008" s="3">
        <v>119.99</v>
      </c>
      <c r="O2008" s="2" t="s">
        <v>97</v>
      </c>
      <c r="P2008" s="2" t="s">
        <v>447</v>
      </c>
      <c r="Q2008" s="2" t="s">
        <v>99</v>
      </c>
      <c r="R2008" s="2" t="s">
        <v>100</v>
      </c>
      <c r="S2008" s="2" t="s">
        <v>5797</v>
      </c>
      <c r="T2008" s="2" t="s">
        <v>1565</v>
      </c>
      <c r="U2008" s="2" t="s">
        <v>644</v>
      </c>
      <c r="V2008" s="2" t="s">
        <v>645</v>
      </c>
      <c r="W2008" s="2" t="s">
        <v>1240</v>
      </c>
      <c r="X2008" s="2" t="s">
        <v>104</v>
      </c>
      <c r="Y2008" s="2" t="s">
        <v>1086</v>
      </c>
      <c r="Z2008" s="4"/>
      <c r="AA2008" s="4">
        <f>=ROUNDDOWN({0},0)</f>
      </c>
      <c r="AB2008" s="5"/>
      <c r="AC2008" s="2" t="s">
        <v>100</v>
      </c>
      <c r="AD2008" s="4"/>
      <c r="AE2008" s="4"/>
      <c r="AF2008" s="6"/>
      <c r="AG2008" s="6"/>
      <c r="AH2008" s="7">
        <v>0</v>
      </c>
      <c r="AI2008" s="4"/>
      <c r="AJ2008" s="4">
        <f>=ROUNDDOWN({0},0)</f>
      </c>
      <c r="AK2008" s="5"/>
      <c r="AL2008" s="2" t="s">
        <v>100</v>
      </c>
      <c r="AM2008" s="4"/>
      <c r="AN2008" s="4"/>
      <c r="AO2008" s="7">
        <v>0</v>
      </c>
      <c r="AP2008" s="4"/>
      <c r="AQ2008" s="8"/>
      <c r="AR2008" s="4"/>
      <c r="AS2008" s="8"/>
      <c r="AT2008" s="7"/>
      <c r="AU2008" s="7"/>
      <c r="AV2008" s="4" t="s">
        <v>100</v>
      </c>
      <c r="AW2008" s="8" t="s">
        <v>100</v>
      </c>
      <c r="AX2008" s="4" t="s">
        <v>100</v>
      </c>
      <c r="AY2008" s="8" t="s">
        <v>100</v>
      </c>
      <c r="AZ2008" s="7" t="s">
        <v>100</v>
      </c>
      <c r="BA2008" s="7" t="s">
        <v>100</v>
      </c>
      <c r="BB2008" s="7"/>
      <c r="BC2008" s="4" t="s">
        <v>100</v>
      </c>
      <c r="BD2008" s="8" t="s">
        <v>100</v>
      </c>
      <c r="BE2008" s="4" t="s">
        <v>100</v>
      </c>
      <c r="BF2008" s="8" t="s">
        <v>100</v>
      </c>
      <c r="BG2008" s="7" t="s">
        <v>100</v>
      </c>
      <c r="BH2008" s="7" t="s">
        <v>100</v>
      </c>
      <c r="BI2008" s="7"/>
      <c r="BJ2008" s="4"/>
      <c r="BK2008" s="8"/>
      <c r="BL2008" s="2" t="s">
        <v>100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109</v>
      </c>
      <c r="BV2008" s="2" t="s">
        <v>97</v>
      </c>
      <c r="BW2008" s="2" t="s">
        <v>2339</v>
      </c>
      <c r="BX2008" s="2" t="s">
        <v>100</v>
      </c>
      <c r="BY2008" s="2" t="s">
        <v>112</v>
      </c>
      <c r="BZ2008" s="2" t="s">
        <v>100</v>
      </c>
    </row>
    <row r="2009">
      <c r="A2009" s="2" t="s">
        <v>5799</v>
      </c>
      <c r="B2009" s="2" t="s">
        <v>87</v>
      </c>
      <c r="C2009" s="2" t="s">
        <v>5759</v>
      </c>
      <c r="D2009" s="2" t="s">
        <v>89</v>
      </c>
      <c r="E2009" s="2" t="s">
        <v>90</v>
      </c>
      <c r="F2009" s="2" t="s">
        <v>5800</v>
      </c>
      <c r="G2009" s="2" t="s">
        <v>5800</v>
      </c>
      <c r="H2009" s="2" t="s">
        <v>5800</v>
      </c>
      <c r="I2009" s="2" t="s">
        <v>5801</v>
      </c>
      <c r="J2009" s="2" t="s">
        <v>785</v>
      </c>
      <c r="K2009" s="2" t="s">
        <v>5802</v>
      </c>
      <c r="L2009" s="3">
        <v>47.61</v>
      </c>
      <c r="M2009" s="3">
        <v>49.99</v>
      </c>
      <c r="N2009" s="3">
        <v>99.99</v>
      </c>
      <c r="O2009" s="2" t="s">
        <v>97</v>
      </c>
      <c r="P2009" s="2" t="s">
        <v>447</v>
      </c>
      <c r="Q2009" s="2" t="s">
        <v>99</v>
      </c>
      <c r="R2009" s="2" t="s">
        <v>100</v>
      </c>
      <c r="S2009" s="2" t="s">
        <v>5803</v>
      </c>
      <c r="T2009" s="2" t="s">
        <v>1565</v>
      </c>
      <c r="U2009" s="2" t="s">
        <v>644</v>
      </c>
      <c r="V2009" s="2" t="s">
        <v>734</v>
      </c>
      <c r="W2009" s="2" t="s">
        <v>105</v>
      </c>
      <c r="X2009" s="2" t="s">
        <v>100</v>
      </c>
      <c r="Y2009" s="2" t="s">
        <v>1933</v>
      </c>
      <c r="Z2009" s="4">
        <v>35</v>
      </c>
      <c r="AA2009" s="4">
        <f>=ROUNDDOWN(4.79452054794521,0)</f>
      </c>
      <c r="AB2009" s="5">
        <v>7.3</v>
      </c>
      <c r="AC2009" s="2" t="s">
        <v>100</v>
      </c>
      <c r="AD2009" s="4"/>
      <c r="AE2009" s="4"/>
      <c r="AF2009" s="6"/>
      <c r="AG2009" s="6"/>
      <c r="AH2009" s="7">
        <v>1</v>
      </c>
      <c r="AI2009" s="4"/>
      <c r="AJ2009" s="4">
        <f>=ROUNDDOWN({0},0)</f>
      </c>
      <c r="AK2009" s="5"/>
      <c r="AL2009" s="2" t="s">
        <v>100</v>
      </c>
      <c r="AM2009" s="4"/>
      <c r="AN2009" s="4"/>
      <c r="AO2009" s="7">
        <v>0</v>
      </c>
      <c r="AP2009" s="4"/>
      <c r="AQ2009" s="8"/>
      <c r="AR2009" s="4"/>
      <c r="AS2009" s="8"/>
      <c r="AT2009" s="7"/>
      <c r="AU2009" s="7"/>
      <c r="AV2009" s="4" t="s">
        <v>100</v>
      </c>
      <c r="AW2009" s="8" t="s">
        <v>100</v>
      </c>
      <c r="AX2009" s="4" t="s">
        <v>100</v>
      </c>
      <c r="AY2009" s="8" t="s">
        <v>100</v>
      </c>
      <c r="AZ2009" s="7" t="s">
        <v>100</v>
      </c>
      <c r="BA2009" s="7" t="s">
        <v>100</v>
      </c>
      <c r="BB2009" s="7"/>
      <c r="BC2009" s="4" t="s">
        <v>100</v>
      </c>
      <c r="BD2009" s="8" t="s">
        <v>100</v>
      </c>
      <c r="BE2009" s="4" t="s">
        <v>100</v>
      </c>
      <c r="BF2009" s="8" t="s">
        <v>100</v>
      </c>
      <c r="BG2009" s="7" t="s">
        <v>100</v>
      </c>
      <c r="BH2009" s="7" t="s">
        <v>100</v>
      </c>
      <c r="BI2009" s="7"/>
      <c r="BJ2009" s="4"/>
      <c r="BK2009" s="8"/>
      <c r="BL2009" s="2" t="s">
        <v>100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109</v>
      </c>
      <c r="BV2009" s="2" t="s">
        <v>97</v>
      </c>
      <c r="BW2009" s="2" t="s">
        <v>2339</v>
      </c>
      <c r="BX2009" s="2" t="s">
        <v>100</v>
      </c>
      <c r="BY2009" s="2" t="s">
        <v>112</v>
      </c>
      <c r="BZ2009" s="2" t="s">
        <v>100</v>
      </c>
    </row>
    <row r="2010">
      <c r="A2010" s="2" t="s">
        <v>5804</v>
      </c>
      <c r="B2010" s="2" t="s">
        <v>87</v>
      </c>
      <c r="C2010" s="2" t="s">
        <v>5759</v>
      </c>
      <c r="D2010" s="2" t="s">
        <v>89</v>
      </c>
      <c r="E2010" s="2" t="s">
        <v>90</v>
      </c>
      <c r="F2010" s="2" t="s">
        <v>5800</v>
      </c>
      <c r="G2010" s="2" t="s">
        <v>5800</v>
      </c>
      <c r="H2010" s="2" t="s">
        <v>5800</v>
      </c>
      <c r="I2010" s="2" t="s">
        <v>5801</v>
      </c>
      <c r="J2010" s="2" t="s">
        <v>795</v>
      </c>
      <c r="K2010" s="2" t="s">
        <v>5802</v>
      </c>
      <c r="L2010" s="3">
        <v>52.38</v>
      </c>
      <c r="M2010" s="3">
        <v>55</v>
      </c>
      <c r="N2010" s="3">
        <v>109.99</v>
      </c>
      <c r="O2010" s="2" t="s">
        <v>97</v>
      </c>
      <c r="P2010" s="2" t="s">
        <v>447</v>
      </c>
      <c r="Q2010" s="2" t="s">
        <v>99</v>
      </c>
      <c r="R2010" s="2" t="s">
        <v>100</v>
      </c>
      <c r="S2010" s="2" t="s">
        <v>5803</v>
      </c>
      <c r="T2010" s="2" t="s">
        <v>1565</v>
      </c>
      <c r="U2010" s="2" t="s">
        <v>644</v>
      </c>
      <c r="V2010" s="2" t="s">
        <v>734</v>
      </c>
      <c r="W2010" s="2" t="s">
        <v>105</v>
      </c>
      <c r="X2010" s="2" t="s">
        <v>100</v>
      </c>
      <c r="Y2010" s="2" t="s">
        <v>1933</v>
      </c>
      <c r="Z2010" s="4"/>
      <c r="AA2010" s="4">
        <f>=ROUNDDOWN({0},0)</f>
      </c>
      <c r="AB2010" s="5">
        <v>1.5</v>
      </c>
      <c r="AC2010" s="2" t="s">
        <v>100</v>
      </c>
      <c r="AD2010" s="4"/>
      <c r="AE2010" s="4"/>
      <c r="AF2010" s="6"/>
      <c r="AG2010" s="6"/>
      <c r="AH2010" s="7">
        <v>0</v>
      </c>
      <c r="AI2010" s="4"/>
      <c r="AJ2010" s="4">
        <f>=ROUNDDOWN({0},0)</f>
      </c>
      <c r="AK2010" s="5"/>
      <c r="AL2010" s="2" t="s">
        <v>100</v>
      </c>
      <c r="AM2010" s="4"/>
      <c r="AN2010" s="4"/>
      <c r="AO2010" s="7">
        <v>0</v>
      </c>
      <c r="AP2010" s="4"/>
      <c r="AQ2010" s="8"/>
      <c r="AR2010" s="4"/>
      <c r="AS2010" s="8"/>
      <c r="AT2010" s="7"/>
      <c r="AU2010" s="7"/>
      <c r="AV2010" s="4" t="s">
        <v>100</v>
      </c>
      <c r="AW2010" s="8" t="s">
        <v>100</v>
      </c>
      <c r="AX2010" s="4" t="s">
        <v>100</v>
      </c>
      <c r="AY2010" s="8" t="s">
        <v>100</v>
      </c>
      <c r="AZ2010" s="7" t="s">
        <v>100</v>
      </c>
      <c r="BA2010" s="7" t="s">
        <v>100</v>
      </c>
      <c r="BB2010" s="7"/>
      <c r="BC2010" s="4" t="s">
        <v>100</v>
      </c>
      <c r="BD2010" s="8" t="s">
        <v>100</v>
      </c>
      <c r="BE2010" s="4" t="s">
        <v>100</v>
      </c>
      <c r="BF2010" s="8" t="s">
        <v>100</v>
      </c>
      <c r="BG2010" s="7" t="s">
        <v>100</v>
      </c>
      <c r="BH2010" s="7" t="s">
        <v>100</v>
      </c>
      <c r="BI2010" s="7"/>
      <c r="BJ2010" s="4"/>
      <c r="BK2010" s="8"/>
      <c r="BL2010" s="2" t="s">
        <v>100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109</v>
      </c>
      <c r="BV2010" s="2" t="s">
        <v>97</v>
      </c>
      <c r="BW2010" s="2" t="s">
        <v>2339</v>
      </c>
      <c r="BX2010" s="2" t="s">
        <v>100</v>
      </c>
      <c r="BY2010" s="2" t="s">
        <v>112</v>
      </c>
      <c r="BZ2010" s="2" t="s">
        <v>100</v>
      </c>
    </row>
    <row r="2011">
      <c r="A2011" s="2" t="s">
        <v>5805</v>
      </c>
      <c r="B2011" s="2" t="s">
        <v>87</v>
      </c>
      <c r="C2011" s="2" t="s">
        <v>5759</v>
      </c>
      <c r="D2011" s="2" t="s">
        <v>89</v>
      </c>
      <c r="E2011" s="2" t="s">
        <v>90</v>
      </c>
      <c r="F2011" s="2" t="s">
        <v>5800</v>
      </c>
      <c r="G2011" s="2" t="s">
        <v>5800</v>
      </c>
      <c r="H2011" s="2" t="s">
        <v>5800</v>
      </c>
      <c r="I2011" s="2" t="s">
        <v>5801</v>
      </c>
      <c r="J2011" s="2" t="s">
        <v>785</v>
      </c>
      <c r="K2011" s="2" t="s">
        <v>1572</v>
      </c>
      <c r="L2011" s="3">
        <v>47.61</v>
      </c>
      <c r="M2011" s="3">
        <v>49.99</v>
      </c>
      <c r="N2011" s="3">
        <v>99.99</v>
      </c>
      <c r="O2011" s="2" t="s">
        <v>97</v>
      </c>
      <c r="P2011" s="2" t="s">
        <v>447</v>
      </c>
      <c r="Q2011" s="2" t="s">
        <v>99</v>
      </c>
      <c r="R2011" s="2" t="s">
        <v>100</v>
      </c>
      <c r="S2011" s="2" t="s">
        <v>5806</v>
      </c>
      <c r="T2011" s="2" t="s">
        <v>1565</v>
      </c>
      <c r="U2011" s="2" t="s">
        <v>644</v>
      </c>
      <c r="V2011" s="2" t="s">
        <v>734</v>
      </c>
      <c r="W2011" s="2" t="s">
        <v>105</v>
      </c>
      <c r="X2011" s="2" t="s">
        <v>100</v>
      </c>
      <c r="Y2011" s="2" t="s">
        <v>1086</v>
      </c>
      <c r="Z2011" s="4">
        <v>118</v>
      </c>
      <c r="AA2011" s="4">
        <f>=ROUNDDOWN(28.0952380952381,0)</f>
      </c>
      <c r="AB2011" s="5">
        <v>4.2</v>
      </c>
      <c r="AC2011" s="2" t="s">
        <v>100</v>
      </c>
      <c r="AD2011" s="4"/>
      <c r="AE2011" s="4"/>
      <c r="AF2011" s="6"/>
      <c r="AG2011" s="6"/>
      <c r="AH2011" s="7">
        <v>1</v>
      </c>
      <c r="AI2011" s="4"/>
      <c r="AJ2011" s="4">
        <f>=ROUNDDOWN({0},0)</f>
      </c>
      <c r="AK2011" s="5"/>
      <c r="AL2011" s="2" t="s">
        <v>100</v>
      </c>
      <c r="AM2011" s="4"/>
      <c r="AN2011" s="4"/>
      <c r="AO2011" s="7">
        <v>0</v>
      </c>
      <c r="AP2011" s="4"/>
      <c r="AQ2011" s="8"/>
      <c r="AR2011" s="4"/>
      <c r="AS2011" s="8"/>
      <c r="AT2011" s="7"/>
      <c r="AU2011" s="7"/>
      <c r="AV2011" s="4" t="s">
        <v>100</v>
      </c>
      <c r="AW2011" s="8" t="s">
        <v>100</v>
      </c>
      <c r="AX2011" s="4" t="s">
        <v>100</v>
      </c>
      <c r="AY2011" s="8" t="s">
        <v>100</v>
      </c>
      <c r="AZ2011" s="7" t="s">
        <v>100</v>
      </c>
      <c r="BA2011" s="7" t="s">
        <v>100</v>
      </c>
      <c r="BB2011" s="7"/>
      <c r="BC2011" s="4" t="s">
        <v>100</v>
      </c>
      <c r="BD2011" s="8" t="s">
        <v>100</v>
      </c>
      <c r="BE2011" s="4" t="s">
        <v>100</v>
      </c>
      <c r="BF2011" s="8" t="s">
        <v>100</v>
      </c>
      <c r="BG2011" s="7" t="s">
        <v>100</v>
      </c>
      <c r="BH2011" s="7" t="s">
        <v>100</v>
      </c>
      <c r="BI2011" s="7"/>
      <c r="BJ2011" s="4">
        <v>1</v>
      </c>
      <c r="BK2011" s="8">
        <v>21</v>
      </c>
      <c r="BL2011" s="2" t="s">
        <v>210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109</v>
      </c>
      <c r="BV2011" s="2" t="s">
        <v>97</v>
      </c>
      <c r="BW2011" s="2" t="s">
        <v>2339</v>
      </c>
      <c r="BX2011" s="2" t="s">
        <v>100</v>
      </c>
      <c r="BY2011" s="2" t="s">
        <v>112</v>
      </c>
      <c r="BZ2011" s="2" t="s">
        <v>100</v>
      </c>
    </row>
    <row r="2012">
      <c r="A2012" s="2" t="s">
        <v>5807</v>
      </c>
      <c r="B2012" s="2" t="s">
        <v>87</v>
      </c>
      <c r="C2012" s="2" t="s">
        <v>5759</v>
      </c>
      <c r="D2012" s="2" t="s">
        <v>89</v>
      </c>
      <c r="E2012" s="2" t="s">
        <v>90</v>
      </c>
      <c r="F2012" s="2" t="s">
        <v>5800</v>
      </c>
      <c r="G2012" s="2" t="s">
        <v>5800</v>
      </c>
      <c r="H2012" s="2" t="s">
        <v>5800</v>
      </c>
      <c r="I2012" s="2" t="s">
        <v>5801</v>
      </c>
      <c r="J2012" s="2" t="s">
        <v>795</v>
      </c>
      <c r="K2012" s="2" t="s">
        <v>1572</v>
      </c>
      <c r="L2012" s="3">
        <v>52.38</v>
      </c>
      <c r="M2012" s="3">
        <v>55</v>
      </c>
      <c r="N2012" s="3">
        <v>109.99</v>
      </c>
      <c r="O2012" s="2" t="s">
        <v>97</v>
      </c>
      <c r="P2012" s="2" t="s">
        <v>447</v>
      </c>
      <c r="Q2012" s="2" t="s">
        <v>99</v>
      </c>
      <c r="R2012" s="2" t="s">
        <v>100</v>
      </c>
      <c r="S2012" s="2" t="s">
        <v>5806</v>
      </c>
      <c r="T2012" s="2" t="s">
        <v>1565</v>
      </c>
      <c r="U2012" s="2" t="s">
        <v>644</v>
      </c>
      <c r="V2012" s="2" t="s">
        <v>734</v>
      </c>
      <c r="W2012" s="2" t="s">
        <v>105</v>
      </c>
      <c r="X2012" s="2" t="s">
        <v>100</v>
      </c>
      <c r="Y2012" s="2" t="s">
        <v>1086</v>
      </c>
      <c r="Z2012" s="4">
        <v>22</v>
      </c>
      <c r="AA2012" s="4">
        <f>=ROUNDDOWN(14.6666666666667,0)</f>
      </c>
      <c r="AB2012" s="5">
        <v>1.5</v>
      </c>
      <c r="AC2012" s="2" t="s">
        <v>100</v>
      </c>
      <c r="AD2012" s="4"/>
      <c r="AE2012" s="4"/>
      <c r="AF2012" s="6"/>
      <c r="AG2012" s="6"/>
      <c r="AH2012" s="7">
        <v>1</v>
      </c>
      <c r="AI2012" s="4"/>
      <c r="AJ2012" s="4">
        <f>=ROUNDDOWN({0},0)</f>
      </c>
      <c r="AK2012" s="5"/>
      <c r="AL2012" s="2" t="s">
        <v>100</v>
      </c>
      <c r="AM2012" s="4"/>
      <c r="AN2012" s="4"/>
      <c r="AO2012" s="7">
        <v>0</v>
      </c>
      <c r="AP2012" s="4"/>
      <c r="AQ2012" s="8"/>
      <c r="AR2012" s="4"/>
      <c r="AS2012" s="8"/>
      <c r="AT2012" s="7"/>
      <c r="AU2012" s="7"/>
      <c r="AV2012" s="4" t="s">
        <v>100</v>
      </c>
      <c r="AW2012" s="8" t="s">
        <v>100</v>
      </c>
      <c r="AX2012" s="4" t="s">
        <v>100</v>
      </c>
      <c r="AY2012" s="8" t="s">
        <v>100</v>
      </c>
      <c r="AZ2012" s="7" t="s">
        <v>100</v>
      </c>
      <c r="BA2012" s="7" t="s">
        <v>100</v>
      </c>
      <c r="BB2012" s="7"/>
      <c r="BC2012" s="4" t="s">
        <v>100</v>
      </c>
      <c r="BD2012" s="8" t="s">
        <v>100</v>
      </c>
      <c r="BE2012" s="4" t="s">
        <v>100</v>
      </c>
      <c r="BF2012" s="8" t="s">
        <v>100</v>
      </c>
      <c r="BG2012" s="7" t="s">
        <v>100</v>
      </c>
      <c r="BH2012" s="7" t="s">
        <v>100</v>
      </c>
      <c r="BI2012" s="7"/>
      <c r="BJ2012" s="4">
        <v>1</v>
      </c>
      <c r="BK2012" s="8">
        <v>30.03</v>
      </c>
      <c r="BL2012" s="2" t="s">
        <v>210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109</v>
      </c>
      <c r="BV2012" s="2" t="s">
        <v>97</v>
      </c>
      <c r="BW2012" s="2" t="s">
        <v>2339</v>
      </c>
      <c r="BX2012" s="2" t="s">
        <v>100</v>
      </c>
      <c r="BY2012" s="2" t="s">
        <v>112</v>
      </c>
      <c r="BZ2012" s="2" t="s">
        <v>100</v>
      </c>
    </row>
    <row r="2013">
      <c r="A2013" s="2" t="s">
        <v>5808</v>
      </c>
      <c r="B2013" s="2" t="s">
        <v>87</v>
      </c>
      <c r="C2013" s="2" t="s">
        <v>5759</v>
      </c>
      <c r="D2013" s="2" t="s">
        <v>89</v>
      </c>
      <c r="E2013" s="2" t="s">
        <v>2030</v>
      </c>
      <c r="F2013" s="2" t="s">
        <v>5809</v>
      </c>
      <c r="G2013" s="2" t="s">
        <v>5809</v>
      </c>
      <c r="H2013" s="2" t="s">
        <v>5809</v>
      </c>
      <c r="I2013" s="2" t="s">
        <v>5810</v>
      </c>
      <c r="J2013" s="2" t="s">
        <v>785</v>
      </c>
      <c r="K2013" s="2" t="s">
        <v>1263</v>
      </c>
      <c r="L2013" s="3">
        <v>45.71</v>
      </c>
      <c r="M2013" s="3">
        <v>48</v>
      </c>
      <c r="N2013" s="3">
        <v>99.99</v>
      </c>
      <c r="O2013" s="2" t="s">
        <v>97</v>
      </c>
      <c r="P2013" s="2" t="s">
        <v>447</v>
      </c>
      <c r="Q2013" s="2" t="s">
        <v>99</v>
      </c>
      <c r="R2013" s="2" t="s">
        <v>100</v>
      </c>
      <c r="S2013" s="2" t="s">
        <v>5811</v>
      </c>
      <c r="T2013" s="2" t="s">
        <v>100</v>
      </c>
      <c r="U2013" s="2" t="s">
        <v>1508</v>
      </c>
      <c r="V2013" s="2" t="s">
        <v>805</v>
      </c>
      <c r="W2013" s="2" t="s">
        <v>976</v>
      </c>
      <c r="X2013" s="2" t="s">
        <v>100</v>
      </c>
      <c r="Y2013" s="2" t="s">
        <v>1230</v>
      </c>
      <c r="Z2013" s="4">
        <v>107</v>
      </c>
      <c r="AA2013" s="4">
        <f>=ROUNDDOWN(21.4,0)</f>
      </c>
      <c r="AB2013" s="5">
        <v>5</v>
      </c>
      <c r="AC2013" s="2" t="s">
        <v>100</v>
      </c>
      <c r="AD2013" s="4"/>
      <c r="AE2013" s="4"/>
      <c r="AF2013" s="6">
        <v>65</v>
      </c>
      <c r="AG2013" s="6"/>
      <c r="AH2013" s="7">
        <v>1</v>
      </c>
      <c r="AI2013" s="4"/>
      <c r="AJ2013" s="4">
        <f>=ROUNDDOWN({0},0)</f>
      </c>
      <c r="AK2013" s="5"/>
      <c r="AL2013" s="2" t="s">
        <v>100</v>
      </c>
      <c r="AM2013" s="4"/>
      <c r="AN2013" s="4"/>
      <c r="AO2013" s="7">
        <v>0</v>
      </c>
      <c r="AP2013" s="4"/>
      <c r="AQ2013" s="8"/>
      <c r="AR2013" s="4"/>
      <c r="AS2013" s="8"/>
      <c r="AT2013" s="7"/>
      <c r="AU2013" s="7"/>
      <c r="AV2013" s="4"/>
      <c r="AW2013" s="8"/>
      <c r="AX2013" s="4"/>
      <c r="AY2013" s="8"/>
      <c r="AZ2013" s="7"/>
      <c r="BA2013" s="7"/>
      <c r="BB2013" s="7"/>
      <c r="BC2013" s="4" t="s">
        <v>100</v>
      </c>
      <c r="BD2013" s="8" t="s">
        <v>100</v>
      </c>
      <c r="BE2013" s="4" t="s">
        <v>100</v>
      </c>
      <c r="BF2013" s="8" t="s">
        <v>100</v>
      </c>
      <c r="BG2013" s="7" t="s">
        <v>100</v>
      </c>
      <c r="BH2013" s="7" t="s">
        <v>100</v>
      </c>
      <c r="BI2013" s="7"/>
      <c r="BJ2013" s="4">
        <v>6</v>
      </c>
      <c r="BK2013" s="8">
        <v>174.24</v>
      </c>
      <c r="BL2013" s="2" t="s">
        <v>3554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3088</v>
      </c>
      <c r="BV2013" s="2" t="s">
        <v>97</v>
      </c>
      <c r="BW2013" s="2" t="s">
        <v>100</v>
      </c>
      <c r="BX2013" s="2" t="s">
        <v>100</v>
      </c>
      <c r="BY2013" s="2" t="s">
        <v>112</v>
      </c>
      <c r="BZ2013" s="2" t="s">
        <v>100</v>
      </c>
    </row>
    <row r="2014">
      <c r="A2014" s="2" t="s">
        <v>5812</v>
      </c>
      <c r="B2014" s="2" t="s">
        <v>87</v>
      </c>
      <c r="C2014" s="2" t="s">
        <v>5759</v>
      </c>
      <c r="D2014" s="2" t="s">
        <v>89</v>
      </c>
      <c r="E2014" s="2" t="s">
        <v>2030</v>
      </c>
      <c r="F2014" s="2" t="s">
        <v>5809</v>
      </c>
      <c r="G2014" s="2" t="s">
        <v>5809</v>
      </c>
      <c r="H2014" s="2" t="s">
        <v>5809</v>
      </c>
      <c r="I2014" s="2" t="s">
        <v>5810</v>
      </c>
      <c r="J2014" s="2" t="s">
        <v>785</v>
      </c>
      <c r="K2014" s="2" t="s">
        <v>198</v>
      </c>
      <c r="L2014" s="3">
        <v>45.71</v>
      </c>
      <c r="M2014" s="3">
        <v>48</v>
      </c>
      <c r="N2014" s="3">
        <v>99.99</v>
      </c>
      <c r="O2014" s="2" t="s">
        <v>97</v>
      </c>
      <c r="P2014" s="2" t="s">
        <v>447</v>
      </c>
      <c r="Q2014" s="2" t="s">
        <v>99</v>
      </c>
      <c r="R2014" s="2" t="s">
        <v>100</v>
      </c>
      <c r="S2014" s="2" t="s">
        <v>5813</v>
      </c>
      <c r="T2014" s="2" t="s">
        <v>100</v>
      </c>
      <c r="U2014" s="2" t="s">
        <v>1508</v>
      </c>
      <c r="V2014" s="2" t="s">
        <v>805</v>
      </c>
      <c r="W2014" s="2" t="s">
        <v>976</v>
      </c>
      <c r="X2014" s="2" t="s">
        <v>100</v>
      </c>
      <c r="Y2014" s="2" t="s">
        <v>1230</v>
      </c>
      <c r="Z2014" s="4">
        <v>461</v>
      </c>
      <c r="AA2014" s="4">
        <f>=ROUNDDOWN(46.1,0)</f>
      </c>
      <c r="AB2014" s="5">
        <v>10</v>
      </c>
      <c r="AC2014" s="2" t="s">
        <v>100</v>
      </c>
      <c r="AD2014" s="4"/>
      <c r="AE2014" s="4"/>
      <c r="AF2014" s="6">
        <v>65</v>
      </c>
      <c r="AG2014" s="6"/>
      <c r="AH2014" s="7">
        <v>1</v>
      </c>
      <c r="AI2014" s="4"/>
      <c r="AJ2014" s="4">
        <f>=ROUNDDOWN({0},0)</f>
      </c>
      <c r="AK2014" s="5"/>
      <c r="AL2014" s="2" t="s">
        <v>100</v>
      </c>
      <c r="AM2014" s="4"/>
      <c r="AN2014" s="4"/>
      <c r="AO2014" s="7">
        <v>0</v>
      </c>
      <c r="AP2014" s="4"/>
      <c r="AQ2014" s="8"/>
      <c r="AR2014" s="4"/>
      <c r="AS2014" s="8"/>
      <c r="AT2014" s="7"/>
      <c r="AU2014" s="7"/>
      <c r="AV2014" s="4" t="s">
        <v>100</v>
      </c>
      <c r="AW2014" s="8" t="s">
        <v>100</v>
      </c>
      <c r="AX2014" s="4" t="s">
        <v>100</v>
      </c>
      <c r="AY2014" s="8" t="s">
        <v>100</v>
      </c>
      <c r="AZ2014" s="7" t="s">
        <v>100</v>
      </c>
      <c r="BA2014" s="7" t="s">
        <v>100</v>
      </c>
      <c r="BB2014" s="7"/>
      <c r="BC2014" s="4" t="s">
        <v>100</v>
      </c>
      <c r="BD2014" s="8" t="s">
        <v>100</v>
      </c>
      <c r="BE2014" s="4" t="s">
        <v>100</v>
      </c>
      <c r="BF2014" s="8" t="s">
        <v>100</v>
      </c>
      <c r="BG2014" s="7" t="s">
        <v>100</v>
      </c>
      <c r="BH2014" s="7" t="s">
        <v>100</v>
      </c>
      <c r="BI2014" s="7"/>
      <c r="BJ2014" s="4">
        <v>2</v>
      </c>
      <c r="BK2014" s="8">
        <v>102.24</v>
      </c>
      <c r="BL2014" s="2" t="s">
        <v>3231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3088</v>
      </c>
      <c r="BV2014" s="2" t="s">
        <v>97</v>
      </c>
      <c r="BW2014" s="2" t="s">
        <v>100</v>
      </c>
      <c r="BX2014" s="2" t="s">
        <v>100</v>
      </c>
      <c r="BY2014" s="2" t="s">
        <v>112</v>
      </c>
      <c r="BZ2014" s="2" t="s">
        <v>100</v>
      </c>
    </row>
    <row r="2015">
      <c r="A2015" s="2" t="s">
        <v>5814</v>
      </c>
      <c r="B2015" s="2" t="s">
        <v>87</v>
      </c>
      <c r="C2015" s="2" t="s">
        <v>5759</v>
      </c>
      <c r="D2015" s="2" t="s">
        <v>89</v>
      </c>
      <c r="E2015" s="2" t="s">
        <v>2030</v>
      </c>
      <c r="F2015" s="2" t="s">
        <v>5809</v>
      </c>
      <c r="G2015" s="2" t="s">
        <v>5809</v>
      </c>
      <c r="H2015" s="2" t="s">
        <v>5809</v>
      </c>
      <c r="I2015" s="2" t="s">
        <v>5810</v>
      </c>
      <c r="J2015" s="2" t="s">
        <v>795</v>
      </c>
      <c r="K2015" s="2" t="s">
        <v>198</v>
      </c>
      <c r="L2015" s="3">
        <v>50.28</v>
      </c>
      <c r="M2015" s="3">
        <v>52.79</v>
      </c>
      <c r="N2015" s="3">
        <v>109.99</v>
      </c>
      <c r="O2015" s="2" t="s">
        <v>97</v>
      </c>
      <c r="P2015" s="2" t="s">
        <v>447</v>
      </c>
      <c r="Q2015" s="2" t="s">
        <v>99</v>
      </c>
      <c r="R2015" s="2" t="s">
        <v>100</v>
      </c>
      <c r="S2015" s="2" t="s">
        <v>5813</v>
      </c>
      <c r="T2015" s="2" t="s">
        <v>100</v>
      </c>
      <c r="U2015" s="2" t="s">
        <v>1508</v>
      </c>
      <c r="V2015" s="2" t="s">
        <v>805</v>
      </c>
      <c r="W2015" s="2" t="s">
        <v>976</v>
      </c>
      <c r="X2015" s="2" t="s">
        <v>100</v>
      </c>
      <c r="Y2015" s="2" t="s">
        <v>1230</v>
      </c>
      <c r="Z2015" s="4">
        <v>269</v>
      </c>
      <c r="AA2015" s="4">
        <f>=ROUNDDOWN(24.4545454545455,0)</f>
      </c>
      <c r="AB2015" s="5">
        <v>11</v>
      </c>
      <c r="AC2015" s="2" t="s">
        <v>100</v>
      </c>
      <c r="AD2015" s="4"/>
      <c r="AE2015" s="4"/>
      <c r="AF2015" s="6">
        <v>65</v>
      </c>
      <c r="AG2015" s="6"/>
      <c r="AH2015" s="7">
        <v>1</v>
      </c>
      <c r="AI2015" s="4"/>
      <c r="AJ2015" s="4">
        <f>=ROUNDDOWN({0},0)</f>
      </c>
      <c r="AK2015" s="5"/>
      <c r="AL2015" s="2" t="s">
        <v>100</v>
      </c>
      <c r="AM2015" s="4"/>
      <c r="AN2015" s="4"/>
      <c r="AO2015" s="7">
        <v>0</v>
      </c>
      <c r="AP2015" s="4"/>
      <c r="AQ2015" s="8"/>
      <c r="AR2015" s="4"/>
      <c r="AS2015" s="8"/>
      <c r="AT2015" s="7"/>
      <c r="AU2015" s="7"/>
      <c r="AV2015" s="4" t="s">
        <v>100</v>
      </c>
      <c r="AW2015" s="8" t="s">
        <v>100</v>
      </c>
      <c r="AX2015" s="4" t="s">
        <v>100</v>
      </c>
      <c r="AY2015" s="8" t="s">
        <v>100</v>
      </c>
      <c r="AZ2015" s="7" t="s">
        <v>100</v>
      </c>
      <c r="BA2015" s="7" t="s">
        <v>100</v>
      </c>
      <c r="BB2015" s="7"/>
      <c r="BC2015" s="4" t="s">
        <v>100</v>
      </c>
      <c r="BD2015" s="8" t="s">
        <v>100</v>
      </c>
      <c r="BE2015" s="4" t="s">
        <v>100</v>
      </c>
      <c r="BF2015" s="8" t="s">
        <v>100</v>
      </c>
      <c r="BG2015" s="7" t="s">
        <v>100</v>
      </c>
      <c r="BH2015" s="7" t="s">
        <v>100</v>
      </c>
      <c r="BI2015" s="7"/>
      <c r="BJ2015" s="4">
        <v>6</v>
      </c>
      <c r="BK2015" s="8">
        <v>222.28</v>
      </c>
      <c r="BL2015" s="2" t="s">
        <v>5815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3088</v>
      </c>
      <c r="BV2015" s="2" t="s">
        <v>97</v>
      </c>
      <c r="BW2015" s="2" t="s">
        <v>100</v>
      </c>
      <c r="BX2015" s="2" t="s">
        <v>100</v>
      </c>
      <c r="BY2015" s="2" t="s">
        <v>112</v>
      </c>
      <c r="BZ2015" s="2" t="s">
        <v>100</v>
      </c>
    </row>
    <row r="2016">
      <c r="A2016" s="2" t="s">
        <v>5816</v>
      </c>
      <c r="B2016" s="2" t="s">
        <v>87</v>
      </c>
      <c r="C2016" s="2" t="s">
        <v>5759</v>
      </c>
      <c r="D2016" s="2" t="s">
        <v>89</v>
      </c>
      <c r="E2016" s="2" t="s">
        <v>2030</v>
      </c>
      <c r="F2016" s="2" t="s">
        <v>5817</v>
      </c>
      <c r="G2016" s="2" t="s">
        <v>5817</v>
      </c>
      <c r="H2016" s="2" t="s">
        <v>5817</v>
      </c>
      <c r="I2016" s="2" t="s">
        <v>5818</v>
      </c>
      <c r="J2016" s="2" t="s">
        <v>785</v>
      </c>
      <c r="K2016" s="2" t="s">
        <v>175</v>
      </c>
      <c r="L2016" s="3">
        <v>45.71</v>
      </c>
      <c r="M2016" s="3">
        <v>48</v>
      </c>
      <c r="N2016" s="3">
        <v>99.99</v>
      </c>
      <c r="O2016" s="2" t="s">
        <v>473</v>
      </c>
      <c r="P2016" s="2" t="s">
        <v>447</v>
      </c>
      <c r="Q2016" s="2" t="s">
        <v>99</v>
      </c>
      <c r="R2016" s="2" t="s">
        <v>100</v>
      </c>
      <c r="S2016" s="2" t="s">
        <v>5819</v>
      </c>
      <c r="T2016" s="2" t="s">
        <v>100</v>
      </c>
      <c r="U2016" s="2" t="s">
        <v>1508</v>
      </c>
      <c r="V2016" s="2" t="s">
        <v>805</v>
      </c>
      <c r="W2016" s="2" t="s">
        <v>976</v>
      </c>
      <c r="X2016" s="2" t="s">
        <v>100</v>
      </c>
      <c r="Y2016" s="2" t="s">
        <v>1230</v>
      </c>
      <c r="Z2016" s="4">
        <v>40</v>
      </c>
      <c r="AA2016" s="4">
        <f>=ROUNDDOWN(26.6666666666667,0)</f>
      </c>
      <c r="AB2016" s="5">
        <v>1.5</v>
      </c>
      <c r="AC2016" s="2" t="s">
        <v>100</v>
      </c>
      <c r="AD2016" s="4"/>
      <c r="AE2016" s="4"/>
      <c r="AF2016" s="6">
        <v>65</v>
      </c>
      <c r="AG2016" s="6"/>
      <c r="AH2016" s="7">
        <v>1</v>
      </c>
      <c r="AI2016" s="4"/>
      <c r="AJ2016" s="4">
        <f>=ROUNDDOWN({0},0)</f>
      </c>
      <c r="AK2016" s="5"/>
      <c r="AL2016" s="2" t="s">
        <v>100</v>
      </c>
      <c r="AM2016" s="4"/>
      <c r="AN2016" s="4"/>
      <c r="AO2016" s="7">
        <v>0</v>
      </c>
      <c r="AP2016" s="4"/>
      <c r="AQ2016" s="8"/>
      <c r="AR2016" s="4"/>
      <c r="AS2016" s="8"/>
      <c r="AT2016" s="7"/>
      <c r="AU2016" s="7"/>
      <c r="AV2016" s="4"/>
      <c r="AW2016" s="8"/>
      <c r="AX2016" s="4"/>
      <c r="AY2016" s="8"/>
      <c r="AZ2016" s="7"/>
      <c r="BA2016" s="7"/>
      <c r="BB2016" s="7"/>
      <c r="BC2016" s="4"/>
      <c r="BD2016" s="8"/>
      <c r="BE2016" s="4"/>
      <c r="BF2016" s="8"/>
      <c r="BG2016" s="7"/>
      <c r="BH2016" s="7"/>
      <c r="BI2016" s="7"/>
      <c r="BJ2016" s="4"/>
      <c r="BK2016" s="8"/>
      <c r="BL2016" s="2" t="s">
        <v>100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3088</v>
      </c>
      <c r="BV2016" s="2" t="s">
        <v>97</v>
      </c>
      <c r="BW2016" s="2" t="s">
        <v>100</v>
      </c>
      <c r="BX2016" s="2" t="s">
        <v>100</v>
      </c>
      <c r="BY2016" s="2" t="s">
        <v>112</v>
      </c>
      <c r="BZ2016" s="2" t="s">
        <v>100</v>
      </c>
    </row>
    <row r="2017">
      <c r="A2017" s="2" t="s">
        <v>5820</v>
      </c>
      <c r="B2017" s="2" t="s">
        <v>87</v>
      </c>
      <c r="C2017" s="2" t="s">
        <v>5759</v>
      </c>
      <c r="D2017" s="2" t="s">
        <v>89</v>
      </c>
      <c r="E2017" s="2" t="s">
        <v>2030</v>
      </c>
      <c r="F2017" s="2" t="s">
        <v>983</v>
      </c>
      <c r="G2017" s="2" t="s">
        <v>983</v>
      </c>
      <c r="H2017" s="2" t="s">
        <v>983</v>
      </c>
      <c r="I2017" s="2" t="s">
        <v>5821</v>
      </c>
      <c r="J2017" s="2" t="s">
        <v>785</v>
      </c>
      <c r="K2017" s="2" t="s">
        <v>253</v>
      </c>
      <c r="L2017" s="3">
        <v>45.71</v>
      </c>
      <c r="M2017" s="3">
        <v>48</v>
      </c>
      <c r="N2017" s="3">
        <v>99.99</v>
      </c>
      <c r="O2017" s="2" t="s">
        <v>473</v>
      </c>
      <c r="P2017" s="2" t="s">
        <v>447</v>
      </c>
      <c r="Q2017" s="2" t="s">
        <v>99</v>
      </c>
      <c r="R2017" s="2" t="s">
        <v>100</v>
      </c>
      <c r="S2017" s="2" t="s">
        <v>5822</v>
      </c>
      <c r="T2017" s="2" t="s">
        <v>100</v>
      </c>
      <c r="U2017" s="2" t="s">
        <v>1508</v>
      </c>
      <c r="V2017" s="2" t="s">
        <v>645</v>
      </c>
      <c r="W2017" s="2" t="s">
        <v>976</v>
      </c>
      <c r="X2017" s="2" t="s">
        <v>100</v>
      </c>
      <c r="Y2017" s="2" t="s">
        <v>1230</v>
      </c>
      <c r="Z2017" s="4">
        <v>272</v>
      </c>
      <c r="AA2017" s="4">
        <f>=ROUNDDOWN(45.3333333333333,0)</f>
      </c>
      <c r="AB2017" s="5">
        <v>6</v>
      </c>
      <c r="AC2017" s="2" t="s">
        <v>100</v>
      </c>
      <c r="AD2017" s="4"/>
      <c r="AE2017" s="4"/>
      <c r="AF2017" s="6">
        <v>65</v>
      </c>
      <c r="AG2017" s="6"/>
      <c r="AH2017" s="7">
        <v>1</v>
      </c>
      <c r="AI2017" s="4"/>
      <c r="AJ2017" s="4">
        <f>=ROUNDDOWN({0},0)</f>
      </c>
      <c r="AK2017" s="5"/>
      <c r="AL2017" s="2" t="s">
        <v>100</v>
      </c>
      <c r="AM2017" s="4"/>
      <c r="AN2017" s="4"/>
      <c r="AO2017" s="7">
        <v>0</v>
      </c>
      <c r="AP2017" s="4"/>
      <c r="AQ2017" s="8"/>
      <c r="AR2017" s="4"/>
      <c r="AS2017" s="8"/>
      <c r="AT2017" s="7"/>
      <c r="AU2017" s="7"/>
      <c r="AV2017" s="4" t="s">
        <v>100</v>
      </c>
      <c r="AW2017" s="8" t="s">
        <v>100</v>
      </c>
      <c r="AX2017" s="4" t="s">
        <v>100</v>
      </c>
      <c r="AY2017" s="8" t="s">
        <v>100</v>
      </c>
      <c r="AZ2017" s="7" t="s">
        <v>100</v>
      </c>
      <c r="BA2017" s="7" t="s">
        <v>100</v>
      </c>
      <c r="BB2017" s="7"/>
      <c r="BC2017" s="4" t="s">
        <v>100</v>
      </c>
      <c r="BD2017" s="8" t="s">
        <v>100</v>
      </c>
      <c r="BE2017" s="4" t="s">
        <v>100</v>
      </c>
      <c r="BF2017" s="8" t="s">
        <v>100</v>
      </c>
      <c r="BG2017" s="7" t="s">
        <v>100</v>
      </c>
      <c r="BH2017" s="7" t="s">
        <v>100</v>
      </c>
      <c r="BI2017" s="7"/>
      <c r="BJ2017" s="4">
        <v>1</v>
      </c>
      <c r="BK2017" s="8">
        <v>31.1</v>
      </c>
      <c r="BL2017" s="2" t="s">
        <v>715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3088</v>
      </c>
      <c r="BV2017" s="2" t="s">
        <v>97</v>
      </c>
      <c r="BW2017" s="2" t="s">
        <v>100</v>
      </c>
      <c r="BX2017" s="2" t="s">
        <v>100</v>
      </c>
      <c r="BY2017" s="2" t="s">
        <v>112</v>
      </c>
      <c r="BZ2017" s="2" t="s">
        <v>100</v>
      </c>
    </row>
    <row r="2018">
      <c r="A2018" s="2" t="s">
        <v>5823</v>
      </c>
      <c r="B2018" s="2" t="s">
        <v>87</v>
      </c>
      <c r="C2018" s="2" t="s">
        <v>5759</v>
      </c>
      <c r="D2018" s="2" t="s">
        <v>89</v>
      </c>
      <c r="E2018" s="2" t="s">
        <v>2030</v>
      </c>
      <c r="F2018" s="2" t="s">
        <v>983</v>
      </c>
      <c r="G2018" s="2" t="s">
        <v>983</v>
      </c>
      <c r="H2018" s="2" t="s">
        <v>983</v>
      </c>
      <c r="I2018" s="2" t="s">
        <v>5821</v>
      </c>
      <c r="J2018" s="2" t="s">
        <v>795</v>
      </c>
      <c r="K2018" s="2" t="s">
        <v>253</v>
      </c>
      <c r="L2018" s="3">
        <v>50.28</v>
      </c>
      <c r="M2018" s="3">
        <v>52.79</v>
      </c>
      <c r="N2018" s="3">
        <v>109.99</v>
      </c>
      <c r="O2018" s="2" t="s">
        <v>97</v>
      </c>
      <c r="P2018" s="2" t="s">
        <v>447</v>
      </c>
      <c r="Q2018" s="2" t="s">
        <v>99</v>
      </c>
      <c r="R2018" s="2" t="s">
        <v>100</v>
      </c>
      <c r="S2018" s="2" t="s">
        <v>5822</v>
      </c>
      <c r="T2018" s="2" t="s">
        <v>100</v>
      </c>
      <c r="U2018" s="2" t="s">
        <v>1508</v>
      </c>
      <c r="V2018" s="2" t="s">
        <v>645</v>
      </c>
      <c r="W2018" s="2" t="s">
        <v>976</v>
      </c>
      <c r="X2018" s="2" t="s">
        <v>100</v>
      </c>
      <c r="Y2018" s="2" t="s">
        <v>1230</v>
      </c>
      <c r="Z2018" s="4">
        <v>154</v>
      </c>
      <c r="AA2018" s="4">
        <f>=ROUNDDOWN(25.6666666666667,0)</f>
      </c>
      <c r="AB2018" s="5">
        <v>6</v>
      </c>
      <c r="AC2018" s="2" t="s">
        <v>100</v>
      </c>
      <c r="AD2018" s="4"/>
      <c r="AE2018" s="4"/>
      <c r="AF2018" s="6">
        <v>65</v>
      </c>
      <c r="AG2018" s="6"/>
      <c r="AH2018" s="7">
        <v>1</v>
      </c>
      <c r="AI2018" s="4"/>
      <c r="AJ2018" s="4">
        <f>=ROUNDDOWN({0},0)</f>
      </c>
      <c r="AK2018" s="5"/>
      <c r="AL2018" s="2" t="s">
        <v>100</v>
      </c>
      <c r="AM2018" s="4"/>
      <c r="AN2018" s="4"/>
      <c r="AO2018" s="7">
        <v>0</v>
      </c>
      <c r="AP2018" s="4"/>
      <c r="AQ2018" s="8"/>
      <c r="AR2018" s="4"/>
      <c r="AS2018" s="8"/>
      <c r="AT2018" s="7"/>
      <c r="AU2018" s="7"/>
      <c r="AV2018" s="4" t="s">
        <v>100</v>
      </c>
      <c r="AW2018" s="8" t="s">
        <v>100</v>
      </c>
      <c r="AX2018" s="4" t="s">
        <v>100</v>
      </c>
      <c r="AY2018" s="8" t="s">
        <v>100</v>
      </c>
      <c r="AZ2018" s="7" t="s">
        <v>100</v>
      </c>
      <c r="BA2018" s="7" t="s">
        <v>100</v>
      </c>
      <c r="BB2018" s="7"/>
      <c r="BC2018" s="4" t="s">
        <v>100</v>
      </c>
      <c r="BD2018" s="8" t="s">
        <v>100</v>
      </c>
      <c r="BE2018" s="4" t="s">
        <v>100</v>
      </c>
      <c r="BF2018" s="8" t="s">
        <v>100</v>
      </c>
      <c r="BG2018" s="7" t="s">
        <v>100</v>
      </c>
      <c r="BH2018" s="7" t="s">
        <v>100</v>
      </c>
      <c r="BI2018" s="7"/>
      <c r="BJ2018" s="4">
        <v>2</v>
      </c>
      <c r="BK2018" s="8">
        <v>55.44</v>
      </c>
      <c r="BL2018" s="2" t="s">
        <v>224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3088</v>
      </c>
      <c r="BV2018" s="2" t="s">
        <v>97</v>
      </c>
      <c r="BW2018" s="2" t="s">
        <v>100</v>
      </c>
      <c r="BX2018" s="2" t="s">
        <v>100</v>
      </c>
      <c r="BY2018" s="2" t="s">
        <v>112</v>
      </c>
      <c r="BZ2018" s="2" t="s">
        <v>100</v>
      </c>
    </row>
    <row r="2019">
      <c r="A2019" s="2" t="s">
        <v>5824</v>
      </c>
      <c r="B2019" s="2" t="s">
        <v>87</v>
      </c>
      <c r="C2019" s="2" t="s">
        <v>5759</v>
      </c>
      <c r="D2019" s="2" t="s">
        <v>89</v>
      </c>
      <c r="E2019" s="2" t="s">
        <v>2030</v>
      </c>
      <c r="F2019" s="2" t="s">
        <v>983</v>
      </c>
      <c r="G2019" s="2" t="s">
        <v>983</v>
      </c>
      <c r="H2019" s="2" t="s">
        <v>983</v>
      </c>
      <c r="I2019" s="2" t="s">
        <v>5825</v>
      </c>
      <c r="J2019" s="2" t="s">
        <v>785</v>
      </c>
      <c r="K2019" s="2" t="s">
        <v>521</v>
      </c>
      <c r="L2019" s="3">
        <v>45.71</v>
      </c>
      <c r="M2019" s="3">
        <v>48</v>
      </c>
      <c r="N2019" s="3">
        <v>99.99</v>
      </c>
      <c r="O2019" s="2" t="s">
        <v>97</v>
      </c>
      <c r="P2019" s="2" t="s">
        <v>447</v>
      </c>
      <c r="Q2019" s="2" t="s">
        <v>99</v>
      </c>
      <c r="R2019" s="2" t="s">
        <v>100</v>
      </c>
      <c r="S2019" s="2" t="s">
        <v>5826</v>
      </c>
      <c r="T2019" s="2" t="s">
        <v>100</v>
      </c>
      <c r="U2019" s="2" t="s">
        <v>1508</v>
      </c>
      <c r="V2019" s="2" t="s">
        <v>645</v>
      </c>
      <c r="W2019" s="2" t="s">
        <v>976</v>
      </c>
      <c r="X2019" s="2" t="s">
        <v>100</v>
      </c>
      <c r="Y2019" s="2" t="s">
        <v>1230</v>
      </c>
      <c r="Z2019" s="4">
        <v>274</v>
      </c>
      <c r="AA2019" s="4">
        <f>=ROUNDDOWN(34.25,0)</f>
      </c>
      <c r="AB2019" s="5">
        <v>8</v>
      </c>
      <c r="AC2019" s="2" t="s">
        <v>100</v>
      </c>
      <c r="AD2019" s="4"/>
      <c r="AE2019" s="4"/>
      <c r="AF2019" s="6">
        <v>65</v>
      </c>
      <c r="AG2019" s="6"/>
      <c r="AH2019" s="7">
        <v>1</v>
      </c>
      <c r="AI2019" s="4"/>
      <c r="AJ2019" s="4">
        <f>=ROUNDDOWN({0},0)</f>
      </c>
      <c r="AK2019" s="5"/>
      <c r="AL2019" s="2" t="s">
        <v>100</v>
      </c>
      <c r="AM2019" s="4"/>
      <c r="AN2019" s="4"/>
      <c r="AO2019" s="7">
        <v>0</v>
      </c>
      <c r="AP2019" s="4"/>
      <c r="AQ2019" s="8"/>
      <c r="AR2019" s="4"/>
      <c r="AS2019" s="8"/>
      <c r="AT2019" s="7"/>
      <c r="AU2019" s="7"/>
      <c r="AV2019" s="4" t="s">
        <v>100</v>
      </c>
      <c r="AW2019" s="8" t="s">
        <v>100</v>
      </c>
      <c r="AX2019" s="4" t="s">
        <v>100</v>
      </c>
      <c r="AY2019" s="8" t="s">
        <v>100</v>
      </c>
      <c r="AZ2019" s="7" t="s">
        <v>100</v>
      </c>
      <c r="BA2019" s="7" t="s">
        <v>100</v>
      </c>
      <c r="BB2019" s="7"/>
      <c r="BC2019" s="4" t="s">
        <v>100</v>
      </c>
      <c r="BD2019" s="8" t="s">
        <v>100</v>
      </c>
      <c r="BE2019" s="4" t="s">
        <v>100</v>
      </c>
      <c r="BF2019" s="8" t="s">
        <v>100</v>
      </c>
      <c r="BG2019" s="7" t="s">
        <v>100</v>
      </c>
      <c r="BH2019" s="7" t="s">
        <v>100</v>
      </c>
      <c r="BI2019" s="7"/>
      <c r="BJ2019" s="4">
        <v>5</v>
      </c>
      <c r="BK2019" s="8">
        <v>170.1</v>
      </c>
      <c r="BL2019" s="2" t="s">
        <v>2548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3088</v>
      </c>
      <c r="BV2019" s="2" t="s">
        <v>97</v>
      </c>
      <c r="BW2019" s="2" t="s">
        <v>100</v>
      </c>
      <c r="BX2019" s="2" t="s">
        <v>100</v>
      </c>
      <c r="BY2019" s="2" t="s">
        <v>112</v>
      </c>
      <c r="BZ2019" s="2" t="s">
        <v>100</v>
      </c>
    </row>
    <row r="2020">
      <c r="A2020" s="2" t="s">
        <v>5827</v>
      </c>
      <c r="B2020" s="2" t="s">
        <v>87</v>
      </c>
      <c r="C2020" s="2" t="s">
        <v>5759</v>
      </c>
      <c r="D2020" s="2" t="s">
        <v>89</v>
      </c>
      <c r="E2020" s="2" t="s">
        <v>2030</v>
      </c>
      <c r="F2020" s="2" t="s">
        <v>983</v>
      </c>
      <c r="G2020" s="2" t="s">
        <v>983</v>
      </c>
      <c r="H2020" s="2" t="s">
        <v>983</v>
      </c>
      <c r="I2020" s="2" t="s">
        <v>5825</v>
      </c>
      <c r="J2020" s="2" t="s">
        <v>795</v>
      </c>
      <c r="K2020" s="2" t="s">
        <v>521</v>
      </c>
      <c r="L2020" s="3">
        <v>50.28</v>
      </c>
      <c r="M2020" s="3">
        <v>52.79</v>
      </c>
      <c r="N2020" s="3">
        <v>109.99</v>
      </c>
      <c r="O2020" s="2" t="s">
        <v>97</v>
      </c>
      <c r="P2020" s="2" t="s">
        <v>447</v>
      </c>
      <c r="Q2020" s="2" t="s">
        <v>99</v>
      </c>
      <c r="R2020" s="2" t="s">
        <v>100</v>
      </c>
      <c r="S2020" s="2" t="s">
        <v>5826</v>
      </c>
      <c r="T2020" s="2" t="s">
        <v>100</v>
      </c>
      <c r="U2020" s="2" t="s">
        <v>1508</v>
      </c>
      <c r="V2020" s="2" t="s">
        <v>645</v>
      </c>
      <c r="W2020" s="2" t="s">
        <v>976</v>
      </c>
      <c r="X2020" s="2" t="s">
        <v>100</v>
      </c>
      <c r="Y2020" s="2" t="s">
        <v>1230</v>
      </c>
      <c r="Z2020" s="4">
        <v>41</v>
      </c>
      <c r="AA2020" s="4">
        <f>=ROUNDDOWN(5.85714285714286,0)</f>
      </c>
      <c r="AB2020" s="5">
        <v>7</v>
      </c>
      <c r="AC2020" s="2" t="s">
        <v>100</v>
      </c>
      <c r="AD2020" s="4"/>
      <c r="AE2020" s="4"/>
      <c r="AF2020" s="6">
        <v>65</v>
      </c>
      <c r="AG2020" s="6"/>
      <c r="AH2020" s="7">
        <v>1</v>
      </c>
      <c r="AI2020" s="4"/>
      <c r="AJ2020" s="4">
        <f>=ROUNDDOWN({0},0)</f>
      </c>
      <c r="AK2020" s="5"/>
      <c r="AL2020" s="2" t="s">
        <v>100</v>
      </c>
      <c r="AM2020" s="4"/>
      <c r="AN2020" s="4"/>
      <c r="AO2020" s="7">
        <v>0</v>
      </c>
      <c r="AP2020" s="4"/>
      <c r="AQ2020" s="8"/>
      <c r="AR2020" s="4"/>
      <c r="AS2020" s="8"/>
      <c r="AT2020" s="7"/>
      <c r="AU2020" s="7"/>
      <c r="AV2020" s="4" t="s">
        <v>100</v>
      </c>
      <c r="AW2020" s="8" t="s">
        <v>100</v>
      </c>
      <c r="AX2020" s="4" t="s">
        <v>100</v>
      </c>
      <c r="AY2020" s="8" t="s">
        <v>100</v>
      </c>
      <c r="AZ2020" s="7" t="s">
        <v>100</v>
      </c>
      <c r="BA2020" s="7" t="s">
        <v>100</v>
      </c>
      <c r="BB2020" s="7"/>
      <c r="BC2020" s="4" t="s">
        <v>100</v>
      </c>
      <c r="BD2020" s="8" t="s">
        <v>100</v>
      </c>
      <c r="BE2020" s="4" t="s">
        <v>100</v>
      </c>
      <c r="BF2020" s="8" t="s">
        <v>100</v>
      </c>
      <c r="BG2020" s="7" t="s">
        <v>100</v>
      </c>
      <c r="BH2020" s="7" t="s">
        <v>100</v>
      </c>
      <c r="BI2020" s="7"/>
      <c r="BJ2020" s="4">
        <v>3</v>
      </c>
      <c r="BK2020" s="8">
        <v>81.84</v>
      </c>
      <c r="BL2020" s="2" t="s">
        <v>224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3088</v>
      </c>
      <c r="BV2020" s="2" t="s">
        <v>97</v>
      </c>
      <c r="BW2020" s="2" t="s">
        <v>100</v>
      </c>
      <c r="BX2020" s="2" t="s">
        <v>100</v>
      </c>
      <c r="BY2020" s="2" t="s">
        <v>112</v>
      </c>
      <c r="BZ2020" s="2" t="s">
        <v>100</v>
      </c>
    </row>
    <row r="2021">
      <c r="A2021" s="2" t="s">
        <v>5828</v>
      </c>
      <c r="B2021" s="2" t="s">
        <v>87</v>
      </c>
      <c r="C2021" s="2" t="s">
        <v>5759</v>
      </c>
      <c r="D2021" s="2" t="s">
        <v>89</v>
      </c>
      <c r="E2021" s="2" t="s">
        <v>2030</v>
      </c>
      <c r="F2021" s="2" t="s">
        <v>4955</v>
      </c>
      <c r="G2021" s="2" t="s">
        <v>4955</v>
      </c>
      <c r="H2021" s="2" t="s">
        <v>4955</v>
      </c>
      <c r="I2021" s="2" t="s">
        <v>5829</v>
      </c>
      <c r="J2021" s="2" t="s">
        <v>785</v>
      </c>
      <c r="K2021" s="2" t="s">
        <v>1263</v>
      </c>
      <c r="L2021" s="3">
        <v>45.71</v>
      </c>
      <c r="M2021" s="3">
        <v>48</v>
      </c>
      <c r="N2021" s="3">
        <v>99</v>
      </c>
      <c r="O2021" s="2" t="s">
        <v>473</v>
      </c>
      <c r="P2021" s="2" t="s">
        <v>447</v>
      </c>
      <c r="Q2021" s="2" t="s">
        <v>99</v>
      </c>
      <c r="R2021" s="2" t="s">
        <v>100</v>
      </c>
      <c r="S2021" s="2" t="s">
        <v>5830</v>
      </c>
      <c r="T2021" s="2" t="s">
        <v>100</v>
      </c>
      <c r="U2021" s="2" t="s">
        <v>1508</v>
      </c>
      <c r="V2021" s="2" t="s">
        <v>645</v>
      </c>
      <c r="W2021" s="2" t="s">
        <v>976</v>
      </c>
      <c r="X2021" s="2" t="s">
        <v>100</v>
      </c>
      <c r="Y2021" s="2" t="s">
        <v>5831</v>
      </c>
      <c r="Z2021" s="4">
        <v>55</v>
      </c>
      <c r="AA2021" s="4">
        <f>=ROUNDDOWN(42.3076923076923,0)</f>
      </c>
      <c r="AB2021" s="5">
        <v>1.3</v>
      </c>
      <c r="AC2021" s="2" t="s">
        <v>100</v>
      </c>
      <c r="AD2021" s="4"/>
      <c r="AE2021" s="4"/>
      <c r="AF2021" s="6">
        <v>65</v>
      </c>
      <c r="AG2021" s="6"/>
      <c r="AH2021" s="7">
        <v>1</v>
      </c>
      <c r="AI2021" s="4"/>
      <c r="AJ2021" s="4">
        <f>=ROUNDDOWN({0},0)</f>
      </c>
      <c r="AK2021" s="5"/>
      <c r="AL2021" s="2" t="s">
        <v>100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 t="s">
        <v>100</v>
      </c>
      <c r="AW2021" s="8" t="s">
        <v>100</v>
      </c>
      <c r="AX2021" s="4" t="s">
        <v>100</v>
      </c>
      <c r="AY2021" s="8" t="s">
        <v>100</v>
      </c>
      <c r="AZ2021" s="7" t="s">
        <v>100</v>
      </c>
      <c r="BA2021" s="7" t="s">
        <v>100</v>
      </c>
      <c r="BB2021" s="7"/>
      <c r="BC2021" s="4" t="s">
        <v>100</v>
      </c>
      <c r="BD2021" s="8" t="s">
        <v>100</v>
      </c>
      <c r="BE2021" s="4" t="s">
        <v>100</v>
      </c>
      <c r="BF2021" s="8" t="s">
        <v>100</v>
      </c>
      <c r="BG2021" s="7" t="s">
        <v>100</v>
      </c>
      <c r="BH2021" s="7" t="s">
        <v>100</v>
      </c>
      <c r="BI2021" s="7"/>
      <c r="BJ2021" s="4"/>
      <c r="BK2021" s="8"/>
      <c r="BL2021" s="2" t="s">
        <v>100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3088</v>
      </c>
      <c r="BV2021" s="2" t="s">
        <v>97</v>
      </c>
      <c r="BW2021" s="2" t="s">
        <v>100</v>
      </c>
      <c r="BX2021" s="2" t="s">
        <v>100</v>
      </c>
      <c r="BY2021" s="2" t="s">
        <v>112</v>
      </c>
      <c r="BZ2021" s="2" t="s">
        <v>100</v>
      </c>
    </row>
    <row r="2022">
      <c r="A2022" s="2" t="s">
        <v>5832</v>
      </c>
      <c r="B2022" s="2" t="s">
        <v>87</v>
      </c>
      <c r="C2022" s="2" t="s">
        <v>5759</v>
      </c>
      <c r="D2022" s="2" t="s">
        <v>89</v>
      </c>
      <c r="E2022" s="2" t="s">
        <v>2030</v>
      </c>
      <c r="F2022" s="2" t="s">
        <v>4955</v>
      </c>
      <c r="G2022" s="2" t="s">
        <v>4955</v>
      </c>
      <c r="H2022" s="2" t="s">
        <v>4955</v>
      </c>
      <c r="I2022" s="2" t="s">
        <v>5829</v>
      </c>
      <c r="J2022" s="2" t="s">
        <v>795</v>
      </c>
      <c r="K2022" s="2" t="s">
        <v>1263</v>
      </c>
      <c r="L2022" s="3">
        <v>50.28</v>
      </c>
      <c r="M2022" s="3">
        <v>52.79</v>
      </c>
      <c r="N2022" s="3">
        <v>109.99</v>
      </c>
      <c r="O2022" s="2" t="s">
        <v>473</v>
      </c>
      <c r="P2022" s="2" t="s">
        <v>447</v>
      </c>
      <c r="Q2022" s="2" t="s">
        <v>99</v>
      </c>
      <c r="R2022" s="2" t="s">
        <v>100</v>
      </c>
      <c r="S2022" s="2" t="s">
        <v>5830</v>
      </c>
      <c r="T2022" s="2" t="s">
        <v>100</v>
      </c>
      <c r="U2022" s="2" t="s">
        <v>1508</v>
      </c>
      <c r="V2022" s="2" t="s">
        <v>645</v>
      </c>
      <c r="W2022" s="2" t="s">
        <v>976</v>
      </c>
      <c r="X2022" s="2" t="s">
        <v>100</v>
      </c>
      <c r="Y2022" s="2" t="s">
        <v>5831</v>
      </c>
      <c r="Z2022" s="4">
        <v>70</v>
      </c>
      <c r="AA2022" s="4">
        <f>=ROUNDDOWN(35,0)</f>
      </c>
      <c r="AB2022" s="5">
        <v>2</v>
      </c>
      <c r="AC2022" s="2" t="s">
        <v>100</v>
      </c>
      <c r="AD2022" s="4"/>
      <c r="AE2022" s="4"/>
      <c r="AF2022" s="6">
        <v>65</v>
      </c>
      <c r="AG2022" s="6"/>
      <c r="AH2022" s="7">
        <v>1</v>
      </c>
      <c r="AI2022" s="4"/>
      <c r="AJ2022" s="4">
        <f>=ROUNDDOWN({0},0)</f>
      </c>
      <c r="AK2022" s="5"/>
      <c r="AL2022" s="2" t="s">
        <v>100</v>
      </c>
      <c r="AM2022" s="4"/>
      <c r="AN2022" s="4"/>
      <c r="AO2022" s="7">
        <v>0</v>
      </c>
      <c r="AP2022" s="4"/>
      <c r="AQ2022" s="8"/>
      <c r="AR2022" s="4"/>
      <c r="AS2022" s="8"/>
      <c r="AT2022" s="7"/>
      <c r="AU2022" s="7"/>
      <c r="AV2022" s="4" t="s">
        <v>100</v>
      </c>
      <c r="AW2022" s="8" t="s">
        <v>100</v>
      </c>
      <c r="AX2022" s="4" t="s">
        <v>100</v>
      </c>
      <c r="AY2022" s="8" t="s">
        <v>100</v>
      </c>
      <c r="AZ2022" s="7" t="s">
        <v>100</v>
      </c>
      <c r="BA2022" s="7" t="s">
        <v>100</v>
      </c>
      <c r="BB2022" s="7"/>
      <c r="BC2022" s="4" t="s">
        <v>100</v>
      </c>
      <c r="BD2022" s="8" t="s">
        <v>100</v>
      </c>
      <c r="BE2022" s="4" t="s">
        <v>100</v>
      </c>
      <c r="BF2022" s="8" t="s">
        <v>100</v>
      </c>
      <c r="BG2022" s="7" t="s">
        <v>100</v>
      </c>
      <c r="BH2022" s="7" t="s">
        <v>100</v>
      </c>
      <c r="BI2022" s="7"/>
      <c r="BJ2022" s="4"/>
      <c r="BK2022" s="8"/>
      <c r="BL2022" s="2" t="s">
        <v>100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3088</v>
      </c>
      <c r="BV2022" s="2" t="s">
        <v>97</v>
      </c>
      <c r="BW2022" s="2" t="s">
        <v>100</v>
      </c>
      <c r="BX2022" s="2" t="s">
        <v>100</v>
      </c>
      <c r="BY2022" s="2" t="s">
        <v>112</v>
      </c>
      <c r="BZ2022" s="2" t="s">
        <v>100</v>
      </c>
    </row>
    <row r="2023">
      <c r="A2023" s="2" t="s">
        <v>5833</v>
      </c>
      <c r="B2023" s="2" t="s">
        <v>87</v>
      </c>
      <c r="C2023" s="2" t="s">
        <v>5759</v>
      </c>
      <c r="D2023" s="2" t="s">
        <v>89</v>
      </c>
      <c r="E2023" s="2" t="s">
        <v>2030</v>
      </c>
      <c r="F2023" s="2" t="s">
        <v>4955</v>
      </c>
      <c r="G2023" s="2" t="s">
        <v>4955</v>
      </c>
      <c r="H2023" s="2" t="s">
        <v>4955</v>
      </c>
      <c r="I2023" s="2" t="s">
        <v>5829</v>
      </c>
      <c r="J2023" s="2" t="s">
        <v>785</v>
      </c>
      <c r="K2023" s="2" t="s">
        <v>521</v>
      </c>
      <c r="L2023" s="3">
        <v>45.71</v>
      </c>
      <c r="M2023" s="3">
        <v>48</v>
      </c>
      <c r="N2023" s="3">
        <v>99.99</v>
      </c>
      <c r="O2023" s="2" t="s">
        <v>473</v>
      </c>
      <c r="P2023" s="2" t="s">
        <v>447</v>
      </c>
      <c r="Q2023" s="2" t="s">
        <v>99</v>
      </c>
      <c r="R2023" s="2" t="s">
        <v>100</v>
      </c>
      <c r="S2023" s="2" t="s">
        <v>5834</v>
      </c>
      <c r="T2023" s="2" t="s">
        <v>100</v>
      </c>
      <c r="U2023" s="2" t="s">
        <v>1508</v>
      </c>
      <c r="V2023" s="2" t="s">
        <v>645</v>
      </c>
      <c r="W2023" s="2" t="s">
        <v>976</v>
      </c>
      <c r="X2023" s="2" t="s">
        <v>100</v>
      </c>
      <c r="Y2023" s="2" t="s">
        <v>5831</v>
      </c>
      <c r="Z2023" s="4">
        <v>101</v>
      </c>
      <c r="AA2023" s="4">
        <f>=ROUNDDOWN(50.5,0)</f>
      </c>
      <c r="AB2023" s="5">
        <v>2</v>
      </c>
      <c r="AC2023" s="2" t="s">
        <v>100</v>
      </c>
      <c r="AD2023" s="4"/>
      <c r="AE2023" s="4"/>
      <c r="AF2023" s="6">
        <v>65</v>
      </c>
      <c r="AG2023" s="6"/>
      <c r="AH2023" s="7">
        <v>1</v>
      </c>
      <c r="AI2023" s="4"/>
      <c r="AJ2023" s="4">
        <f>=ROUNDDOWN({0},0)</f>
      </c>
      <c r="AK2023" s="5"/>
      <c r="AL2023" s="2" t="s">
        <v>100</v>
      </c>
      <c r="AM2023" s="4"/>
      <c r="AN2023" s="4"/>
      <c r="AO2023" s="7">
        <v>0</v>
      </c>
      <c r="AP2023" s="4"/>
      <c r="AQ2023" s="8"/>
      <c r="AR2023" s="4"/>
      <c r="AS2023" s="8"/>
      <c r="AT2023" s="7"/>
      <c r="AU2023" s="7"/>
      <c r="AV2023" s="4" t="s">
        <v>100</v>
      </c>
      <c r="AW2023" s="8" t="s">
        <v>100</v>
      </c>
      <c r="AX2023" s="4" t="s">
        <v>100</v>
      </c>
      <c r="AY2023" s="8" t="s">
        <v>100</v>
      </c>
      <c r="AZ2023" s="7" t="s">
        <v>100</v>
      </c>
      <c r="BA2023" s="7" t="s">
        <v>100</v>
      </c>
      <c r="BB2023" s="7"/>
      <c r="BC2023" s="4" t="s">
        <v>100</v>
      </c>
      <c r="BD2023" s="8" t="s">
        <v>100</v>
      </c>
      <c r="BE2023" s="4" t="s">
        <v>100</v>
      </c>
      <c r="BF2023" s="8" t="s">
        <v>100</v>
      </c>
      <c r="BG2023" s="7" t="s">
        <v>100</v>
      </c>
      <c r="BH2023" s="7" t="s">
        <v>100</v>
      </c>
      <c r="BI2023" s="7"/>
      <c r="BJ2023" s="4">
        <v>1</v>
      </c>
      <c r="BK2023" s="8">
        <v>48</v>
      </c>
      <c r="BL2023" s="2" t="s">
        <v>1882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3088</v>
      </c>
      <c r="BV2023" s="2" t="s">
        <v>97</v>
      </c>
      <c r="BW2023" s="2" t="s">
        <v>100</v>
      </c>
      <c r="BX2023" s="2" t="s">
        <v>100</v>
      </c>
      <c r="BY2023" s="2" t="s">
        <v>112</v>
      </c>
      <c r="BZ2023" s="2" t="s">
        <v>100</v>
      </c>
    </row>
    <row r="2024">
      <c r="A2024" s="2" t="s">
        <v>5835</v>
      </c>
      <c r="B2024" s="2" t="s">
        <v>87</v>
      </c>
      <c r="C2024" s="2" t="s">
        <v>5759</v>
      </c>
      <c r="D2024" s="2" t="s">
        <v>89</v>
      </c>
      <c r="E2024" s="2" t="s">
        <v>2030</v>
      </c>
      <c r="F2024" s="2" t="s">
        <v>4955</v>
      </c>
      <c r="G2024" s="2" t="s">
        <v>4955</v>
      </c>
      <c r="H2024" s="2" t="s">
        <v>4955</v>
      </c>
      <c r="I2024" s="2" t="s">
        <v>5829</v>
      </c>
      <c r="J2024" s="2" t="s">
        <v>795</v>
      </c>
      <c r="K2024" s="2" t="s">
        <v>521</v>
      </c>
      <c r="L2024" s="3">
        <v>50.28</v>
      </c>
      <c r="M2024" s="3">
        <v>52.79</v>
      </c>
      <c r="N2024" s="3">
        <v>109.99</v>
      </c>
      <c r="O2024" s="2" t="s">
        <v>473</v>
      </c>
      <c r="P2024" s="2" t="s">
        <v>447</v>
      </c>
      <c r="Q2024" s="2" t="s">
        <v>99</v>
      </c>
      <c r="R2024" s="2" t="s">
        <v>100</v>
      </c>
      <c r="S2024" s="2" t="s">
        <v>5834</v>
      </c>
      <c r="T2024" s="2" t="s">
        <v>100</v>
      </c>
      <c r="U2024" s="2" t="s">
        <v>1508</v>
      </c>
      <c r="V2024" s="2" t="s">
        <v>645</v>
      </c>
      <c r="W2024" s="2" t="s">
        <v>976</v>
      </c>
      <c r="X2024" s="2" t="s">
        <v>100</v>
      </c>
      <c r="Y2024" s="2" t="s">
        <v>5831</v>
      </c>
      <c r="Z2024" s="4">
        <v>122</v>
      </c>
      <c r="AA2024" s="4">
        <f>=ROUNDDOWN(61,0)</f>
      </c>
      <c r="AB2024" s="5">
        <v>2</v>
      </c>
      <c r="AC2024" s="2" t="s">
        <v>100</v>
      </c>
      <c r="AD2024" s="4"/>
      <c r="AE2024" s="4"/>
      <c r="AF2024" s="6">
        <v>65</v>
      </c>
      <c r="AG2024" s="6"/>
      <c r="AH2024" s="7">
        <v>1</v>
      </c>
      <c r="AI2024" s="4"/>
      <c r="AJ2024" s="4">
        <f>=ROUNDDOWN({0},0)</f>
      </c>
      <c r="AK2024" s="5"/>
      <c r="AL2024" s="2" t="s">
        <v>100</v>
      </c>
      <c r="AM2024" s="4"/>
      <c r="AN2024" s="4"/>
      <c r="AO2024" s="7">
        <v>0</v>
      </c>
      <c r="AP2024" s="4"/>
      <c r="AQ2024" s="8"/>
      <c r="AR2024" s="4"/>
      <c r="AS2024" s="8"/>
      <c r="AT2024" s="7"/>
      <c r="AU2024" s="7"/>
      <c r="AV2024" s="4" t="s">
        <v>100</v>
      </c>
      <c r="AW2024" s="8" t="s">
        <v>100</v>
      </c>
      <c r="AX2024" s="4" t="s">
        <v>100</v>
      </c>
      <c r="AY2024" s="8" t="s">
        <v>100</v>
      </c>
      <c r="AZ2024" s="7" t="s">
        <v>100</v>
      </c>
      <c r="BA2024" s="7" t="s">
        <v>100</v>
      </c>
      <c r="BB2024" s="7"/>
      <c r="BC2024" s="4" t="s">
        <v>100</v>
      </c>
      <c r="BD2024" s="8" t="s">
        <v>100</v>
      </c>
      <c r="BE2024" s="4" t="s">
        <v>100</v>
      </c>
      <c r="BF2024" s="8" t="s">
        <v>100</v>
      </c>
      <c r="BG2024" s="7" t="s">
        <v>100</v>
      </c>
      <c r="BH2024" s="7" t="s">
        <v>100</v>
      </c>
      <c r="BI2024" s="7"/>
      <c r="BJ2024" s="4">
        <v>1</v>
      </c>
      <c r="BK2024" s="8">
        <v>26.4</v>
      </c>
      <c r="BL2024" s="2" t="s">
        <v>133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3088</v>
      </c>
      <c r="BV2024" s="2" t="s">
        <v>97</v>
      </c>
      <c r="BW2024" s="2" t="s">
        <v>100</v>
      </c>
      <c r="BX2024" s="2" t="s">
        <v>100</v>
      </c>
      <c r="BY2024" s="2" t="s">
        <v>112</v>
      </c>
      <c r="BZ2024" s="2" t="s">
        <v>100</v>
      </c>
    </row>
    <row r="2025">
      <c r="A2025" s="2" t="s">
        <v>5836</v>
      </c>
      <c r="B2025" s="2" t="s">
        <v>87</v>
      </c>
      <c r="C2025" s="2" t="s">
        <v>5759</v>
      </c>
      <c r="D2025" s="2" t="s">
        <v>2230</v>
      </c>
      <c r="E2025" s="2" t="s">
        <v>2656</v>
      </c>
      <c r="F2025" s="2" t="s">
        <v>5837</v>
      </c>
      <c r="G2025" s="2" t="s">
        <v>5837</v>
      </c>
      <c r="H2025" s="2" t="s">
        <v>5837</v>
      </c>
      <c r="I2025" s="2" t="s">
        <v>5838</v>
      </c>
      <c r="J2025" s="2" t="s">
        <v>785</v>
      </c>
      <c r="K2025" s="2" t="s">
        <v>146</v>
      </c>
      <c r="L2025" s="3">
        <v>28.75</v>
      </c>
      <c r="M2025" s="3">
        <v>30.19</v>
      </c>
      <c r="N2025" s="3">
        <v>59.99</v>
      </c>
      <c r="O2025" s="2" t="s">
        <v>97</v>
      </c>
      <c r="P2025" s="2" t="s">
        <v>447</v>
      </c>
      <c r="Q2025" s="2" t="s">
        <v>99</v>
      </c>
      <c r="R2025" s="2" t="s">
        <v>100</v>
      </c>
      <c r="S2025" s="2" t="s">
        <v>5839</v>
      </c>
      <c r="T2025" s="2" t="s">
        <v>100</v>
      </c>
      <c r="U2025" s="2" t="s">
        <v>1508</v>
      </c>
      <c r="V2025" s="2" t="s">
        <v>645</v>
      </c>
      <c r="W2025" s="2" t="s">
        <v>1240</v>
      </c>
      <c r="X2025" s="2" t="s">
        <v>104</v>
      </c>
      <c r="Y2025" s="2" t="s">
        <v>5840</v>
      </c>
      <c r="Z2025" s="4">
        <v>90</v>
      </c>
      <c r="AA2025" s="4">
        <f>=ROUNDDOWN(34.6153846153846,0)</f>
      </c>
      <c r="AB2025" s="5">
        <v>2.6</v>
      </c>
      <c r="AC2025" s="2" t="s">
        <v>100</v>
      </c>
      <c r="AD2025" s="4"/>
      <c r="AE2025" s="4"/>
      <c r="AF2025" s="6"/>
      <c r="AG2025" s="6"/>
      <c r="AH2025" s="7">
        <v>1</v>
      </c>
      <c r="AI2025" s="4"/>
      <c r="AJ2025" s="4">
        <f>=ROUNDDOWN({0},0)</f>
      </c>
      <c r="AK2025" s="5"/>
      <c r="AL2025" s="2" t="s">
        <v>100</v>
      </c>
      <c r="AM2025" s="4"/>
      <c r="AN2025" s="4"/>
      <c r="AO2025" s="7">
        <v>0</v>
      </c>
      <c r="AP2025" s="4"/>
      <c r="AQ2025" s="8"/>
      <c r="AR2025" s="4"/>
      <c r="AS2025" s="8"/>
      <c r="AT2025" s="7"/>
      <c r="AU2025" s="7"/>
      <c r="AV2025" s="4"/>
      <c r="AW2025" s="8"/>
      <c r="AX2025" s="4"/>
      <c r="AY2025" s="8"/>
      <c r="AZ2025" s="7"/>
      <c r="BA2025" s="7"/>
      <c r="BB2025" s="7"/>
      <c r="BC2025" s="4" t="s">
        <v>100</v>
      </c>
      <c r="BD2025" s="8" t="s">
        <v>100</v>
      </c>
      <c r="BE2025" s="4" t="s">
        <v>100</v>
      </c>
      <c r="BF2025" s="8" t="s">
        <v>100</v>
      </c>
      <c r="BG2025" s="7" t="s">
        <v>100</v>
      </c>
      <c r="BH2025" s="7" t="s">
        <v>100</v>
      </c>
      <c r="BI2025" s="7"/>
      <c r="BJ2025" s="4"/>
      <c r="BK2025" s="8"/>
      <c r="BL2025" s="2" t="s">
        <v>100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109</v>
      </c>
      <c r="BV2025" s="2" t="s">
        <v>97</v>
      </c>
      <c r="BW2025" s="2" t="s">
        <v>2339</v>
      </c>
      <c r="BX2025" s="2" t="s">
        <v>5335</v>
      </c>
      <c r="BY2025" s="2" t="s">
        <v>112</v>
      </c>
      <c r="BZ2025" s="2" t="s">
        <v>100</v>
      </c>
    </row>
    <row r="2026">
      <c r="A2026" s="2" t="s">
        <v>5841</v>
      </c>
      <c r="B2026" s="2" t="s">
        <v>87</v>
      </c>
      <c r="C2026" s="2" t="s">
        <v>5759</v>
      </c>
      <c r="D2026" s="2" t="s">
        <v>2230</v>
      </c>
      <c r="E2026" s="2" t="s">
        <v>2656</v>
      </c>
      <c r="F2026" s="2" t="s">
        <v>5837</v>
      </c>
      <c r="G2026" s="2" t="s">
        <v>5837</v>
      </c>
      <c r="H2026" s="2" t="s">
        <v>5837</v>
      </c>
      <c r="I2026" s="2" t="s">
        <v>5838</v>
      </c>
      <c r="J2026" s="2" t="s">
        <v>785</v>
      </c>
      <c r="K2026" s="2" t="s">
        <v>198</v>
      </c>
      <c r="L2026" s="3">
        <v>28.75</v>
      </c>
      <c r="M2026" s="3">
        <v>30.19</v>
      </c>
      <c r="N2026" s="3">
        <v>59.99</v>
      </c>
      <c r="O2026" s="2" t="s">
        <v>473</v>
      </c>
      <c r="P2026" s="2" t="s">
        <v>447</v>
      </c>
      <c r="Q2026" s="2" t="s">
        <v>99</v>
      </c>
      <c r="R2026" s="2" t="s">
        <v>100</v>
      </c>
      <c r="S2026" s="2" t="s">
        <v>5842</v>
      </c>
      <c r="T2026" s="2" t="s">
        <v>100</v>
      </c>
      <c r="U2026" s="2" t="s">
        <v>1508</v>
      </c>
      <c r="V2026" s="2" t="s">
        <v>645</v>
      </c>
      <c r="W2026" s="2" t="s">
        <v>1240</v>
      </c>
      <c r="X2026" s="2" t="s">
        <v>104</v>
      </c>
      <c r="Y2026" s="2" t="s">
        <v>5843</v>
      </c>
      <c r="Z2026" s="4">
        <v>197</v>
      </c>
      <c r="AA2026" s="4">
        <f>=ROUNDDOWN(75.7692307692308,0)</f>
      </c>
      <c r="AB2026" s="5">
        <v>2.6</v>
      </c>
      <c r="AC2026" s="2" t="s">
        <v>100</v>
      </c>
      <c r="AD2026" s="4"/>
      <c r="AE2026" s="4"/>
      <c r="AF2026" s="6"/>
      <c r="AG2026" s="6"/>
      <c r="AH2026" s="7">
        <v>1</v>
      </c>
      <c r="AI2026" s="4"/>
      <c r="AJ2026" s="4">
        <f>=ROUNDDOWN({0},0)</f>
      </c>
      <c r="AK2026" s="5"/>
      <c r="AL2026" s="2" t="s">
        <v>100</v>
      </c>
      <c r="AM2026" s="4"/>
      <c r="AN2026" s="4"/>
      <c r="AO2026" s="7">
        <v>0</v>
      </c>
      <c r="AP2026" s="4"/>
      <c r="AQ2026" s="8"/>
      <c r="AR2026" s="4"/>
      <c r="AS2026" s="8"/>
      <c r="AT2026" s="7"/>
      <c r="AU2026" s="7"/>
      <c r="AV2026" s="4" t="s">
        <v>100</v>
      </c>
      <c r="AW2026" s="8" t="s">
        <v>100</v>
      </c>
      <c r="AX2026" s="4" t="s">
        <v>100</v>
      </c>
      <c r="AY2026" s="8" t="s">
        <v>100</v>
      </c>
      <c r="AZ2026" s="7" t="s">
        <v>100</v>
      </c>
      <c r="BA2026" s="7" t="s">
        <v>100</v>
      </c>
      <c r="BB2026" s="7"/>
      <c r="BC2026" s="4" t="s">
        <v>100</v>
      </c>
      <c r="BD2026" s="8" t="s">
        <v>100</v>
      </c>
      <c r="BE2026" s="4" t="s">
        <v>100</v>
      </c>
      <c r="BF2026" s="8" t="s">
        <v>100</v>
      </c>
      <c r="BG2026" s="7" t="s">
        <v>100</v>
      </c>
      <c r="BH2026" s="7" t="s">
        <v>100</v>
      </c>
      <c r="BI2026" s="7"/>
      <c r="BJ2026" s="4">
        <v>2</v>
      </c>
      <c r="BK2026" s="8">
        <v>25.36</v>
      </c>
      <c r="BL2026" s="2" t="s">
        <v>210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109</v>
      </c>
      <c r="BV2026" s="2" t="s">
        <v>97</v>
      </c>
      <c r="BW2026" s="2" t="s">
        <v>2339</v>
      </c>
      <c r="BX2026" s="2" t="s">
        <v>2303</v>
      </c>
      <c r="BY2026" s="2" t="s">
        <v>112</v>
      </c>
      <c r="BZ2026" s="2" t="s">
        <v>100</v>
      </c>
    </row>
    <row r="2027">
      <c r="A2027" s="2" t="s">
        <v>5844</v>
      </c>
      <c r="B2027" s="2" t="s">
        <v>87</v>
      </c>
      <c r="C2027" s="2" t="s">
        <v>5759</v>
      </c>
      <c r="D2027" s="2" t="s">
        <v>2230</v>
      </c>
      <c r="E2027" s="2" t="s">
        <v>2656</v>
      </c>
      <c r="F2027" s="2" t="s">
        <v>5837</v>
      </c>
      <c r="G2027" s="2" t="s">
        <v>5837</v>
      </c>
      <c r="H2027" s="2" t="s">
        <v>5837</v>
      </c>
      <c r="I2027" s="2" t="s">
        <v>5838</v>
      </c>
      <c r="J2027" s="2" t="s">
        <v>795</v>
      </c>
      <c r="K2027" s="2" t="s">
        <v>198</v>
      </c>
      <c r="L2027" s="3">
        <v>33.33</v>
      </c>
      <c r="M2027" s="3">
        <v>35</v>
      </c>
      <c r="N2027" s="3">
        <v>69.99</v>
      </c>
      <c r="O2027" s="2" t="s">
        <v>97</v>
      </c>
      <c r="P2027" s="2" t="s">
        <v>447</v>
      </c>
      <c r="Q2027" s="2" t="s">
        <v>99</v>
      </c>
      <c r="R2027" s="2" t="s">
        <v>100</v>
      </c>
      <c r="S2027" s="2" t="s">
        <v>5842</v>
      </c>
      <c r="T2027" s="2" t="s">
        <v>100</v>
      </c>
      <c r="U2027" s="2" t="s">
        <v>1508</v>
      </c>
      <c r="V2027" s="2" t="s">
        <v>645</v>
      </c>
      <c r="W2027" s="2" t="s">
        <v>1240</v>
      </c>
      <c r="X2027" s="2" t="s">
        <v>104</v>
      </c>
      <c r="Y2027" s="2" t="s">
        <v>5840</v>
      </c>
      <c r="Z2027" s="4">
        <v>13</v>
      </c>
      <c r="AA2027" s="4">
        <f>=ROUNDDOWN(4.0625,0)</f>
      </c>
      <c r="AB2027" s="5">
        <v>3.2</v>
      </c>
      <c r="AC2027" s="2" t="s">
        <v>100</v>
      </c>
      <c r="AD2027" s="4"/>
      <c r="AE2027" s="4"/>
      <c r="AF2027" s="6"/>
      <c r="AG2027" s="6"/>
      <c r="AH2027" s="7">
        <v>1</v>
      </c>
      <c r="AI2027" s="4"/>
      <c r="AJ2027" s="4">
        <f>=ROUNDDOWN({0},0)</f>
      </c>
      <c r="AK2027" s="5"/>
      <c r="AL2027" s="2" t="s">
        <v>100</v>
      </c>
      <c r="AM2027" s="4"/>
      <c r="AN2027" s="4"/>
      <c r="AO2027" s="7">
        <v>0</v>
      </c>
      <c r="AP2027" s="4"/>
      <c r="AQ2027" s="8"/>
      <c r="AR2027" s="4"/>
      <c r="AS2027" s="8"/>
      <c r="AT2027" s="7"/>
      <c r="AU2027" s="7"/>
      <c r="AV2027" s="4" t="s">
        <v>100</v>
      </c>
      <c r="AW2027" s="8" t="s">
        <v>100</v>
      </c>
      <c r="AX2027" s="4" t="s">
        <v>100</v>
      </c>
      <c r="AY2027" s="8" t="s">
        <v>100</v>
      </c>
      <c r="AZ2027" s="7" t="s">
        <v>100</v>
      </c>
      <c r="BA2027" s="7" t="s">
        <v>100</v>
      </c>
      <c r="BB2027" s="7"/>
      <c r="BC2027" s="4" t="s">
        <v>100</v>
      </c>
      <c r="BD2027" s="8" t="s">
        <v>100</v>
      </c>
      <c r="BE2027" s="4" t="s">
        <v>100</v>
      </c>
      <c r="BF2027" s="8" t="s">
        <v>100</v>
      </c>
      <c r="BG2027" s="7" t="s">
        <v>100</v>
      </c>
      <c r="BH2027" s="7" t="s">
        <v>100</v>
      </c>
      <c r="BI2027" s="7"/>
      <c r="BJ2027" s="4">
        <v>6</v>
      </c>
      <c r="BK2027" s="8">
        <v>88.2</v>
      </c>
      <c r="BL2027" s="2" t="s">
        <v>210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109</v>
      </c>
      <c r="BV2027" s="2" t="s">
        <v>97</v>
      </c>
      <c r="BW2027" s="2" t="s">
        <v>2339</v>
      </c>
      <c r="BX2027" s="2" t="s">
        <v>2610</v>
      </c>
      <c r="BY2027" s="2" t="s">
        <v>112</v>
      </c>
      <c r="BZ2027" s="2" t="s">
        <v>100</v>
      </c>
    </row>
    <row r="2028">
      <c r="A2028" s="2" t="s">
        <v>5845</v>
      </c>
      <c r="B2028" s="2" t="s">
        <v>87</v>
      </c>
      <c r="C2028" s="2" t="s">
        <v>5759</v>
      </c>
      <c r="D2028" s="2" t="s">
        <v>2230</v>
      </c>
      <c r="E2028" s="2" t="s">
        <v>2656</v>
      </c>
      <c r="F2028" s="2" t="s">
        <v>5846</v>
      </c>
      <c r="G2028" s="2" t="s">
        <v>5846</v>
      </c>
      <c r="H2028" s="2" t="s">
        <v>5846</v>
      </c>
      <c r="I2028" s="2" t="s">
        <v>5847</v>
      </c>
      <c r="J2028" s="2" t="s">
        <v>785</v>
      </c>
      <c r="K2028" s="2" t="s">
        <v>253</v>
      </c>
      <c r="L2028" s="3">
        <v>41.14</v>
      </c>
      <c r="M2028" s="3">
        <v>43.2</v>
      </c>
      <c r="N2028" s="3">
        <v>89.99</v>
      </c>
      <c r="O2028" s="2" t="s">
        <v>473</v>
      </c>
      <c r="P2028" s="2" t="s">
        <v>447</v>
      </c>
      <c r="Q2028" s="2" t="s">
        <v>99</v>
      </c>
      <c r="R2028" s="2" t="s">
        <v>100</v>
      </c>
      <c r="S2028" s="2" t="s">
        <v>5848</v>
      </c>
      <c r="T2028" s="2" t="s">
        <v>100</v>
      </c>
      <c r="U2028" s="2" t="s">
        <v>1508</v>
      </c>
      <c r="V2028" s="2" t="s">
        <v>645</v>
      </c>
      <c r="W2028" s="2" t="s">
        <v>976</v>
      </c>
      <c r="X2028" s="2" t="s">
        <v>100</v>
      </c>
      <c r="Y2028" s="2" t="s">
        <v>1230</v>
      </c>
      <c r="Z2028" s="4">
        <v>205</v>
      </c>
      <c r="AA2028" s="4">
        <f>=ROUNDDOWN(51.25,0)</f>
      </c>
      <c r="AB2028" s="5">
        <v>4</v>
      </c>
      <c r="AC2028" s="2" t="s">
        <v>100</v>
      </c>
      <c r="AD2028" s="4"/>
      <c r="AE2028" s="4"/>
      <c r="AF2028" s="6">
        <v>65</v>
      </c>
      <c r="AG2028" s="6"/>
      <c r="AH2028" s="7">
        <v>1</v>
      </c>
      <c r="AI2028" s="4"/>
      <c r="AJ2028" s="4">
        <f>=ROUNDDOWN({0},0)</f>
      </c>
      <c r="AK2028" s="5"/>
      <c r="AL2028" s="2" t="s">
        <v>100</v>
      </c>
      <c r="AM2028" s="4"/>
      <c r="AN2028" s="4"/>
      <c r="AO2028" s="7">
        <v>0</v>
      </c>
      <c r="AP2028" s="4"/>
      <c r="AQ2028" s="8"/>
      <c r="AR2028" s="4"/>
      <c r="AS2028" s="8"/>
      <c r="AT2028" s="7"/>
      <c r="AU2028" s="7"/>
      <c r="AV2028" s="4" t="s">
        <v>100</v>
      </c>
      <c r="AW2028" s="8" t="s">
        <v>100</v>
      </c>
      <c r="AX2028" s="4" t="s">
        <v>100</v>
      </c>
      <c r="AY2028" s="8" t="s">
        <v>100</v>
      </c>
      <c r="AZ2028" s="7" t="s">
        <v>100</v>
      </c>
      <c r="BA2028" s="7" t="s">
        <v>100</v>
      </c>
      <c r="BB2028" s="7"/>
      <c r="BC2028" s="4" t="s">
        <v>100</v>
      </c>
      <c r="BD2028" s="8" t="s">
        <v>100</v>
      </c>
      <c r="BE2028" s="4" t="s">
        <v>100</v>
      </c>
      <c r="BF2028" s="8" t="s">
        <v>100</v>
      </c>
      <c r="BG2028" s="7" t="s">
        <v>100</v>
      </c>
      <c r="BH2028" s="7" t="s">
        <v>100</v>
      </c>
      <c r="BI2028" s="7"/>
      <c r="BJ2028" s="4">
        <v>1</v>
      </c>
      <c r="BK2028" s="8">
        <v>43.2</v>
      </c>
      <c r="BL2028" s="2" t="s">
        <v>1882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3088</v>
      </c>
      <c r="BV2028" s="2" t="s">
        <v>97</v>
      </c>
      <c r="BW2028" s="2" t="s">
        <v>100</v>
      </c>
      <c r="BX2028" s="2" t="s">
        <v>100</v>
      </c>
      <c r="BY2028" s="2" t="s">
        <v>112</v>
      </c>
      <c r="BZ2028" s="2" t="s">
        <v>100</v>
      </c>
    </row>
    <row r="2029">
      <c r="A2029" s="2" t="s">
        <v>5849</v>
      </c>
      <c r="B2029" s="2" t="s">
        <v>87</v>
      </c>
      <c r="C2029" s="2" t="s">
        <v>5759</v>
      </c>
      <c r="D2029" s="2" t="s">
        <v>2230</v>
      </c>
      <c r="E2029" s="2" t="s">
        <v>2656</v>
      </c>
      <c r="F2029" s="2" t="s">
        <v>5846</v>
      </c>
      <c r="G2029" s="2" t="s">
        <v>5846</v>
      </c>
      <c r="H2029" s="2" t="s">
        <v>5846</v>
      </c>
      <c r="I2029" s="2" t="s">
        <v>5847</v>
      </c>
      <c r="J2029" s="2" t="s">
        <v>795</v>
      </c>
      <c r="K2029" s="2" t="s">
        <v>253</v>
      </c>
      <c r="L2029" s="3">
        <v>45.71</v>
      </c>
      <c r="M2029" s="3">
        <v>48</v>
      </c>
      <c r="N2029" s="3">
        <v>99.99</v>
      </c>
      <c r="O2029" s="2" t="s">
        <v>97</v>
      </c>
      <c r="P2029" s="2" t="s">
        <v>447</v>
      </c>
      <c r="Q2029" s="2" t="s">
        <v>99</v>
      </c>
      <c r="R2029" s="2" t="s">
        <v>100</v>
      </c>
      <c r="S2029" s="2" t="s">
        <v>5848</v>
      </c>
      <c r="T2029" s="2" t="s">
        <v>100</v>
      </c>
      <c r="U2029" s="2" t="s">
        <v>1508</v>
      </c>
      <c r="V2029" s="2" t="s">
        <v>645</v>
      </c>
      <c r="W2029" s="2" t="s">
        <v>976</v>
      </c>
      <c r="X2029" s="2" t="s">
        <v>100</v>
      </c>
      <c r="Y2029" s="2" t="s">
        <v>1230</v>
      </c>
      <c r="Z2029" s="4">
        <v>139</v>
      </c>
      <c r="AA2029" s="4">
        <f>=ROUNDDOWN(34.75,0)</f>
      </c>
      <c r="AB2029" s="5">
        <v>4</v>
      </c>
      <c r="AC2029" s="2" t="s">
        <v>100</v>
      </c>
      <c r="AD2029" s="4"/>
      <c r="AE2029" s="4"/>
      <c r="AF2029" s="6">
        <v>65</v>
      </c>
      <c r="AG2029" s="6"/>
      <c r="AH2029" s="7">
        <v>1</v>
      </c>
      <c r="AI2029" s="4"/>
      <c r="AJ2029" s="4">
        <f>=ROUNDDOWN({0},0)</f>
      </c>
      <c r="AK2029" s="5"/>
      <c r="AL2029" s="2" t="s">
        <v>100</v>
      </c>
      <c r="AM2029" s="4"/>
      <c r="AN2029" s="4"/>
      <c r="AO2029" s="7">
        <v>0</v>
      </c>
      <c r="AP2029" s="4"/>
      <c r="AQ2029" s="8"/>
      <c r="AR2029" s="4"/>
      <c r="AS2029" s="8"/>
      <c r="AT2029" s="7"/>
      <c r="AU2029" s="7"/>
      <c r="AV2029" s="4" t="s">
        <v>100</v>
      </c>
      <c r="AW2029" s="8" t="s">
        <v>100</v>
      </c>
      <c r="AX2029" s="4" t="s">
        <v>100</v>
      </c>
      <c r="AY2029" s="8" t="s">
        <v>100</v>
      </c>
      <c r="AZ2029" s="7" t="s">
        <v>100</v>
      </c>
      <c r="BA2029" s="7" t="s">
        <v>100</v>
      </c>
      <c r="BB2029" s="7"/>
      <c r="BC2029" s="4" t="s">
        <v>100</v>
      </c>
      <c r="BD2029" s="8" t="s">
        <v>100</v>
      </c>
      <c r="BE2029" s="4" t="s">
        <v>100</v>
      </c>
      <c r="BF2029" s="8" t="s">
        <v>100</v>
      </c>
      <c r="BG2029" s="7" t="s">
        <v>100</v>
      </c>
      <c r="BH2029" s="7" t="s">
        <v>100</v>
      </c>
      <c r="BI2029" s="7"/>
      <c r="BJ2029" s="4">
        <v>2</v>
      </c>
      <c r="BK2029" s="8">
        <v>98.4</v>
      </c>
      <c r="BL2029" s="2" t="s">
        <v>2863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3088</v>
      </c>
      <c r="BV2029" s="2" t="s">
        <v>97</v>
      </c>
      <c r="BW2029" s="2" t="s">
        <v>100</v>
      </c>
      <c r="BX2029" s="2" t="s">
        <v>100</v>
      </c>
      <c r="BY2029" s="2" t="s">
        <v>112</v>
      </c>
      <c r="BZ2029" s="2" t="s">
        <v>100</v>
      </c>
    </row>
    <row r="2030">
      <c r="A2030" s="2" t="s">
        <v>5850</v>
      </c>
      <c r="B2030" s="2" t="s">
        <v>87</v>
      </c>
      <c r="C2030" s="2" t="s">
        <v>5759</v>
      </c>
      <c r="D2030" s="2" t="s">
        <v>2230</v>
      </c>
      <c r="E2030" s="2" t="s">
        <v>2656</v>
      </c>
      <c r="F2030" s="2" t="s">
        <v>5846</v>
      </c>
      <c r="G2030" s="2" t="s">
        <v>5846</v>
      </c>
      <c r="H2030" s="2" t="s">
        <v>5846</v>
      </c>
      <c r="I2030" s="2" t="s">
        <v>5847</v>
      </c>
      <c r="J2030" s="2" t="s">
        <v>785</v>
      </c>
      <c r="K2030" s="2" t="s">
        <v>521</v>
      </c>
      <c r="L2030" s="3">
        <v>41.14</v>
      </c>
      <c r="M2030" s="3">
        <v>43.2</v>
      </c>
      <c r="N2030" s="3">
        <v>89.99</v>
      </c>
      <c r="O2030" s="2" t="s">
        <v>473</v>
      </c>
      <c r="P2030" s="2" t="s">
        <v>447</v>
      </c>
      <c r="Q2030" s="2" t="s">
        <v>99</v>
      </c>
      <c r="R2030" s="2" t="s">
        <v>100</v>
      </c>
      <c r="S2030" s="2" t="s">
        <v>5851</v>
      </c>
      <c r="T2030" s="2" t="s">
        <v>100</v>
      </c>
      <c r="U2030" s="2" t="s">
        <v>1508</v>
      </c>
      <c r="V2030" s="2" t="s">
        <v>645</v>
      </c>
      <c r="W2030" s="2" t="s">
        <v>976</v>
      </c>
      <c r="X2030" s="2" t="s">
        <v>100</v>
      </c>
      <c r="Y2030" s="2" t="s">
        <v>1230</v>
      </c>
      <c r="Z2030" s="4">
        <v>91</v>
      </c>
      <c r="AA2030" s="4">
        <f>=ROUNDDOWN(45.5,0)</f>
      </c>
      <c r="AB2030" s="5">
        <v>2</v>
      </c>
      <c r="AC2030" s="2" t="s">
        <v>100</v>
      </c>
      <c r="AD2030" s="4"/>
      <c r="AE2030" s="4"/>
      <c r="AF2030" s="6">
        <v>65</v>
      </c>
      <c r="AG2030" s="6"/>
      <c r="AH2030" s="7">
        <v>1</v>
      </c>
      <c r="AI2030" s="4"/>
      <c r="AJ2030" s="4">
        <f>=ROUNDDOWN({0},0)</f>
      </c>
      <c r="AK2030" s="5"/>
      <c r="AL2030" s="2" t="s">
        <v>100</v>
      </c>
      <c r="AM2030" s="4"/>
      <c r="AN2030" s="4"/>
      <c r="AO2030" s="7">
        <v>0</v>
      </c>
      <c r="AP2030" s="4"/>
      <c r="AQ2030" s="8"/>
      <c r="AR2030" s="4"/>
      <c r="AS2030" s="8"/>
      <c r="AT2030" s="7"/>
      <c r="AU2030" s="7"/>
      <c r="AV2030" s="4" t="s">
        <v>100</v>
      </c>
      <c r="AW2030" s="8" t="s">
        <v>100</v>
      </c>
      <c r="AX2030" s="4" t="s">
        <v>100</v>
      </c>
      <c r="AY2030" s="8" t="s">
        <v>100</v>
      </c>
      <c r="AZ2030" s="7" t="s">
        <v>100</v>
      </c>
      <c r="BA2030" s="7" t="s">
        <v>100</v>
      </c>
      <c r="BB2030" s="7"/>
      <c r="BC2030" s="4" t="s">
        <v>100</v>
      </c>
      <c r="BD2030" s="8" t="s">
        <v>100</v>
      </c>
      <c r="BE2030" s="4" t="s">
        <v>100</v>
      </c>
      <c r="BF2030" s="8" t="s">
        <v>100</v>
      </c>
      <c r="BG2030" s="7" t="s">
        <v>100</v>
      </c>
      <c r="BH2030" s="7" t="s">
        <v>100</v>
      </c>
      <c r="BI2030" s="7"/>
      <c r="BJ2030" s="4">
        <v>1</v>
      </c>
      <c r="BK2030" s="8">
        <v>27.99</v>
      </c>
      <c r="BL2030" s="2" t="s">
        <v>715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3088</v>
      </c>
      <c r="BV2030" s="2" t="s">
        <v>97</v>
      </c>
      <c r="BW2030" s="2" t="s">
        <v>100</v>
      </c>
      <c r="BX2030" s="2" t="s">
        <v>100</v>
      </c>
      <c r="BY2030" s="2" t="s">
        <v>112</v>
      </c>
      <c r="BZ2030" s="2" t="s">
        <v>100</v>
      </c>
    </row>
    <row r="2031">
      <c r="A2031" s="2" t="s">
        <v>5852</v>
      </c>
      <c r="B2031" s="2" t="s">
        <v>87</v>
      </c>
      <c r="C2031" s="2" t="s">
        <v>5759</v>
      </c>
      <c r="D2031" s="2" t="s">
        <v>2230</v>
      </c>
      <c r="E2031" s="2" t="s">
        <v>2656</v>
      </c>
      <c r="F2031" s="2" t="s">
        <v>5846</v>
      </c>
      <c r="G2031" s="2" t="s">
        <v>5846</v>
      </c>
      <c r="H2031" s="2" t="s">
        <v>5846</v>
      </c>
      <c r="I2031" s="2" t="s">
        <v>5847</v>
      </c>
      <c r="J2031" s="2" t="s">
        <v>795</v>
      </c>
      <c r="K2031" s="2" t="s">
        <v>521</v>
      </c>
      <c r="L2031" s="3">
        <v>45.71</v>
      </c>
      <c r="M2031" s="3">
        <v>48</v>
      </c>
      <c r="N2031" s="3">
        <v>99.99</v>
      </c>
      <c r="O2031" s="2" t="s">
        <v>473</v>
      </c>
      <c r="P2031" s="2" t="s">
        <v>447</v>
      </c>
      <c r="Q2031" s="2" t="s">
        <v>99</v>
      </c>
      <c r="R2031" s="2" t="s">
        <v>100</v>
      </c>
      <c r="S2031" s="2" t="s">
        <v>5851</v>
      </c>
      <c r="T2031" s="2" t="s">
        <v>100</v>
      </c>
      <c r="U2031" s="2" t="s">
        <v>1508</v>
      </c>
      <c r="V2031" s="2" t="s">
        <v>645</v>
      </c>
      <c r="W2031" s="2" t="s">
        <v>976</v>
      </c>
      <c r="X2031" s="2" t="s">
        <v>100</v>
      </c>
      <c r="Y2031" s="2" t="s">
        <v>1230</v>
      </c>
      <c r="Z2031" s="4">
        <v>20</v>
      </c>
      <c r="AA2031" s="4">
        <f>=ROUNDDOWN(6.66666666666667,0)</f>
      </c>
      <c r="AB2031" s="5"/>
      <c r="AC2031" s="2" t="s">
        <v>100</v>
      </c>
      <c r="AD2031" s="4"/>
      <c r="AE2031" s="4"/>
      <c r="AF2031" s="6">
        <v>65</v>
      </c>
      <c r="AG2031" s="6"/>
      <c r="AH2031" s="7">
        <v>1</v>
      </c>
      <c r="AI2031" s="4"/>
      <c r="AJ2031" s="4">
        <f>=ROUNDDOWN({0},0)</f>
      </c>
      <c r="AK2031" s="5"/>
      <c r="AL2031" s="2" t="s">
        <v>100</v>
      </c>
      <c r="AM2031" s="4"/>
      <c r="AN2031" s="4"/>
      <c r="AO2031" s="7">
        <v>0</v>
      </c>
      <c r="AP2031" s="4"/>
      <c r="AQ2031" s="8"/>
      <c r="AR2031" s="4"/>
      <c r="AS2031" s="8"/>
      <c r="AT2031" s="7"/>
      <c r="AU2031" s="7"/>
      <c r="AV2031" s="4" t="s">
        <v>100</v>
      </c>
      <c r="AW2031" s="8" t="s">
        <v>100</v>
      </c>
      <c r="AX2031" s="4" t="s">
        <v>100</v>
      </c>
      <c r="AY2031" s="8" t="s">
        <v>100</v>
      </c>
      <c r="AZ2031" s="7" t="s">
        <v>100</v>
      </c>
      <c r="BA2031" s="7" t="s">
        <v>100</v>
      </c>
      <c r="BB2031" s="7"/>
      <c r="BC2031" s="4" t="s">
        <v>100</v>
      </c>
      <c r="BD2031" s="8" t="s">
        <v>100</v>
      </c>
      <c r="BE2031" s="4" t="s">
        <v>100</v>
      </c>
      <c r="BF2031" s="8" t="s">
        <v>100</v>
      </c>
      <c r="BG2031" s="7" t="s">
        <v>100</v>
      </c>
      <c r="BH2031" s="7" t="s">
        <v>100</v>
      </c>
      <c r="BI2031" s="7"/>
      <c r="BJ2031" s="4">
        <v>4</v>
      </c>
      <c r="BK2031" s="8">
        <v>183.74</v>
      </c>
      <c r="BL2031" s="2" t="s">
        <v>2384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3088</v>
      </c>
      <c r="BV2031" s="2" t="s">
        <v>97</v>
      </c>
      <c r="BW2031" s="2" t="s">
        <v>100</v>
      </c>
      <c r="BX2031" s="2" t="s">
        <v>100</v>
      </c>
      <c r="BY2031" s="2" t="s">
        <v>112</v>
      </c>
      <c r="BZ2031" s="2" t="s">
        <v>100</v>
      </c>
    </row>
    <row r="2032">
      <c r="A2032" s="2" t="s">
        <v>5853</v>
      </c>
      <c r="B2032" s="2" t="s">
        <v>87</v>
      </c>
      <c r="C2032" s="2" t="s">
        <v>5759</v>
      </c>
      <c r="D2032" s="2" t="s">
        <v>3079</v>
      </c>
      <c r="E2032" s="2" t="s">
        <v>3176</v>
      </c>
      <c r="F2032" s="2" t="s">
        <v>5809</v>
      </c>
      <c r="G2032" s="2" t="s">
        <v>5809</v>
      </c>
      <c r="H2032" s="2" t="s">
        <v>5809</v>
      </c>
      <c r="I2032" s="2" t="s">
        <v>5854</v>
      </c>
      <c r="J2032" s="2" t="s">
        <v>785</v>
      </c>
      <c r="K2032" s="2" t="s">
        <v>1263</v>
      </c>
      <c r="L2032" s="3">
        <v>32</v>
      </c>
      <c r="M2032" s="3">
        <v>33.6</v>
      </c>
      <c r="N2032" s="3">
        <v>69.99</v>
      </c>
      <c r="O2032" s="2" t="s">
        <v>473</v>
      </c>
      <c r="P2032" s="2" t="s">
        <v>447</v>
      </c>
      <c r="Q2032" s="2" t="s">
        <v>99</v>
      </c>
      <c r="R2032" s="2" t="s">
        <v>100</v>
      </c>
      <c r="S2032" s="2" t="s">
        <v>5811</v>
      </c>
      <c r="T2032" s="2" t="s">
        <v>100</v>
      </c>
      <c r="U2032" s="2" t="s">
        <v>1508</v>
      </c>
      <c r="V2032" s="2" t="s">
        <v>805</v>
      </c>
      <c r="W2032" s="2" t="s">
        <v>976</v>
      </c>
      <c r="X2032" s="2" t="s">
        <v>100</v>
      </c>
      <c r="Y2032" s="2" t="s">
        <v>1230</v>
      </c>
      <c r="Z2032" s="4">
        <v>54</v>
      </c>
      <c r="AA2032" s="4">
        <f>=ROUNDDOWN(18,0)</f>
      </c>
      <c r="AB2032" s="5">
        <v>3</v>
      </c>
      <c r="AC2032" s="2" t="s">
        <v>100</v>
      </c>
      <c r="AD2032" s="4"/>
      <c r="AE2032" s="4"/>
      <c r="AF2032" s="6">
        <v>65</v>
      </c>
      <c r="AG2032" s="6"/>
      <c r="AH2032" s="7">
        <v>1</v>
      </c>
      <c r="AI2032" s="4"/>
      <c r="AJ2032" s="4">
        <f>=ROUNDDOWN({0},0)</f>
      </c>
      <c r="AK2032" s="5"/>
      <c r="AL2032" s="2" t="s">
        <v>100</v>
      </c>
      <c r="AM2032" s="4"/>
      <c r="AN2032" s="4"/>
      <c r="AO2032" s="7">
        <v>0</v>
      </c>
      <c r="AP2032" s="4"/>
      <c r="AQ2032" s="8"/>
      <c r="AR2032" s="4"/>
      <c r="AS2032" s="8"/>
      <c r="AT2032" s="7"/>
      <c r="AU2032" s="7"/>
      <c r="AV2032" s="4"/>
      <c r="AW2032" s="8"/>
      <c r="AX2032" s="4"/>
      <c r="AY2032" s="8"/>
      <c r="AZ2032" s="7"/>
      <c r="BA2032" s="7"/>
      <c r="BB2032" s="7"/>
      <c r="BC2032" s="4" t="s">
        <v>100</v>
      </c>
      <c r="BD2032" s="8" t="s">
        <v>100</v>
      </c>
      <c r="BE2032" s="4" t="s">
        <v>100</v>
      </c>
      <c r="BF2032" s="8" t="s">
        <v>100</v>
      </c>
      <c r="BG2032" s="7" t="s">
        <v>100</v>
      </c>
      <c r="BH2032" s="7" t="s">
        <v>100</v>
      </c>
      <c r="BI2032" s="7"/>
      <c r="BJ2032" s="4"/>
      <c r="BK2032" s="8"/>
      <c r="BL2032" s="2" t="s">
        <v>100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3088</v>
      </c>
      <c r="BV2032" s="2" t="s">
        <v>97</v>
      </c>
      <c r="BW2032" s="2" t="s">
        <v>100</v>
      </c>
      <c r="BX2032" s="2" t="s">
        <v>100</v>
      </c>
      <c r="BY2032" s="2" t="s">
        <v>112</v>
      </c>
      <c r="BZ2032" s="2" t="s">
        <v>100</v>
      </c>
    </row>
    <row r="2033">
      <c r="A2033" s="2" t="s">
        <v>5855</v>
      </c>
      <c r="B2033" s="2" t="s">
        <v>87</v>
      </c>
      <c r="C2033" s="2" t="s">
        <v>5759</v>
      </c>
      <c r="D2033" s="2" t="s">
        <v>3079</v>
      </c>
      <c r="E2033" s="2" t="s">
        <v>3176</v>
      </c>
      <c r="F2033" s="2" t="s">
        <v>5809</v>
      </c>
      <c r="G2033" s="2" t="s">
        <v>5809</v>
      </c>
      <c r="H2033" s="2" t="s">
        <v>5809</v>
      </c>
      <c r="I2033" s="2" t="s">
        <v>5854</v>
      </c>
      <c r="J2033" s="2" t="s">
        <v>785</v>
      </c>
      <c r="K2033" s="2" t="s">
        <v>198</v>
      </c>
      <c r="L2033" s="3">
        <v>32</v>
      </c>
      <c r="M2033" s="3">
        <v>33.6</v>
      </c>
      <c r="N2033" s="3">
        <v>69.99</v>
      </c>
      <c r="O2033" s="2" t="s">
        <v>97</v>
      </c>
      <c r="P2033" s="2" t="s">
        <v>447</v>
      </c>
      <c r="Q2033" s="2" t="s">
        <v>99</v>
      </c>
      <c r="R2033" s="2" t="s">
        <v>100</v>
      </c>
      <c r="S2033" s="2" t="s">
        <v>5813</v>
      </c>
      <c r="T2033" s="2" t="s">
        <v>100</v>
      </c>
      <c r="U2033" s="2" t="s">
        <v>1508</v>
      </c>
      <c r="V2033" s="2" t="s">
        <v>805</v>
      </c>
      <c r="W2033" s="2" t="s">
        <v>976</v>
      </c>
      <c r="X2033" s="2" t="s">
        <v>100</v>
      </c>
      <c r="Y2033" s="2" t="s">
        <v>1230</v>
      </c>
      <c r="Z2033" s="4">
        <v>119</v>
      </c>
      <c r="AA2033" s="4">
        <f>=ROUNDDOWN(23.8,0)</f>
      </c>
      <c r="AB2033" s="5">
        <v>5</v>
      </c>
      <c r="AC2033" s="2" t="s">
        <v>100</v>
      </c>
      <c r="AD2033" s="4"/>
      <c r="AE2033" s="4"/>
      <c r="AF2033" s="6">
        <v>65</v>
      </c>
      <c r="AG2033" s="6"/>
      <c r="AH2033" s="7">
        <v>1</v>
      </c>
      <c r="AI2033" s="4"/>
      <c r="AJ2033" s="4">
        <f>=ROUNDDOWN({0},0)</f>
      </c>
      <c r="AK2033" s="5"/>
      <c r="AL2033" s="2" t="s">
        <v>100</v>
      </c>
      <c r="AM2033" s="4"/>
      <c r="AN2033" s="4"/>
      <c r="AO2033" s="7">
        <v>0</v>
      </c>
      <c r="AP2033" s="4"/>
      <c r="AQ2033" s="8"/>
      <c r="AR2033" s="4"/>
      <c r="AS2033" s="8"/>
      <c r="AT2033" s="7"/>
      <c r="AU2033" s="7"/>
      <c r="AV2033" s="4" t="s">
        <v>100</v>
      </c>
      <c r="AW2033" s="8" t="s">
        <v>100</v>
      </c>
      <c r="AX2033" s="4" t="s">
        <v>100</v>
      </c>
      <c r="AY2033" s="8" t="s">
        <v>100</v>
      </c>
      <c r="AZ2033" s="7" t="s">
        <v>100</v>
      </c>
      <c r="BA2033" s="7" t="s">
        <v>100</v>
      </c>
      <c r="BB2033" s="7"/>
      <c r="BC2033" s="4" t="s">
        <v>100</v>
      </c>
      <c r="BD2033" s="8" t="s">
        <v>100</v>
      </c>
      <c r="BE2033" s="4" t="s">
        <v>100</v>
      </c>
      <c r="BF2033" s="8" t="s">
        <v>100</v>
      </c>
      <c r="BG2033" s="7" t="s">
        <v>100</v>
      </c>
      <c r="BH2033" s="7" t="s">
        <v>100</v>
      </c>
      <c r="BI2033" s="7"/>
      <c r="BJ2033" s="4">
        <v>1</v>
      </c>
      <c r="BK2033" s="8">
        <v>33.6</v>
      </c>
      <c r="BL2033" s="2" t="s">
        <v>1882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3088</v>
      </c>
      <c r="BV2033" s="2" t="s">
        <v>97</v>
      </c>
      <c r="BW2033" s="2" t="s">
        <v>100</v>
      </c>
      <c r="BX2033" s="2" t="s">
        <v>100</v>
      </c>
      <c r="BY2033" s="2" t="s">
        <v>112</v>
      </c>
      <c r="BZ2033" s="2" t="s">
        <v>100</v>
      </c>
    </row>
    <row r="2034">
      <c r="A2034" s="2" t="s">
        <v>5856</v>
      </c>
      <c r="B2034" s="2" t="s">
        <v>87</v>
      </c>
      <c r="C2034" s="2" t="s">
        <v>5759</v>
      </c>
      <c r="D2034" s="2" t="s">
        <v>3079</v>
      </c>
      <c r="E2034" s="2" t="s">
        <v>3176</v>
      </c>
      <c r="F2034" s="2" t="s">
        <v>5809</v>
      </c>
      <c r="G2034" s="2" t="s">
        <v>5809</v>
      </c>
      <c r="H2034" s="2" t="s">
        <v>5809</v>
      </c>
      <c r="I2034" s="2" t="s">
        <v>5854</v>
      </c>
      <c r="J2034" s="2" t="s">
        <v>795</v>
      </c>
      <c r="K2034" s="2" t="s">
        <v>198</v>
      </c>
      <c r="L2034" s="3">
        <v>36.57</v>
      </c>
      <c r="M2034" s="3">
        <v>38.4</v>
      </c>
      <c r="N2034" s="3">
        <v>79.99</v>
      </c>
      <c r="O2034" s="2" t="s">
        <v>97</v>
      </c>
      <c r="P2034" s="2" t="s">
        <v>447</v>
      </c>
      <c r="Q2034" s="2" t="s">
        <v>99</v>
      </c>
      <c r="R2034" s="2" t="s">
        <v>100</v>
      </c>
      <c r="S2034" s="2" t="s">
        <v>5813</v>
      </c>
      <c r="T2034" s="2" t="s">
        <v>100</v>
      </c>
      <c r="U2034" s="2" t="s">
        <v>1508</v>
      </c>
      <c r="V2034" s="2" t="s">
        <v>805</v>
      </c>
      <c r="W2034" s="2" t="s">
        <v>976</v>
      </c>
      <c r="X2034" s="2" t="s">
        <v>100</v>
      </c>
      <c r="Y2034" s="2" t="s">
        <v>1230</v>
      </c>
      <c r="Z2034" s="4">
        <v>171</v>
      </c>
      <c r="AA2034" s="4">
        <f>=ROUNDDOWN(28.5,0)</f>
      </c>
      <c r="AB2034" s="5">
        <v>6</v>
      </c>
      <c r="AC2034" s="2" t="s">
        <v>100</v>
      </c>
      <c r="AD2034" s="4"/>
      <c r="AE2034" s="4"/>
      <c r="AF2034" s="6">
        <v>65</v>
      </c>
      <c r="AG2034" s="6"/>
      <c r="AH2034" s="7">
        <v>1</v>
      </c>
      <c r="AI2034" s="4"/>
      <c r="AJ2034" s="4">
        <f>=ROUNDDOWN({0},0)</f>
      </c>
      <c r="AK2034" s="5"/>
      <c r="AL2034" s="2" t="s">
        <v>100</v>
      </c>
      <c r="AM2034" s="4"/>
      <c r="AN2034" s="4"/>
      <c r="AO2034" s="7">
        <v>0</v>
      </c>
      <c r="AP2034" s="4"/>
      <c r="AQ2034" s="8"/>
      <c r="AR2034" s="4"/>
      <c r="AS2034" s="8"/>
      <c r="AT2034" s="7"/>
      <c r="AU2034" s="7"/>
      <c r="AV2034" s="4" t="s">
        <v>100</v>
      </c>
      <c r="AW2034" s="8" t="s">
        <v>100</v>
      </c>
      <c r="AX2034" s="4" t="s">
        <v>100</v>
      </c>
      <c r="AY2034" s="8" t="s">
        <v>100</v>
      </c>
      <c r="AZ2034" s="7" t="s">
        <v>100</v>
      </c>
      <c r="BA2034" s="7" t="s">
        <v>100</v>
      </c>
      <c r="BB2034" s="7"/>
      <c r="BC2034" s="4" t="s">
        <v>100</v>
      </c>
      <c r="BD2034" s="8" t="s">
        <v>100</v>
      </c>
      <c r="BE2034" s="4" t="s">
        <v>100</v>
      </c>
      <c r="BF2034" s="8" t="s">
        <v>100</v>
      </c>
      <c r="BG2034" s="7" t="s">
        <v>100</v>
      </c>
      <c r="BH2034" s="7" t="s">
        <v>100</v>
      </c>
      <c r="BI2034" s="7"/>
      <c r="BJ2034" s="4">
        <v>2</v>
      </c>
      <c r="BK2034" s="8">
        <v>81.79</v>
      </c>
      <c r="BL2034" s="2" t="s">
        <v>1643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3088</v>
      </c>
      <c r="BV2034" s="2" t="s">
        <v>97</v>
      </c>
      <c r="BW2034" s="2" t="s">
        <v>100</v>
      </c>
      <c r="BX2034" s="2" t="s">
        <v>100</v>
      </c>
      <c r="BY2034" s="2" t="s">
        <v>112</v>
      </c>
      <c r="BZ2034" s="2" t="s">
        <v>100</v>
      </c>
    </row>
    <row r="2035">
      <c r="A2035" s="2" t="s">
        <v>5857</v>
      </c>
      <c r="B2035" s="2" t="s">
        <v>87</v>
      </c>
      <c r="C2035" s="2" t="s">
        <v>5759</v>
      </c>
      <c r="D2035" s="2" t="s">
        <v>3079</v>
      </c>
      <c r="E2035" s="2" t="s">
        <v>3176</v>
      </c>
      <c r="F2035" s="2" t="s">
        <v>5817</v>
      </c>
      <c r="G2035" s="2" t="s">
        <v>5817</v>
      </c>
      <c r="H2035" s="2" t="s">
        <v>5817</v>
      </c>
      <c r="I2035" s="2" t="s">
        <v>5858</v>
      </c>
      <c r="J2035" s="2" t="s">
        <v>785</v>
      </c>
      <c r="K2035" s="2" t="s">
        <v>253</v>
      </c>
      <c r="L2035" s="3">
        <v>32</v>
      </c>
      <c r="M2035" s="3">
        <v>33.6</v>
      </c>
      <c r="N2035" s="3">
        <v>69.99</v>
      </c>
      <c r="O2035" s="2" t="s">
        <v>473</v>
      </c>
      <c r="P2035" s="2" t="s">
        <v>447</v>
      </c>
      <c r="Q2035" s="2" t="s">
        <v>99</v>
      </c>
      <c r="R2035" s="2" t="s">
        <v>100</v>
      </c>
      <c r="S2035" s="2" t="s">
        <v>5859</v>
      </c>
      <c r="T2035" s="2" t="s">
        <v>100</v>
      </c>
      <c r="U2035" s="2" t="s">
        <v>1508</v>
      </c>
      <c r="V2035" s="2" t="s">
        <v>805</v>
      </c>
      <c r="W2035" s="2" t="s">
        <v>976</v>
      </c>
      <c r="X2035" s="2" t="s">
        <v>100</v>
      </c>
      <c r="Y2035" s="2" t="s">
        <v>1230</v>
      </c>
      <c r="Z2035" s="4">
        <v>84</v>
      </c>
      <c r="AA2035" s="4">
        <f>=ROUNDDOWN(42,0)</f>
      </c>
      <c r="AB2035" s="5">
        <v>2</v>
      </c>
      <c r="AC2035" s="2" t="s">
        <v>100</v>
      </c>
      <c r="AD2035" s="4"/>
      <c r="AE2035" s="4"/>
      <c r="AF2035" s="6">
        <v>65</v>
      </c>
      <c r="AG2035" s="6"/>
      <c r="AH2035" s="7">
        <v>1</v>
      </c>
      <c r="AI2035" s="4"/>
      <c r="AJ2035" s="4">
        <f>=ROUNDDOWN({0},0)</f>
      </c>
      <c r="AK2035" s="5"/>
      <c r="AL2035" s="2" t="s">
        <v>100</v>
      </c>
      <c r="AM2035" s="4"/>
      <c r="AN2035" s="4"/>
      <c r="AO2035" s="7">
        <v>0</v>
      </c>
      <c r="AP2035" s="4"/>
      <c r="AQ2035" s="8"/>
      <c r="AR2035" s="4"/>
      <c r="AS2035" s="8"/>
      <c r="AT2035" s="7"/>
      <c r="AU2035" s="7"/>
      <c r="AV2035" s="4" t="s">
        <v>100</v>
      </c>
      <c r="AW2035" s="8" t="s">
        <v>100</v>
      </c>
      <c r="AX2035" s="4" t="s">
        <v>100</v>
      </c>
      <c r="AY2035" s="8" t="s">
        <v>100</v>
      </c>
      <c r="AZ2035" s="7" t="s">
        <v>100</v>
      </c>
      <c r="BA2035" s="7" t="s">
        <v>100</v>
      </c>
      <c r="BB2035" s="7"/>
      <c r="BC2035" s="4" t="s">
        <v>100</v>
      </c>
      <c r="BD2035" s="8" t="s">
        <v>100</v>
      </c>
      <c r="BE2035" s="4" t="s">
        <v>100</v>
      </c>
      <c r="BF2035" s="8" t="s">
        <v>100</v>
      </c>
      <c r="BG2035" s="7" t="s">
        <v>100</v>
      </c>
      <c r="BH2035" s="7" t="s">
        <v>100</v>
      </c>
      <c r="BI2035" s="7"/>
      <c r="BJ2035" s="4"/>
      <c r="BK2035" s="8"/>
      <c r="BL2035" s="2" t="s">
        <v>100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3088</v>
      </c>
      <c r="BV2035" s="2" t="s">
        <v>97</v>
      </c>
      <c r="BW2035" s="2" t="s">
        <v>100</v>
      </c>
      <c r="BX2035" s="2" t="s">
        <v>100</v>
      </c>
      <c r="BY2035" s="2" t="s">
        <v>112</v>
      </c>
      <c r="BZ2035" s="2" t="s">
        <v>100</v>
      </c>
    </row>
    <row r="2036">
      <c r="A2036" s="2" t="s">
        <v>5860</v>
      </c>
      <c r="B2036" s="2" t="s">
        <v>87</v>
      </c>
      <c r="C2036" s="2" t="s">
        <v>5759</v>
      </c>
      <c r="D2036" s="2" t="s">
        <v>3079</v>
      </c>
      <c r="E2036" s="2" t="s">
        <v>3176</v>
      </c>
      <c r="F2036" s="2" t="s">
        <v>5817</v>
      </c>
      <c r="G2036" s="2" t="s">
        <v>5817</v>
      </c>
      <c r="H2036" s="2" t="s">
        <v>5817</v>
      </c>
      <c r="I2036" s="2" t="s">
        <v>5858</v>
      </c>
      <c r="J2036" s="2" t="s">
        <v>795</v>
      </c>
      <c r="K2036" s="2" t="s">
        <v>253</v>
      </c>
      <c r="L2036" s="3">
        <v>36.57</v>
      </c>
      <c r="M2036" s="3">
        <v>38.4</v>
      </c>
      <c r="N2036" s="3">
        <v>79.99</v>
      </c>
      <c r="O2036" s="2" t="s">
        <v>473</v>
      </c>
      <c r="P2036" s="2" t="s">
        <v>447</v>
      </c>
      <c r="Q2036" s="2" t="s">
        <v>99</v>
      </c>
      <c r="R2036" s="2" t="s">
        <v>100</v>
      </c>
      <c r="S2036" s="2" t="s">
        <v>5859</v>
      </c>
      <c r="T2036" s="2" t="s">
        <v>100</v>
      </c>
      <c r="U2036" s="2" t="s">
        <v>1508</v>
      </c>
      <c r="V2036" s="2" t="s">
        <v>805</v>
      </c>
      <c r="W2036" s="2" t="s">
        <v>976</v>
      </c>
      <c r="X2036" s="2" t="s">
        <v>100</v>
      </c>
      <c r="Y2036" s="2" t="s">
        <v>1230</v>
      </c>
      <c r="Z2036" s="4">
        <v>32</v>
      </c>
      <c r="AA2036" s="4">
        <f>=ROUNDDOWN(16,0)</f>
      </c>
      <c r="AB2036" s="5">
        <v>2</v>
      </c>
      <c r="AC2036" s="2" t="s">
        <v>100</v>
      </c>
      <c r="AD2036" s="4"/>
      <c r="AE2036" s="4"/>
      <c r="AF2036" s="6">
        <v>65</v>
      </c>
      <c r="AG2036" s="6"/>
      <c r="AH2036" s="7">
        <v>1</v>
      </c>
      <c r="AI2036" s="4"/>
      <c r="AJ2036" s="4">
        <f>=ROUNDDOWN({0},0)</f>
      </c>
      <c r="AK2036" s="5"/>
      <c r="AL2036" s="2" t="s">
        <v>100</v>
      </c>
      <c r="AM2036" s="4"/>
      <c r="AN2036" s="4"/>
      <c r="AO2036" s="7">
        <v>0</v>
      </c>
      <c r="AP2036" s="4"/>
      <c r="AQ2036" s="8"/>
      <c r="AR2036" s="4"/>
      <c r="AS2036" s="8"/>
      <c r="AT2036" s="7"/>
      <c r="AU2036" s="7"/>
      <c r="AV2036" s="4" t="s">
        <v>100</v>
      </c>
      <c r="AW2036" s="8" t="s">
        <v>100</v>
      </c>
      <c r="AX2036" s="4" t="s">
        <v>100</v>
      </c>
      <c r="AY2036" s="8" t="s">
        <v>100</v>
      </c>
      <c r="AZ2036" s="7" t="s">
        <v>100</v>
      </c>
      <c r="BA2036" s="7" t="s">
        <v>100</v>
      </c>
      <c r="BB2036" s="7"/>
      <c r="BC2036" s="4" t="s">
        <v>100</v>
      </c>
      <c r="BD2036" s="8" t="s">
        <v>100</v>
      </c>
      <c r="BE2036" s="4" t="s">
        <v>100</v>
      </c>
      <c r="BF2036" s="8" t="s">
        <v>100</v>
      </c>
      <c r="BG2036" s="7" t="s">
        <v>100</v>
      </c>
      <c r="BH2036" s="7" t="s">
        <v>100</v>
      </c>
      <c r="BI2036" s="7"/>
      <c r="BJ2036" s="4"/>
      <c r="BK2036" s="8"/>
      <c r="BL2036" s="2" t="s">
        <v>100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3088</v>
      </c>
      <c r="BV2036" s="2" t="s">
        <v>97</v>
      </c>
      <c r="BW2036" s="2" t="s">
        <v>100</v>
      </c>
      <c r="BX2036" s="2" t="s">
        <v>100</v>
      </c>
      <c r="BY2036" s="2" t="s">
        <v>112</v>
      </c>
      <c r="BZ2036" s="2" t="s">
        <v>100</v>
      </c>
    </row>
    <row r="2037">
      <c r="A2037" s="2" t="s">
        <v>5861</v>
      </c>
      <c r="B2037" s="2" t="s">
        <v>87</v>
      </c>
      <c r="C2037" s="2" t="s">
        <v>5759</v>
      </c>
      <c r="D2037" s="2" t="s">
        <v>3079</v>
      </c>
      <c r="E2037" s="2" t="s">
        <v>3176</v>
      </c>
      <c r="F2037" s="2" t="s">
        <v>983</v>
      </c>
      <c r="G2037" s="2" t="s">
        <v>983</v>
      </c>
      <c r="H2037" s="2" t="s">
        <v>983</v>
      </c>
      <c r="I2037" s="2" t="s">
        <v>5862</v>
      </c>
      <c r="J2037" s="2" t="s">
        <v>785</v>
      </c>
      <c r="K2037" s="2" t="s">
        <v>253</v>
      </c>
      <c r="L2037" s="3">
        <v>32</v>
      </c>
      <c r="M2037" s="3">
        <v>33.6</v>
      </c>
      <c r="N2037" s="3">
        <v>69.99</v>
      </c>
      <c r="O2037" s="2" t="s">
        <v>473</v>
      </c>
      <c r="P2037" s="2" t="s">
        <v>447</v>
      </c>
      <c r="Q2037" s="2" t="s">
        <v>99</v>
      </c>
      <c r="R2037" s="2" t="s">
        <v>100</v>
      </c>
      <c r="S2037" s="2" t="s">
        <v>5822</v>
      </c>
      <c r="T2037" s="2" t="s">
        <v>100</v>
      </c>
      <c r="U2037" s="2" t="s">
        <v>1508</v>
      </c>
      <c r="V2037" s="2" t="s">
        <v>645</v>
      </c>
      <c r="W2037" s="2" t="s">
        <v>976</v>
      </c>
      <c r="X2037" s="2" t="s">
        <v>100</v>
      </c>
      <c r="Y2037" s="2" t="s">
        <v>1230</v>
      </c>
      <c r="Z2037" s="4">
        <v>156</v>
      </c>
      <c r="AA2037" s="4">
        <f>=ROUNDDOWN(39,0)</f>
      </c>
      <c r="AB2037" s="5">
        <v>4</v>
      </c>
      <c r="AC2037" s="2" t="s">
        <v>100</v>
      </c>
      <c r="AD2037" s="4"/>
      <c r="AE2037" s="4"/>
      <c r="AF2037" s="6">
        <v>65</v>
      </c>
      <c r="AG2037" s="6"/>
      <c r="AH2037" s="7">
        <v>1</v>
      </c>
      <c r="AI2037" s="4"/>
      <c r="AJ2037" s="4">
        <f>=ROUNDDOWN({0},0)</f>
      </c>
      <c r="AK2037" s="5"/>
      <c r="AL2037" s="2" t="s">
        <v>100</v>
      </c>
      <c r="AM2037" s="4"/>
      <c r="AN2037" s="4"/>
      <c r="AO2037" s="7">
        <v>0</v>
      </c>
      <c r="AP2037" s="4"/>
      <c r="AQ2037" s="8"/>
      <c r="AR2037" s="4"/>
      <c r="AS2037" s="8"/>
      <c r="AT2037" s="7"/>
      <c r="AU2037" s="7"/>
      <c r="AV2037" s="4" t="s">
        <v>100</v>
      </c>
      <c r="AW2037" s="8" t="s">
        <v>100</v>
      </c>
      <c r="AX2037" s="4" t="s">
        <v>100</v>
      </c>
      <c r="AY2037" s="8" t="s">
        <v>100</v>
      </c>
      <c r="AZ2037" s="7" t="s">
        <v>100</v>
      </c>
      <c r="BA2037" s="7" t="s">
        <v>100</v>
      </c>
      <c r="BB2037" s="7"/>
      <c r="BC2037" s="4" t="s">
        <v>100</v>
      </c>
      <c r="BD2037" s="8" t="s">
        <v>100</v>
      </c>
      <c r="BE2037" s="4" t="s">
        <v>100</v>
      </c>
      <c r="BF2037" s="8" t="s">
        <v>100</v>
      </c>
      <c r="BG2037" s="7" t="s">
        <v>100</v>
      </c>
      <c r="BH2037" s="7" t="s">
        <v>100</v>
      </c>
      <c r="BI2037" s="7"/>
      <c r="BJ2037" s="4"/>
      <c r="BK2037" s="8"/>
      <c r="BL2037" s="2" t="s">
        <v>100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3088</v>
      </c>
      <c r="BV2037" s="2" t="s">
        <v>97</v>
      </c>
      <c r="BW2037" s="2" t="s">
        <v>100</v>
      </c>
      <c r="BX2037" s="2" t="s">
        <v>100</v>
      </c>
      <c r="BY2037" s="2" t="s">
        <v>112</v>
      </c>
      <c r="BZ2037" s="2" t="s">
        <v>100</v>
      </c>
    </row>
    <row r="2038">
      <c r="A2038" s="2" t="s">
        <v>5863</v>
      </c>
      <c r="B2038" s="2" t="s">
        <v>87</v>
      </c>
      <c r="C2038" s="2" t="s">
        <v>5759</v>
      </c>
      <c r="D2038" s="2" t="s">
        <v>3079</v>
      </c>
      <c r="E2038" s="2" t="s">
        <v>3176</v>
      </c>
      <c r="F2038" s="2" t="s">
        <v>983</v>
      </c>
      <c r="G2038" s="2" t="s">
        <v>983</v>
      </c>
      <c r="H2038" s="2" t="s">
        <v>983</v>
      </c>
      <c r="I2038" s="2" t="s">
        <v>5862</v>
      </c>
      <c r="J2038" s="2" t="s">
        <v>795</v>
      </c>
      <c r="K2038" s="2" t="s">
        <v>253</v>
      </c>
      <c r="L2038" s="3">
        <v>36.57</v>
      </c>
      <c r="M2038" s="3">
        <v>38.4</v>
      </c>
      <c r="N2038" s="3">
        <v>79.99</v>
      </c>
      <c r="O2038" s="2" t="s">
        <v>97</v>
      </c>
      <c r="P2038" s="2" t="s">
        <v>447</v>
      </c>
      <c r="Q2038" s="2" t="s">
        <v>99</v>
      </c>
      <c r="R2038" s="2" t="s">
        <v>100</v>
      </c>
      <c r="S2038" s="2" t="s">
        <v>5822</v>
      </c>
      <c r="T2038" s="2" t="s">
        <v>100</v>
      </c>
      <c r="U2038" s="2" t="s">
        <v>1508</v>
      </c>
      <c r="V2038" s="2" t="s">
        <v>645</v>
      </c>
      <c r="W2038" s="2" t="s">
        <v>976</v>
      </c>
      <c r="X2038" s="2" t="s">
        <v>100</v>
      </c>
      <c r="Y2038" s="2" t="s">
        <v>1230</v>
      </c>
      <c r="Z2038" s="4">
        <v>106</v>
      </c>
      <c r="AA2038" s="4">
        <f>=ROUNDDOWN(26.5,0)</f>
      </c>
      <c r="AB2038" s="5">
        <v>4</v>
      </c>
      <c r="AC2038" s="2" t="s">
        <v>100</v>
      </c>
      <c r="AD2038" s="4"/>
      <c r="AE2038" s="4"/>
      <c r="AF2038" s="6">
        <v>65</v>
      </c>
      <c r="AG2038" s="6"/>
      <c r="AH2038" s="7">
        <v>1</v>
      </c>
      <c r="AI2038" s="4"/>
      <c r="AJ2038" s="4">
        <f>=ROUNDDOWN({0},0)</f>
      </c>
      <c r="AK2038" s="5"/>
      <c r="AL2038" s="2" t="s">
        <v>100</v>
      </c>
      <c r="AM2038" s="4"/>
      <c r="AN2038" s="4"/>
      <c r="AO2038" s="7">
        <v>0</v>
      </c>
      <c r="AP2038" s="4"/>
      <c r="AQ2038" s="8"/>
      <c r="AR2038" s="4"/>
      <c r="AS2038" s="8"/>
      <c r="AT2038" s="7"/>
      <c r="AU2038" s="7"/>
      <c r="AV2038" s="4" t="s">
        <v>100</v>
      </c>
      <c r="AW2038" s="8" t="s">
        <v>100</v>
      </c>
      <c r="AX2038" s="4" t="s">
        <v>100</v>
      </c>
      <c r="AY2038" s="8" t="s">
        <v>100</v>
      </c>
      <c r="AZ2038" s="7" t="s">
        <v>100</v>
      </c>
      <c r="BA2038" s="7" t="s">
        <v>100</v>
      </c>
      <c r="BB2038" s="7"/>
      <c r="BC2038" s="4" t="s">
        <v>100</v>
      </c>
      <c r="BD2038" s="8" t="s">
        <v>100</v>
      </c>
      <c r="BE2038" s="4" t="s">
        <v>100</v>
      </c>
      <c r="BF2038" s="8" t="s">
        <v>100</v>
      </c>
      <c r="BG2038" s="7" t="s">
        <v>100</v>
      </c>
      <c r="BH2038" s="7" t="s">
        <v>100</v>
      </c>
      <c r="BI2038" s="7"/>
      <c r="BJ2038" s="4">
        <v>2</v>
      </c>
      <c r="BK2038" s="8">
        <v>46</v>
      </c>
      <c r="BL2038" s="2" t="s">
        <v>2799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3088</v>
      </c>
      <c r="BV2038" s="2" t="s">
        <v>97</v>
      </c>
      <c r="BW2038" s="2" t="s">
        <v>100</v>
      </c>
      <c r="BX2038" s="2" t="s">
        <v>100</v>
      </c>
      <c r="BY2038" s="2" t="s">
        <v>112</v>
      </c>
      <c r="BZ2038" s="2" t="s">
        <v>100</v>
      </c>
    </row>
    <row r="2039">
      <c r="A2039" s="2" t="s">
        <v>5864</v>
      </c>
      <c r="B2039" s="2" t="s">
        <v>87</v>
      </c>
      <c r="C2039" s="2" t="s">
        <v>5759</v>
      </c>
      <c r="D2039" s="2" t="s">
        <v>3079</v>
      </c>
      <c r="E2039" s="2" t="s">
        <v>3176</v>
      </c>
      <c r="F2039" s="2" t="s">
        <v>983</v>
      </c>
      <c r="G2039" s="2" t="s">
        <v>983</v>
      </c>
      <c r="H2039" s="2" t="s">
        <v>983</v>
      </c>
      <c r="I2039" s="2" t="s">
        <v>5862</v>
      </c>
      <c r="J2039" s="2" t="s">
        <v>785</v>
      </c>
      <c r="K2039" s="2" t="s">
        <v>521</v>
      </c>
      <c r="L2039" s="3">
        <v>32</v>
      </c>
      <c r="M2039" s="3">
        <v>33.6</v>
      </c>
      <c r="N2039" s="3">
        <v>69.99</v>
      </c>
      <c r="O2039" s="2" t="s">
        <v>97</v>
      </c>
      <c r="P2039" s="2" t="s">
        <v>447</v>
      </c>
      <c r="Q2039" s="2" t="s">
        <v>99</v>
      </c>
      <c r="R2039" s="2" t="s">
        <v>100</v>
      </c>
      <c r="S2039" s="2" t="s">
        <v>5826</v>
      </c>
      <c r="T2039" s="2" t="s">
        <v>100</v>
      </c>
      <c r="U2039" s="2" t="s">
        <v>1508</v>
      </c>
      <c r="V2039" s="2" t="s">
        <v>645</v>
      </c>
      <c r="W2039" s="2" t="s">
        <v>976</v>
      </c>
      <c r="X2039" s="2" t="s">
        <v>100</v>
      </c>
      <c r="Y2039" s="2" t="s">
        <v>1230</v>
      </c>
      <c r="Z2039" s="4">
        <v>175</v>
      </c>
      <c r="AA2039" s="4">
        <f>=ROUNDDOWN(29.1666666666667,0)</f>
      </c>
      <c r="AB2039" s="5">
        <v>6</v>
      </c>
      <c r="AC2039" s="2" t="s">
        <v>100</v>
      </c>
      <c r="AD2039" s="4"/>
      <c r="AE2039" s="4"/>
      <c r="AF2039" s="6">
        <v>65</v>
      </c>
      <c r="AG2039" s="6"/>
      <c r="AH2039" s="7">
        <v>1</v>
      </c>
      <c r="AI2039" s="4"/>
      <c r="AJ2039" s="4">
        <f>=ROUNDDOWN({0},0)</f>
      </c>
      <c r="AK2039" s="5"/>
      <c r="AL2039" s="2" t="s">
        <v>100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 t="s">
        <v>100</v>
      </c>
      <c r="AW2039" s="8" t="s">
        <v>100</v>
      </c>
      <c r="AX2039" s="4" t="s">
        <v>100</v>
      </c>
      <c r="AY2039" s="8" t="s">
        <v>100</v>
      </c>
      <c r="AZ2039" s="7" t="s">
        <v>100</v>
      </c>
      <c r="BA2039" s="7" t="s">
        <v>100</v>
      </c>
      <c r="BB2039" s="7"/>
      <c r="BC2039" s="4" t="s">
        <v>100</v>
      </c>
      <c r="BD2039" s="8" t="s">
        <v>100</v>
      </c>
      <c r="BE2039" s="4" t="s">
        <v>100</v>
      </c>
      <c r="BF2039" s="8" t="s">
        <v>100</v>
      </c>
      <c r="BG2039" s="7" t="s">
        <v>100</v>
      </c>
      <c r="BH2039" s="7" t="s">
        <v>100</v>
      </c>
      <c r="BI2039" s="7"/>
      <c r="BJ2039" s="4">
        <v>1</v>
      </c>
      <c r="BK2039" s="8">
        <v>21.77</v>
      </c>
      <c r="BL2039" s="2" t="s">
        <v>715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3088</v>
      </c>
      <c r="BV2039" s="2" t="s">
        <v>97</v>
      </c>
      <c r="BW2039" s="2" t="s">
        <v>100</v>
      </c>
      <c r="BX2039" s="2" t="s">
        <v>100</v>
      </c>
      <c r="BY2039" s="2" t="s">
        <v>112</v>
      </c>
      <c r="BZ2039" s="2" t="s">
        <v>100</v>
      </c>
    </row>
    <row r="2040">
      <c r="A2040" s="2" t="s">
        <v>5865</v>
      </c>
      <c r="B2040" s="2" t="s">
        <v>87</v>
      </c>
      <c r="C2040" s="2" t="s">
        <v>5759</v>
      </c>
      <c r="D2040" s="2" t="s">
        <v>3079</v>
      </c>
      <c r="E2040" s="2" t="s">
        <v>3176</v>
      </c>
      <c r="F2040" s="2" t="s">
        <v>983</v>
      </c>
      <c r="G2040" s="2" t="s">
        <v>983</v>
      </c>
      <c r="H2040" s="2" t="s">
        <v>983</v>
      </c>
      <c r="I2040" s="2" t="s">
        <v>5862</v>
      </c>
      <c r="J2040" s="2" t="s">
        <v>795</v>
      </c>
      <c r="K2040" s="2" t="s">
        <v>521</v>
      </c>
      <c r="L2040" s="3">
        <v>36.57</v>
      </c>
      <c r="M2040" s="3">
        <v>38.4</v>
      </c>
      <c r="N2040" s="3">
        <v>79.99</v>
      </c>
      <c r="O2040" s="2" t="s">
        <v>97</v>
      </c>
      <c r="P2040" s="2" t="s">
        <v>447</v>
      </c>
      <c r="Q2040" s="2" t="s">
        <v>99</v>
      </c>
      <c r="R2040" s="2" t="s">
        <v>100</v>
      </c>
      <c r="S2040" s="2" t="s">
        <v>5826</v>
      </c>
      <c r="T2040" s="2" t="s">
        <v>100</v>
      </c>
      <c r="U2040" s="2" t="s">
        <v>1508</v>
      </c>
      <c r="V2040" s="2" t="s">
        <v>645</v>
      </c>
      <c r="W2040" s="2" t="s">
        <v>976</v>
      </c>
      <c r="X2040" s="2" t="s">
        <v>100</v>
      </c>
      <c r="Y2040" s="2" t="s">
        <v>1230</v>
      </c>
      <c r="Z2040" s="4">
        <v>9</v>
      </c>
      <c r="AA2040" s="4">
        <f>=ROUNDDOWN(1.5,0)</f>
      </c>
      <c r="AB2040" s="5">
        <v>6</v>
      </c>
      <c r="AC2040" s="2" t="s">
        <v>100</v>
      </c>
      <c r="AD2040" s="4"/>
      <c r="AE2040" s="4"/>
      <c r="AF2040" s="6">
        <v>65</v>
      </c>
      <c r="AG2040" s="6"/>
      <c r="AH2040" s="7">
        <v>1</v>
      </c>
      <c r="AI2040" s="4"/>
      <c r="AJ2040" s="4">
        <f>=ROUNDDOWN({0},0)</f>
      </c>
      <c r="AK2040" s="5"/>
      <c r="AL2040" s="2" t="s">
        <v>100</v>
      </c>
      <c r="AM2040" s="4"/>
      <c r="AN2040" s="4"/>
      <c r="AO2040" s="7">
        <v>0</v>
      </c>
      <c r="AP2040" s="4"/>
      <c r="AQ2040" s="8"/>
      <c r="AR2040" s="4"/>
      <c r="AS2040" s="8"/>
      <c r="AT2040" s="7"/>
      <c r="AU2040" s="7"/>
      <c r="AV2040" s="4" t="s">
        <v>100</v>
      </c>
      <c r="AW2040" s="8" t="s">
        <v>100</v>
      </c>
      <c r="AX2040" s="4" t="s">
        <v>100</v>
      </c>
      <c r="AY2040" s="8" t="s">
        <v>100</v>
      </c>
      <c r="AZ2040" s="7" t="s">
        <v>100</v>
      </c>
      <c r="BA2040" s="7" t="s">
        <v>100</v>
      </c>
      <c r="BB2040" s="7"/>
      <c r="BC2040" s="4" t="s">
        <v>100</v>
      </c>
      <c r="BD2040" s="8" t="s">
        <v>100</v>
      </c>
      <c r="BE2040" s="4" t="s">
        <v>100</v>
      </c>
      <c r="BF2040" s="8" t="s">
        <v>100</v>
      </c>
      <c r="BG2040" s="7" t="s">
        <v>100</v>
      </c>
      <c r="BH2040" s="7" t="s">
        <v>100</v>
      </c>
      <c r="BI2040" s="7"/>
      <c r="BJ2040" s="4">
        <v>3</v>
      </c>
      <c r="BK2040" s="8">
        <v>80.64</v>
      </c>
      <c r="BL2040" s="2" t="s">
        <v>108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3088</v>
      </c>
      <c r="BV2040" s="2" t="s">
        <v>97</v>
      </c>
      <c r="BW2040" s="2" t="s">
        <v>100</v>
      </c>
      <c r="BX2040" s="2" t="s">
        <v>100</v>
      </c>
      <c r="BY2040" s="2" t="s">
        <v>112</v>
      </c>
      <c r="BZ2040" s="2" t="s">
        <v>100</v>
      </c>
    </row>
    <row r="2041">
      <c r="A2041" s="2" t="s">
        <v>5866</v>
      </c>
      <c r="B2041" s="2" t="s">
        <v>87</v>
      </c>
      <c r="C2041" s="2" t="s">
        <v>5759</v>
      </c>
      <c r="D2041" s="2" t="s">
        <v>3079</v>
      </c>
      <c r="E2041" s="2" t="s">
        <v>3176</v>
      </c>
      <c r="F2041" s="2" t="s">
        <v>4955</v>
      </c>
      <c r="G2041" s="2" t="s">
        <v>4955</v>
      </c>
      <c r="H2041" s="2" t="s">
        <v>4955</v>
      </c>
      <c r="I2041" s="2" t="s">
        <v>5867</v>
      </c>
      <c r="J2041" s="2" t="s">
        <v>785</v>
      </c>
      <c r="K2041" s="2" t="s">
        <v>1263</v>
      </c>
      <c r="L2041" s="3">
        <v>32</v>
      </c>
      <c r="M2041" s="3">
        <v>33.6</v>
      </c>
      <c r="N2041" s="3">
        <v>69.99</v>
      </c>
      <c r="O2041" s="2" t="s">
        <v>473</v>
      </c>
      <c r="P2041" s="2" t="s">
        <v>447</v>
      </c>
      <c r="Q2041" s="2" t="s">
        <v>99</v>
      </c>
      <c r="R2041" s="2" t="s">
        <v>100</v>
      </c>
      <c r="S2041" s="2" t="s">
        <v>5830</v>
      </c>
      <c r="T2041" s="2" t="s">
        <v>100</v>
      </c>
      <c r="U2041" s="2" t="s">
        <v>1508</v>
      </c>
      <c r="V2041" s="2" t="s">
        <v>645</v>
      </c>
      <c r="W2041" s="2" t="s">
        <v>976</v>
      </c>
      <c r="X2041" s="2" t="s">
        <v>100</v>
      </c>
      <c r="Y2041" s="2" t="s">
        <v>5831</v>
      </c>
      <c r="Z2041" s="4">
        <v>68</v>
      </c>
      <c r="AA2041" s="4">
        <f>=ROUNDDOWN(34,0)</f>
      </c>
      <c r="AB2041" s="5">
        <v>2</v>
      </c>
      <c r="AC2041" s="2" t="s">
        <v>100</v>
      </c>
      <c r="AD2041" s="4"/>
      <c r="AE2041" s="4"/>
      <c r="AF2041" s="6">
        <v>65</v>
      </c>
      <c r="AG2041" s="6"/>
      <c r="AH2041" s="7">
        <v>1</v>
      </c>
      <c r="AI2041" s="4"/>
      <c r="AJ2041" s="4">
        <f>=ROUNDDOWN({0},0)</f>
      </c>
      <c r="AK2041" s="5"/>
      <c r="AL2041" s="2" t="s">
        <v>100</v>
      </c>
      <c r="AM2041" s="4"/>
      <c r="AN2041" s="4"/>
      <c r="AO2041" s="7">
        <v>0</v>
      </c>
      <c r="AP2041" s="4"/>
      <c r="AQ2041" s="8"/>
      <c r="AR2041" s="4"/>
      <c r="AS2041" s="8"/>
      <c r="AT2041" s="7"/>
      <c r="AU2041" s="7"/>
      <c r="AV2041" s="4" t="s">
        <v>100</v>
      </c>
      <c r="AW2041" s="8" t="s">
        <v>100</v>
      </c>
      <c r="AX2041" s="4" t="s">
        <v>100</v>
      </c>
      <c r="AY2041" s="8" t="s">
        <v>100</v>
      </c>
      <c r="AZ2041" s="7" t="s">
        <v>100</v>
      </c>
      <c r="BA2041" s="7" t="s">
        <v>100</v>
      </c>
      <c r="BB2041" s="7"/>
      <c r="BC2041" s="4" t="s">
        <v>100</v>
      </c>
      <c r="BD2041" s="8" t="s">
        <v>100</v>
      </c>
      <c r="BE2041" s="4" t="s">
        <v>100</v>
      </c>
      <c r="BF2041" s="8" t="s">
        <v>100</v>
      </c>
      <c r="BG2041" s="7" t="s">
        <v>100</v>
      </c>
      <c r="BH2041" s="7" t="s">
        <v>100</v>
      </c>
      <c r="BI2041" s="7"/>
      <c r="BJ2041" s="4"/>
      <c r="BK2041" s="8"/>
      <c r="BL2041" s="2" t="s">
        <v>100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3088</v>
      </c>
      <c r="BV2041" s="2" t="s">
        <v>97</v>
      </c>
      <c r="BW2041" s="2" t="s">
        <v>100</v>
      </c>
      <c r="BX2041" s="2" t="s">
        <v>100</v>
      </c>
      <c r="BY2041" s="2" t="s">
        <v>112</v>
      </c>
      <c r="BZ2041" s="2" t="s">
        <v>100</v>
      </c>
    </row>
    <row r="2042">
      <c r="A2042" s="2" t="s">
        <v>5868</v>
      </c>
      <c r="B2042" s="2" t="s">
        <v>87</v>
      </c>
      <c r="C2042" s="2" t="s">
        <v>5759</v>
      </c>
      <c r="D2042" s="2" t="s">
        <v>3079</v>
      </c>
      <c r="E2042" s="2" t="s">
        <v>3176</v>
      </c>
      <c r="F2042" s="2" t="s">
        <v>4955</v>
      </c>
      <c r="G2042" s="2" t="s">
        <v>4955</v>
      </c>
      <c r="H2042" s="2" t="s">
        <v>4955</v>
      </c>
      <c r="I2042" s="2" t="s">
        <v>5867</v>
      </c>
      <c r="J2042" s="2" t="s">
        <v>795</v>
      </c>
      <c r="K2042" s="2" t="s">
        <v>1263</v>
      </c>
      <c r="L2042" s="3">
        <v>36.57</v>
      </c>
      <c r="M2042" s="3">
        <v>38.4</v>
      </c>
      <c r="N2042" s="3">
        <v>79.99</v>
      </c>
      <c r="O2042" s="2" t="s">
        <v>473</v>
      </c>
      <c r="P2042" s="2" t="s">
        <v>447</v>
      </c>
      <c r="Q2042" s="2" t="s">
        <v>99</v>
      </c>
      <c r="R2042" s="2" t="s">
        <v>100</v>
      </c>
      <c r="S2042" s="2" t="s">
        <v>5830</v>
      </c>
      <c r="T2042" s="2" t="s">
        <v>100</v>
      </c>
      <c r="U2042" s="2" t="s">
        <v>1508</v>
      </c>
      <c r="V2042" s="2" t="s">
        <v>645</v>
      </c>
      <c r="W2042" s="2" t="s">
        <v>976</v>
      </c>
      <c r="X2042" s="2" t="s">
        <v>100</v>
      </c>
      <c r="Y2042" s="2" t="s">
        <v>5831</v>
      </c>
      <c r="Z2042" s="4">
        <v>101</v>
      </c>
      <c r="AA2042" s="4">
        <f>=ROUNDDOWN(50.5,0)</f>
      </c>
      <c r="AB2042" s="5">
        <v>2</v>
      </c>
      <c r="AC2042" s="2" t="s">
        <v>100</v>
      </c>
      <c r="AD2042" s="4"/>
      <c r="AE2042" s="4"/>
      <c r="AF2042" s="6">
        <v>65</v>
      </c>
      <c r="AG2042" s="6"/>
      <c r="AH2042" s="7">
        <v>1</v>
      </c>
      <c r="AI2042" s="4"/>
      <c r="AJ2042" s="4">
        <f>=ROUNDDOWN({0},0)</f>
      </c>
      <c r="AK2042" s="5"/>
      <c r="AL2042" s="2" t="s">
        <v>100</v>
      </c>
      <c r="AM2042" s="4"/>
      <c r="AN2042" s="4"/>
      <c r="AO2042" s="7">
        <v>0</v>
      </c>
      <c r="AP2042" s="4"/>
      <c r="AQ2042" s="8"/>
      <c r="AR2042" s="4"/>
      <c r="AS2042" s="8"/>
      <c r="AT2042" s="7"/>
      <c r="AU2042" s="7"/>
      <c r="AV2042" s="4" t="s">
        <v>100</v>
      </c>
      <c r="AW2042" s="8" t="s">
        <v>100</v>
      </c>
      <c r="AX2042" s="4" t="s">
        <v>100</v>
      </c>
      <c r="AY2042" s="8" t="s">
        <v>100</v>
      </c>
      <c r="AZ2042" s="7" t="s">
        <v>100</v>
      </c>
      <c r="BA2042" s="7" t="s">
        <v>100</v>
      </c>
      <c r="BB2042" s="7"/>
      <c r="BC2042" s="4" t="s">
        <v>100</v>
      </c>
      <c r="BD2042" s="8" t="s">
        <v>100</v>
      </c>
      <c r="BE2042" s="4" t="s">
        <v>100</v>
      </c>
      <c r="BF2042" s="8" t="s">
        <v>100</v>
      </c>
      <c r="BG2042" s="7" t="s">
        <v>100</v>
      </c>
      <c r="BH2042" s="7" t="s">
        <v>100</v>
      </c>
      <c r="BI2042" s="7"/>
      <c r="BJ2042" s="4">
        <v>1</v>
      </c>
      <c r="BK2042" s="8">
        <v>19.2</v>
      </c>
      <c r="BL2042" s="2" t="s">
        <v>133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3088</v>
      </c>
      <c r="BV2042" s="2" t="s">
        <v>97</v>
      </c>
      <c r="BW2042" s="2" t="s">
        <v>100</v>
      </c>
      <c r="BX2042" s="2" t="s">
        <v>100</v>
      </c>
      <c r="BY2042" s="2" t="s">
        <v>112</v>
      </c>
      <c r="BZ2042" s="2" t="s">
        <v>100</v>
      </c>
    </row>
    <row r="2043">
      <c r="A2043" s="2" t="s">
        <v>5869</v>
      </c>
      <c r="B2043" s="2" t="s">
        <v>87</v>
      </c>
      <c r="C2043" s="2" t="s">
        <v>5759</v>
      </c>
      <c r="D2043" s="2" t="s">
        <v>3079</v>
      </c>
      <c r="E2043" s="2" t="s">
        <v>3176</v>
      </c>
      <c r="F2043" s="2" t="s">
        <v>4955</v>
      </c>
      <c r="G2043" s="2" t="s">
        <v>4955</v>
      </c>
      <c r="H2043" s="2" t="s">
        <v>4955</v>
      </c>
      <c r="I2043" s="2" t="s">
        <v>5867</v>
      </c>
      <c r="J2043" s="2" t="s">
        <v>785</v>
      </c>
      <c r="K2043" s="2" t="s">
        <v>521</v>
      </c>
      <c r="L2043" s="3">
        <v>32</v>
      </c>
      <c r="M2043" s="3">
        <v>33.6</v>
      </c>
      <c r="N2043" s="3">
        <v>69.99</v>
      </c>
      <c r="O2043" s="2" t="s">
        <v>473</v>
      </c>
      <c r="P2043" s="2" t="s">
        <v>447</v>
      </c>
      <c r="Q2043" s="2" t="s">
        <v>99</v>
      </c>
      <c r="R2043" s="2" t="s">
        <v>100</v>
      </c>
      <c r="S2043" s="2" t="s">
        <v>5834</v>
      </c>
      <c r="T2043" s="2" t="s">
        <v>100</v>
      </c>
      <c r="U2043" s="2" t="s">
        <v>1508</v>
      </c>
      <c r="V2043" s="2" t="s">
        <v>645</v>
      </c>
      <c r="W2043" s="2" t="s">
        <v>976</v>
      </c>
      <c r="X2043" s="2" t="s">
        <v>100</v>
      </c>
      <c r="Y2043" s="2" t="s">
        <v>5831</v>
      </c>
      <c r="Z2043" s="4">
        <v>77</v>
      </c>
      <c r="AA2043" s="4">
        <f>=ROUNDDOWN(38.5,0)</f>
      </c>
      <c r="AB2043" s="5">
        <v>2</v>
      </c>
      <c r="AC2043" s="2" t="s">
        <v>100</v>
      </c>
      <c r="AD2043" s="4"/>
      <c r="AE2043" s="4"/>
      <c r="AF2043" s="6">
        <v>65</v>
      </c>
      <c r="AG2043" s="6"/>
      <c r="AH2043" s="7">
        <v>1</v>
      </c>
      <c r="AI2043" s="4"/>
      <c r="AJ2043" s="4">
        <f>=ROUNDDOWN({0},0)</f>
      </c>
      <c r="AK2043" s="5"/>
      <c r="AL2043" s="2" t="s">
        <v>100</v>
      </c>
      <c r="AM2043" s="4"/>
      <c r="AN2043" s="4"/>
      <c r="AO2043" s="7">
        <v>0</v>
      </c>
      <c r="AP2043" s="4"/>
      <c r="AQ2043" s="8"/>
      <c r="AR2043" s="4"/>
      <c r="AS2043" s="8"/>
      <c r="AT2043" s="7"/>
      <c r="AU2043" s="7"/>
      <c r="AV2043" s="4" t="s">
        <v>100</v>
      </c>
      <c r="AW2043" s="8" t="s">
        <v>100</v>
      </c>
      <c r="AX2043" s="4" t="s">
        <v>100</v>
      </c>
      <c r="AY2043" s="8" t="s">
        <v>100</v>
      </c>
      <c r="AZ2043" s="7" t="s">
        <v>100</v>
      </c>
      <c r="BA2043" s="7" t="s">
        <v>100</v>
      </c>
      <c r="BB2043" s="7"/>
      <c r="BC2043" s="4" t="s">
        <v>100</v>
      </c>
      <c r="BD2043" s="8" t="s">
        <v>100</v>
      </c>
      <c r="BE2043" s="4" t="s">
        <v>100</v>
      </c>
      <c r="BF2043" s="8" t="s">
        <v>100</v>
      </c>
      <c r="BG2043" s="7" t="s">
        <v>100</v>
      </c>
      <c r="BH2043" s="7" t="s">
        <v>100</v>
      </c>
      <c r="BI2043" s="7"/>
      <c r="BJ2043" s="4">
        <v>1</v>
      </c>
      <c r="BK2043" s="8">
        <v>36.29</v>
      </c>
      <c r="BL2043" s="2" t="s">
        <v>715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3088</v>
      </c>
      <c r="BV2043" s="2" t="s">
        <v>97</v>
      </c>
      <c r="BW2043" s="2" t="s">
        <v>100</v>
      </c>
      <c r="BX2043" s="2" t="s">
        <v>100</v>
      </c>
      <c r="BY2043" s="2" t="s">
        <v>112</v>
      </c>
      <c r="BZ2043" s="2" t="s">
        <v>100</v>
      </c>
    </row>
    <row r="2044">
      <c r="A2044" s="2" t="s">
        <v>5870</v>
      </c>
      <c r="B2044" s="2" t="s">
        <v>87</v>
      </c>
      <c r="C2044" s="2" t="s">
        <v>5759</v>
      </c>
      <c r="D2044" s="2" t="s">
        <v>3079</v>
      </c>
      <c r="E2044" s="2" t="s">
        <v>3176</v>
      </c>
      <c r="F2044" s="2" t="s">
        <v>4955</v>
      </c>
      <c r="G2044" s="2" t="s">
        <v>4955</v>
      </c>
      <c r="H2044" s="2" t="s">
        <v>4955</v>
      </c>
      <c r="I2044" s="2" t="s">
        <v>5867</v>
      </c>
      <c r="J2044" s="2" t="s">
        <v>795</v>
      </c>
      <c r="K2044" s="2" t="s">
        <v>521</v>
      </c>
      <c r="L2044" s="3">
        <v>36.57</v>
      </c>
      <c r="M2044" s="3">
        <v>38.4</v>
      </c>
      <c r="N2044" s="3">
        <v>79.99</v>
      </c>
      <c r="O2044" s="2" t="s">
        <v>473</v>
      </c>
      <c r="P2044" s="2" t="s">
        <v>447</v>
      </c>
      <c r="Q2044" s="2" t="s">
        <v>99</v>
      </c>
      <c r="R2044" s="2" t="s">
        <v>100</v>
      </c>
      <c r="S2044" s="2" t="s">
        <v>5834</v>
      </c>
      <c r="T2044" s="2" t="s">
        <v>100</v>
      </c>
      <c r="U2044" s="2" t="s">
        <v>1508</v>
      </c>
      <c r="V2044" s="2" t="s">
        <v>645</v>
      </c>
      <c r="W2044" s="2" t="s">
        <v>976</v>
      </c>
      <c r="X2044" s="2" t="s">
        <v>100</v>
      </c>
      <c r="Y2044" s="2" t="s">
        <v>5831</v>
      </c>
      <c r="Z2044" s="4">
        <v>110</v>
      </c>
      <c r="AA2044" s="4">
        <f>=ROUNDDOWN(55,0)</f>
      </c>
      <c r="AB2044" s="5">
        <v>2</v>
      </c>
      <c r="AC2044" s="2" t="s">
        <v>100</v>
      </c>
      <c r="AD2044" s="4"/>
      <c r="AE2044" s="4"/>
      <c r="AF2044" s="6">
        <v>65</v>
      </c>
      <c r="AG2044" s="6"/>
      <c r="AH2044" s="7">
        <v>1</v>
      </c>
      <c r="AI2044" s="4"/>
      <c r="AJ2044" s="4">
        <f>=ROUNDDOWN({0},0)</f>
      </c>
      <c r="AK2044" s="5"/>
      <c r="AL2044" s="2" t="s">
        <v>100</v>
      </c>
      <c r="AM2044" s="4"/>
      <c r="AN2044" s="4"/>
      <c r="AO2044" s="7">
        <v>0</v>
      </c>
      <c r="AP2044" s="4"/>
      <c r="AQ2044" s="8"/>
      <c r="AR2044" s="4"/>
      <c r="AS2044" s="8"/>
      <c r="AT2044" s="7"/>
      <c r="AU2044" s="7"/>
      <c r="AV2044" s="4" t="s">
        <v>100</v>
      </c>
      <c r="AW2044" s="8" t="s">
        <v>100</v>
      </c>
      <c r="AX2044" s="4" t="s">
        <v>100</v>
      </c>
      <c r="AY2044" s="8" t="s">
        <v>100</v>
      </c>
      <c r="AZ2044" s="7" t="s">
        <v>100</v>
      </c>
      <c r="BA2044" s="7" t="s">
        <v>100</v>
      </c>
      <c r="BB2044" s="7"/>
      <c r="BC2044" s="4" t="s">
        <v>100</v>
      </c>
      <c r="BD2044" s="8" t="s">
        <v>100</v>
      </c>
      <c r="BE2044" s="4" t="s">
        <v>100</v>
      </c>
      <c r="BF2044" s="8" t="s">
        <v>100</v>
      </c>
      <c r="BG2044" s="7" t="s">
        <v>100</v>
      </c>
      <c r="BH2044" s="7" t="s">
        <v>100</v>
      </c>
      <c r="BI2044" s="7"/>
      <c r="BJ2044" s="4">
        <v>1</v>
      </c>
      <c r="BK2044" s="8">
        <v>41.47</v>
      </c>
      <c r="BL2044" s="2" t="s">
        <v>5871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3088</v>
      </c>
      <c r="BV2044" s="2" t="s">
        <v>97</v>
      </c>
      <c r="BW2044" s="2" t="s">
        <v>100</v>
      </c>
      <c r="BX2044" s="2" t="s">
        <v>100</v>
      </c>
      <c r="BY2044" s="2" t="s">
        <v>112</v>
      </c>
      <c r="BZ2044" s="2" t="s">
        <v>100</v>
      </c>
    </row>
    <row r="2045">
      <c r="A2045" s="2" t="s">
        <v>5872</v>
      </c>
      <c r="B2045" s="2" t="s">
        <v>87</v>
      </c>
      <c r="C2045" s="2" t="s">
        <v>5873</v>
      </c>
      <c r="D2045" s="2" t="s">
        <v>89</v>
      </c>
      <c r="E2045" s="2" t="s">
        <v>2030</v>
      </c>
      <c r="F2045" s="2" t="s">
        <v>5874</v>
      </c>
      <c r="G2045" s="2" t="s">
        <v>5874</v>
      </c>
      <c r="H2045" s="2" t="s">
        <v>5874</v>
      </c>
      <c r="I2045" s="2" t="s">
        <v>5543</v>
      </c>
      <c r="J2045" s="2" t="s">
        <v>785</v>
      </c>
      <c r="K2045" s="2" t="s">
        <v>2860</v>
      </c>
      <c r="L2045" s="3">
        <v>102.14</v>
      </c>
      <c r="M2045" s="3">
        <v>107.25</v>
      </c>
      <c r="N2045" s="3">
        <v>299.99</v>
      </c>
      <c r="O2045" s="2" t="s">
        <v>97</v>
      </c>
      <c r="P2045" s="2" t="s">
        <v>1216</v>
      </c>
      <c r="Q2045" s="2" t="s">
        <v>99</v>
      </c>
      <c r="R2045" s="2" t="s">
        <v>100</v>
      </c>
      <c r="S2045" s="2" t="s">
        <v>5875</v>
      </c>
      <c r="T2045" s="2" t="s">
        <v>100</v>
      </c>
      <c r="U2045" s="2" t="s">
        <v>1508</v>
      </c>
      <c r="V2045" s="2" t="s">
        <v>1265</v>
      </c>
      <c r="W2045" s="2" t="s">
        <v>105</v>
      </c>
      <c r="X2045" s="2" t="s">
        <v>976</v>
      </c>
      <c r="Y2045" s="2" t="s">
        <v>100</v>
      </c>
      <c r="Z2045" s="4"/>
      <c r="AA2045" s="4">
        <f>=ROUNDDOWN({0},0)</f>
      </c>
      <c r="AB2045" s="5"/>
      <c r="AC2045" s="2" t="s">
        <v>2212</v>
      </c>
      <c r="AD2045" s="4">
        <v>130</v>
      </c>
      <c r="AE2045" s="4">
        <v>260</v>
      </c>
      <c r="AF2045" s="6">
        <v>69</v>
      </c>
      <c r="AG2045" s="6"/>
      <c r="AH2045" s="7">
        <v>0</v>
      </c>
      <c r="AI2045" s="4"/>
      <c r="AJ2045" s="4">
        <f>=ROUNDDOWN({0},0)</f>
      </c>
      <c r="AK2045" s="5"/>
      <c r="AL2045" s="2" t="s">
        <v>100</v>
      </c>
      <c r="AM2045" s="4"/>
      <c r="AN2045" s="4"/>
      <c r="AO2045" s="7">
        <v>0</v>
      </c>
      <c r="AP2045" s="4"/>
      <c r="AQ2045" s="8"/>
      <c r="AR2045" s="4"/>
      <c r="AS2045" s="8"/>
      <c r="AT2045" s="7"/>
      <c r="AU2045" s="7"/>
      <c r="AV2045" s="4" t="s">
        <v>100</v>
      </c>
      <c r="AW2045" s="8" t="s">
        <v>100</v>
      </c>
      <c r="AX2045" s="4" t="s">
        <v>100</v>
      </c>
      <c r="AY2045" s="8" t="s">
        <v>100</v>
      </c>
      <c r="AZ2045" s="7" t="s">
        <v>100</v>
      </c>
      <c r="BA2045" s="7" t="s">
        <v>100</v>
      </c>
      <c r="BB2045" s="7"/>
      <c r="BC2045" s="4" t="s">
        <v>100</v>
      </c>
      <c r="BD2045" s="8" t="s">
        <v>100</v>
      </c>
      <c r="BE2045" s="4" t="s">
        <v>100</v>
      </c>
      <c r="BF2045" s="8" t="s">
        <v>100</v>
      </c>
      <c r="BG2045" s="7" t="s">
        <v>100</v>
      </c>
      <c r="BH2045" s="7" t="s">
        <v>100</v>
      </c>
      <c r="BI2045" s="7"/>
      <c r="BJ2045" s="4"/>
      <c r="BK2045" s="8"/>
      <c r="BL2045" s="2" t="s">
        <v>100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5637</v>
      </c>
      <c r="BV2045" s="2" t="s">
        <v>97</v>
      </c>
      <c r="BW2045" s="2" t="s">
        <v>100</v>
      </c>
      <c r="BX2045" s="2" t="s">
        <v>100</v>
      </c>
      <c r="BY2045" s="2" t="s">
        <v>112</v>
      </c>
      <c r="BZ2045" s="2" t="s">
        <v>100</v>
      </c>
    </row>
    <row r="2046">
      <c r="A2046" s="2" t="s">
        <v>5876</v>
      </c>
      <c r="B2046" s="2" t="s">
        <v>87</v>
      </c>
      <c r="C2046" s="2" t="s">
        <v>5873</v>
      </c>
      <c r="D2046" s="2" t="s">
        <v>89</v>
      </c>
      <c r="E2046" s="2" t="s">
        <v>2030</v>
      </c>
      <c r="F2046" s="2" t="s">
        <v>5874</v>
      </c>
      <c r="G2046" s="2" t="s">
        <v>5874</v>
      </c>
      <c r="H2046" s="2" t="s">
        <v>5874</v>
      </c>
      <c r="I2046" s="2" t="s">
        <v>5543</v>
      </c>
      <c r="J2046" s="2" t="s">
        <v>795</v>
      </c>
      <c r="K2046" s="2" t="s">
        <v>2860</v>
      </c>
      <c r="L2046" s="3">
        <v>119.16</v>
      </c>
      <c r="M2046" s="3">
        <v>125.12</v>
      </c>
      <c r="N2046" s="3">
        <v>349.99</v>
      </c>
      <c r="O2046" s="2" t="s">
        <v>97</v>
      </c>
      <c r="P2046" s="2" t="s">
        <v>1216</v>
      </c>
      <c r="Q2046" s="2" t="s">
        <v>99</v>
      </c>
      <c r="R2046" s="2" t="s">
        <v>100</v>
      </c>
      <c r="S2046" s="2" t="s">
        <v>5875</v>
      </c>
      <c r="T2046" s="2" t="s">
        <v>100</v>
      </c>
      <c r="U2046" s="2" t="s">
        <v>1508</v>
      </c>
      <c r="V2046" s="2" t="s">
        <v>1265</v>
      </c>
      <c r="W2046" s="2" t="s">
        <v>105</v>
      </c>
      <c r="X2046" s="2" t="s">
        <v>976</v>
      </c>
      <c r="Y2046" s="2" t="s">
        <v>100</v>
      </c>
      <c r="Z2046" s="4"/>
      <c r="AA2046" s="4">
        <f>=ROUNDDOWN({0},0)</f>
      </c>
      <c r="AB2046" s="5"/>
      <c r="AC2046" s="2" t="s">
        <v>2212</v>
      </c>
      <c r="AD2046" s="4">
        <v>118</v>
      </c>
      <c r="AE2046" s="4">
        <v>238</v>
      </c>
      <c r="AF2046" s="6">
        <v>69</v>
      </c>
      <c r="AG2046" s="6"/>
      <c r="AH2046" s="7">
        <v>0</v>
      </c>
      <c r="AI2046" s="4"/>
      <c r="AJ2046" s="4">
        <f>=ROUNDDOWN({0},0)</f>
      </c>
      <c r="AK2046" s="5"/>
      <c r="AL2046" s="2" t="s">
        <v>100</v>
      </c>
      <c r="AM2046" s="4"/>
      <c r="AN2046" s="4"/>
      <c r="AO2046" s="7">
        <v>0</v>
      </c>
      <c r="AP2046" s="4"/>
      <c r="AQ2046" s="8"/>
      <c r="AR2046" s="4"/>
      <c r="AS2046" s="8"/>
      <c r="AT2046" s="7"/>
      <c r="AU2046" s="7"/>
      <c r="AV2046" s="4" t="s">
        <v>100</v>
      </c>
      <c r="AW2046" s="8" t="s">
        <v>100</v>
      </c>
      <c r="AX2046" s="4" t="s">
        <v>100</v>
      </c>
      <c r="AY2046" s="8" t="s">
        <v>100</v>
      </c>
      <c r="AZ2046" s="7" t="s">
        <v>100</v>
      </c>
      <c r="BA2046" s="7" t="s">
        <v>100</v>
      </c>
      <c r="BB2046" s="7"/>
      <c r="BC2046" s="4" t="s">
        <v>100</v>
      </c>
      <c r="BD2046" s="8" t="s">
        <v>100</v>
      </c>
      <c r="BE2046" s="4" t="s">
        <v>100</v>
      </c>
      <c r="BF2046" s="8" t="s">
        <v>100</v>
      </c>
      <c r="BG2046" s="7" t="s">
        <v>100</v>
      </c>
      <c r="BH2046" s="7" t="s">
        <v>100</v>
      </c>
      <c r="BI2046" s="7"/>
      <c r="BJ2046" s="4"/>
      <c r="BK2046" s="8"/>
      <c r="BL2046" s="2" t="s">
        <v>100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5637</v>
      </c>
      <c r="BV2046" s="2" t="s">
        <v>97</v>
      </c>
      <c r="BW2046" s="2" t="s">
        <v>100</v>
      </c>
      <c r="BX2046" s="2" t="s">
        <v>100</v>
      </c>
      <c r="BY2046" s="2" t="s">
        <v>112</v>
      </c>
      <c r="BZ2046" s="2" t="s">
        <v>100</v>
      </c>
    </row>
    <row r="2047">
      <c r="A2047" s="2" t="s">
        <v>5877</v>
      </c>
      <c r="B2047" s="2" t="s">
        <v>87</v>
      </c>
      <c r="C2047" s="2" t="s">
        <v>5873</v>
      </c>
      <c r="D2047" s="2" t="s">
        <v>89</v>
      </c>
      <c r="E2047" s="2" t="s">
        <v>2030</v>
      </c>
      <c r="F2047" s="2" t="s">
        <v>2894</v>
      </c>
      <c r="G2047" s="2" t="s">
        <v>2894</v>
      </c>
      <c r="H2047" s="2" t="s">
        <v>2894</v>
      </c>
      <c r="I2047" s="2" t="s">
        <v>5878</v>
      </c>
      <c r="J2047" s="2" t="s">
        <v>785</v>
      </c>
      <c r="K2047" s="2" t="s">
        <v>521</v>
      </c>
      <c r="L2047" s="3">
        <v>102.14</v>
      </c>
      <c r="M2047" s="3">
        <v>107.25</v>
      </c>
      <c r="N2047" s="3">
        <v>299.99</v>
      </c>
      <c r="O2047" s="2" t="s">
        <v>97</v>
      </c>
      <c r="P2047" s="2" t="s">
        <v>1216</v>
      </c>
      <c r="Q2047" s="2" t="s">
        <v>99</v>
      </c>
      <c r="R2047" s="2" t="s">
        <v>100</v>
      </c>
      <c r="S2047" s="2" t="s">
        <v>5879</v>
      </c>
      <c r="T2047" s="2" t="s">
        <v>359</v>
      </c>
      <c r="U2047" s="2" t="s">
        <v>1508</v>
      </c>
      <c r="V2047" s="2" t="s">
        <v>734</v>
      </c>
      <c r="W2047" s="2" t="s">
        <v>105</v>
      </c>
      <c r="X2047" s="2" t="s">
        <v>976</v>
      </c>
      <c r="Y2047" s="2" t="s">
        <v>100</v>
      </c>
      <c r="Z2047" s="4"/>
      <c r="AA2047" s="4">
        <f>=ROUNDDOWN({0},0)</f>
      </c>
      <c r="AB2047" s="5"/>
      <c r="AC2047" s="2" t="s">
        <v>5880</v>
      </c>
      <c r="AD2047" s="4">
        <v>130</v>
      </c>
      <c r="AE2047" s="4">
        <v>260</v>
      </c>
      <c r="AF2047" s="6">
        <v>69</v>
      </c>
      <c r="AG2047" s="6"/>
      <c r="AH2047" s="7">
        <v>0</v>
      </c>
      <c r="AI2047" s="4"/>
      <c r="AJ2047" s="4">
        <f>=ROUNDDOWN({0},0)</f>
      </c>
      <c r="AK2047" s="5"/>
      <c r="AL2047" s="2" t="s">
        <v>100</v>
      </c>
      <c r="AM2047" s="4"/>
      <c r="AN2047" s="4"/>
      <c r="AO2047" s="7">
        <v>0</v>
      </c>
      <c r="AP2047" s="4"/>
      <c r="AQ2047" s="8"/>
      <c r="AR2047" s="4"/>
      <c r="AS2047" s="8"/>
      <c r="AT2047" s="7"/>
      <c r="AU2047" s="7"/>
      <c r="AV2047" s="4" t="s">
        <v>100</v>
      </c>
      <c r="AW2047" s="8" t="s">
        <v>100</v>
      </c>
      <c r="AX2047" s="4" t="s">
        <v>100</v>
      </c>
      <c r="AY2047" s="8" t="s">
        <v>100</v>
      </c>
      <c r="AZ2047" s="7" t="s">
        <v>100</v>
      </c>
      <c r="BA2047" s="7" t="s">
        <v>100</v>
      </c>
      <c r="BB2047" s="7"/>
      <c r="BC2047" s="4" t="s">
        <v>100</v>
      </c>
      <c r="BD2047" s="8" t="s">
        <v>100</v>
      </c>
      <c r="BE2047" s="4" t="s">
        <v>100</v>
      </c>
      <c r="BF2047" s="8" t="s">
        <v>100</v>
      </c>
      <c r="BG2047" s="7" t="s">
        <v>100</v>
      </c>
      <c r="BH2047" s="7" t="s">
        <v>100</v>
      </c>
      <c r="BI2047" s="7"/>
      <c r="BJ2047" s="4"/>
      <c r="BK2047" s="8"/>
      <c r="BL2047" s="2" t="s">
        <v>100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5637</v>
      </c>
      <c r="BV2047" s="2" t="s">
        <v>97</v>
      </c>
      <c r="BW2047" s="2" t="s">
        <v>100</v>
      </c>
      <c r="BX2047" s="2" t="s">
        <v>100</v>
      </c>
      <c r="BY2047" s="2" t="s">
        <v>112</v>
      </c>
      <c r="BZ2047" s="2" t="s">
        <v>100</v>
      </c>
    </row>
    <row r="2048">
      <c r="A2048" s="2" t="s">
        <v>5881</v>
      </c>
      <c r="B2048" s="2" t="s">
        <v>87</v>
      </c>
      <c r="C2048" s="2" t="s">
        <v>5873</v>
      </c>
      <c r="D2048" s="2" t="s">
        <v>89</v>
      </c>
      <c r="E2048" s="2" t="s">
        <v>2030</v>
      </c>
      <c r="F2048" s="2" t="s">
        <v>2894</v>
      </c>
      <c r="G2048" s="2" t="s">
        <v>2894</v>
      </c>
      <c r="H2048" s="2" t="s">
        <v>2894</v>
      </c>
      <c r="I2048" s="2" t="s">
        <v>5878</v>
      </c>
      <c r="J2048" s="2" t="s">
        <v>795</v>
      </c>
      <c r="K2048" s="2" t="s">
        <v>521</v>
      </c>
      <c r="L2048" s="3">
        <v>119.16</v>
      </c>
      <c r="M2048" s="3">
        <v>125.12</v>
      </c>
      <c r="N2048" s="3">
        <v>349.99</v>
      </c>
      <c r="O2048" s="2" t="s">
        <v>97</v>
      </c>
      <c r="P2048" s="2" t="s">
        <v>1216</v>
      </c>
      <c r="Q2048" s="2" t="s">
        <v>99</v>
      </c>
      <c r="R2048" s="2" t="s">
        <v>100</v>
      </c>
      <c r="S2048" s="2" t="s">
        <v>5879</v>
      </c>
      <c r="T2048" s="2" t="s">
        <v>359</v>
      </c>
      <c r="U2048" s="2" t="s">
        <v>1508</v>
      </c>
      <c r="V2048" s="2" t="s">
        <v>734</v>
      </c>
      <c r="W2048" s="2" t="s">
        <v>104</v>
      </c>
      <c r="X2048" s="2" t="s">
        <v>976</v>
      </c>
      <c r="Y2048" s="2" t="s">
        <v>100</v>
      </c>
      <c r="Z2048" s="4"/>
      <c r="AA2048" s="4">
        <f>=ROUNDDOWN({0},0)</f>
      </c>
      <c r="AB2048" s="5"/>
      <c r="AC2048" s="2" t="s">
        <v>5880</v>
      </c>
      <c r="AD2048" s="4">
        <v>120</v>
      </c>
      <c r="AE2048" s="4">
        <v>240</v>
      </c>
      <c r="AF2048" s="6">
        <v>69</v>
      </c>
      <c r="AG2048" s="6"/>
      <c r="AH2048" s="7">
        <v>0</v>
      </c>
      <c r="AI2048" s="4"/>
      <c r="AJ2048" s="4">
        <f>=ROUNDDOWN({0},0)</f>
      </c>
      <c r="AK2048" s="5"/>
      <c r="AL2048" s="2" t="s">
        <v>100</v>
      </c>
      <c r="AM2048" s="4"/>
      <c r="AN2048" s="4"/>
      <c r="AO2048" s="7">
        <v>0</v>
      </c>
      <c r="AP2048" s="4"/>
      <c r="AQ2048" s="8"/>
      <c r="AR2048" s="4"/>
      <c r="AS2048" s="8"/>
      <c r="AT2048" s="7"/>
      <c r="AU2048" s="7"/>
      <c r="AV2048" s="4" t="s">
        <v>100</v>
      </c>
      <c r="AW2048" s="8" t="s">
        <v>100</v>
      </c>
      <c r="AX2048" s="4" t="s">
        <v>100</v>
      </c>
      <c r="AY2048" s="8" t="s">
        <v>100</v>
      </c>
      <c r="AZ2048" s="7" t="s">
        <v>100</v>
      </c>
      <c r="BA2048" s="7" t="s">
        <v>100</v>
      </c>
      <c r="BB2048" s="7"/>
      <c r="BC2048" s="4" t="s">
        <v>100</v>
      </c>
      <c r="BD2048" s="8" t="s">
        <v>100</v>
      </c>
      <c r="BE2048" s="4" t="s">
        <v>100</v>
      </c>
      <c r="BF2048" s="8" t="s">
        <v>100</v>
      </c>
      <c r="BG2048" s="7" t="s">
        <v>100</v>
      </c>
      <c r="BH2048" s="7" t="s">
        <v>100</v>
      </c>
      <c r="BI2048" s="7"/>
      <c r="BJ2048" s="4"/>
      <c r="BK2048" s="8"/>
      <c r="BL2048" s="2" t="s">
        <v>100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5637</v>
      </c>
      <c r="BV2048" s="2" t="s">
        <v>97</v>
      </c>
      <c r="BW2048" s="2" t="s">
        <v>100</v>
      </c>
      <c r="BX2048" s="2" t="s">
        <v>100</v>
      </c>
      <c r="BY2048" s="2" t="s">
        <v>112</v>
      </c>
      <c r="BZ2048" s="2" t="s">
        <v>100</v>
      </c>
    </row>
    <row r="2049">
      <c r="A2049" s="2" t="s">
        <v>5882</v>
      </c>
      <c r="B2049" s="2" t="s">
        <v>87</v>
      </c>
      <c r="C2049" s="2" t="s">
        <v>5883</v>
      </c>
      <c r="D2049" s="2" t="s">
        <v>89</v>
      </c>
      <c r="E2049" s="2" t="s">
        <v>90</v>
      </c>
      <c r="F2049" s="2" t="s">
        <v>5884</v>
      </c>
      <c r="G2049" s="2" t="s">
        <v>5885</v>
      </c>
      <c r="H2049" s="2" t="s">
        <v>4686</v>
      </c>
      <c r="I2049" s="2" t="s">
        <v>5886</v>
      </c>
      <c r="J2049" s="2" t="s">
        <v>785</v>
      </c>
      <c r="K2049" s="2" t="s">
        <v>521</v>
      </c>
      <c r="L2049" s="3">
        <v>72.33</v>
      </c>
      <c r="M2049" s="3">
        <v>75.94</v>
      </c>
      <c r="N2049" s="3">
        <v>159.99</v>
      </c>
      <c r="O2049" s="2" t="s">
        <v>97</v>
      </c>
      <c r="P2049" s="2" t="s">
        <v>98</v>
      </c>
      <c r="Q2049" s="2" t="s">
        <v>99</v>
      </c>
      <c r="R2049" s="2" t="s">
        <v>100</v>
      </c>
      <c r="S2049" s="2" t="s">
        <v>5887</v>
      </c>
      <c r="T2049" s="2" t="s">
        <v>359</v>
      </c>
      <c r="U2049" s="2" t="s">
        <v>644</v>
      </c>
      <c r="V2049" s="2" t="s">
        <v>645</v>
      </c>
      <c r="W2049" s="2" t="s">
        <v>976</v>
      </c>
      <c r="X2049" s="2" t="s">
        <v>3803</v>
      </c>
      <c r="Y2049" s="2" t="s">
        <v>4436</v>
      </c>
      <c r="Z2049" s="4">
        <v>165</v>
      </c>
      <c r="AA2049" s="4">
        <f>=ROUNDDOWN(13.75,0)</f>
      </c>
      <c r="AB2049" s="5">
        <v>12</v>
      </c>
      <c r="AC2049" s="2" t="s">
        <v>860</v>
      </c>
      <c r="AD2049" s="4">
        <v>460</v>
      </c>
      <c r="AE2049" s="4">
        <v>460</v>
      </c>
      <c r="AF2049" s="6">
        <v>67</v>
      </c>
      <c r="AG2049" s="6"/>
      <c r="AH2049" s="7">
        <v>1</v>
      </c>
      <c r="AI2049" s="4"/>
      <c r="AJ2049" s="4">
        <f>=ROUNDDOWN({0},0)</f>
      </c>
      <c r="AK2049" s="5"/>
      <c r="AL2049" s="2" t="s">
        <v>100</v>
      </c>
      <c r="AM2049" s="4"/>
      <c r="AN2049" s="4"/>
      <c r="AO2049" s="7">
        <v>0</v>
      </c>
      <c r="AP2049" s="4"/>
      <c r="AQ2049" s="8"/>
      <c r="AR2049" s="4"/>
      <c r="AS2049" s="8"/>
      <c r="AT2049" s="7"/>
      <c r="AU2049" s="7"/>
      <c r="AV2049" s="4" t="s">
        <v>100</v>
      </c>
      <c r="AW2049" s="8" t="s">
        <v>100</v>
      </c>
      <c r="AX2049" s="4" t="s">
        <v>100</v>
      </c>
      <c r="AY2049" s="8" t="s">
        <v>100</v>
      </c>
      <c r="AZ2049" s="7" t="s">
        <v>100</v>
      </c>
      <c r="BA2049" s="7" t="s">
        <v>100</v>
      </c>
      <c r="BB2049" s="7"/>
      <c r="BC2049" s="4" t="s">
        <v>100</v>
      </c>
      <c r="BD2049" s="8" t="s">
        <v>100</v>
      </c>
      <c r="BE2049" s="4" t="s">
        <v>100</v>
      </c>
      <c r="BF2049" s="8" t="s">
        <v>100</v>
      </c>
      <c r="BG2049" s="7" t="s">
        <v>100</v>
      </c>
      <c r="BH2049" s="7" t="s">
        <v>100</v>
      </c>
      <c r="BI2049" s="7"/>
      <c r="BJ2049" s="4">
        <v>7</v>
      </c>
      <c r="BK2049" s="8">
        <v>526.1</v>
      </c>
      <c r="BL2049" s="2" t="s">
        <v>5888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109</v>
      </c>
      <c r="BV2049" s="2" t="s">
        <v>97</v>
      </c>
      <c r="BW2049" s="2" t="s">
        <v>270</v>
      </c>
      <c r="BX2049" s="2" t="s">
        <v>5889</v>
      </c>
      <c r="BY2049" s="2" t="s">
        <v>112</v>
      </c>
      <c r="BZ2049" s="2" t="s">
        <v>100</v>
      </c>
    </row>
    <row r="2050">
      <c r="A2050" s="2" t="s">
        <v>5890</v>
      </c>
      <c r="B2050" s="2" t="s">
        <v>87</v>
      </c>
      <c r="C2050" s="2" t="s">
        <v>5883</v>
      </c>
      <c r="D2050" s="2" t="s">
        <v>89</v>
      </c>
      <c r="E2050" s="2" t="s">
        <v>90</v>
      </c>
      <c r="F2050" s="2" t="s">
        <v>5884</v>
      </c>
      <c r="G2050" s="2" t="s">
        <v>5885</v>
      </c>
      <c r="H2050" s="2" t="s">
        <v>4686</v>
      </c>
      <c r="I2050" s="2" t="s">
        <v>5886</v>
      </c>
      <c r="J2050" s="2" t="s">
        <v>795</v>
      </c>
      <c r="K2050" s="2" t="s">
        <v>521</v>
      </c>
      <c r="L2050" s="3">
        <v>82.67</v>
      </c>
      <c r="M2050" s="3">
        <v>86.8</v>
      </c>
      <c r="N2050" s="3">
        <v>179.99</v>
      </c>
      <c r="O2050" s="2" t="s">
        <v>97</v>
      </c>
      <c r="P2050" s="2" t="s">
        <v>98</v>
      </c>
      <c r="Q2050" s="2" t="s">
        <v>99</v>
      </c>
      <c r="R2050" s="2" t="s">
        <v>100</v>
      </c>
      <c r="S2050" s="2" t="s">
        <v>5887</v>
      </c>
      <c r="T2050" s="2" t="s">
        <v>359</v>
      </c>
      <c r="U2050" s="2" t="s">
        <v>644</v>
      </c>
      <c r="V2050" s="2" t="s">
        <v>645</v>
      </c>
      <c r="W2050" s="2" t="s">
        <v>976</v>
      </c>
      <c r="X2050" s="2" t="s">
        <v>3803</v>
      </c>
      <c r="Y2050" s="2" t="s">
        <v>4436</v>
      </c>
      <c r="Z2050" s="4">
        <v>323</v>
      </c>
      <c r="AA2050" s="4">
        <f>=ROUNDDOWN(19,0)</f>
      </c>
      <c r="AB2050" s="5">
        <v>17</v>
      </c>
      <c r="AC2050" s="2" t="s">
        <v>860</v>
      </c>
      <c r="AD2050" s="4">
        <v>540</v>
      </c>
      <c r="AE2050" s="4">
        <v>540</v>
      </c>
      <c r="AF2050" s="6">
        <v>67</v>
      </c>
      <c r="AG2050" s="6"/>
      <c r="AH2050" s="7">
        <v>1</v>
      </c>
      <c r="AI2050" s="4"/>
      <c r="AJ2050" s="4">
        <f>=ROUNDDOWN({0},0)</f>
      </c>
      <c r="AK2050" s="5"/>
      <c r="AL2050" s="2" t="s">
        <v>100</v>
      </c>
      <c r="AM2050" s="4"/>
      <c r="AN2050" s="4"/>
      <c r="AO2050" s="7">
        <v>0</v>
      </c>
      <c r="AP2050" s="4"/>
      <c r="AQ2050" s="8"/>
      <c r="AR2050" s="4"/>
      <c r="AS2050" s="8"/>
      <c r="AT2050" s="7"/>
      <c r="AU2050" s="7"/>
      <c r="AV2050" s="4" t="s">
        <v>100</v>
      </c>
      <c r="AW2050" s="8" t="s">
        <v>100</v>
      </c>
      <c r="AX2050" s="4" t="s">
        <v>100</v>
      </c>
      <c r="AY2050" s="8" t="s">
        <v>100</v>
      </c>
      <c r="AZ2050" s="7" t="s">
        <v>100</v>
      </c>
      <c r="BA2050" s="7" t="s">
        <v>100</v>
      </c>
      <c r="BB2050" s="7"/>
      <c r="BC2050" s="4" t="s">
        <v>100</v>
      </c>
      <c r="BD2050" s="8" t="s">
        <v>100</v>
      </c>
      <c r="BE2050" s="4" t="s">
        <v>100</v>
      </c>
      <c r="BF2050" s="8" t="s">
        <v>100</v>
      </c>
      <c r="BG2050" s="7" t="s">
        <v>100</v>
      </c>
      <c r="BH2050" s="7" t="s">
        <v>100</v>
      </c>
      <c r="BI2050" s="7"/>
      <c r="BJ2050" s="4">
        <v>20</v>
      </c>
      <c r="BK2050" s="8">
        <v>1765.87</v>
      </c>
      <c r="BL2050" s="2" t="s">
        <v>5891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109</v>
      </c>
      <c r="BV2050" s="2" t="s">
        <v>97</v>
      </c>
      <c r="BW2050" s="2" t="s">
        <v>270</v>
      </c>
      <c r="BX2050" s="2" t="s">
        <v>2005</v>
      </c>
      <c r="BY2050" s="2" t="s">
        <v>112</v>
      </c>
      <c r="BZ2050" s="2" t="s">
        <v>100</v>
      </c>
    </row>
    <row r="2051">
      <c r="A2051" s="2" t="s">
        <v>5892</v>
      </c>
      <c r="B2051" s="2" t="s">
        <v>87</v>
      </c>
      <c r="C2051" s="2" t="s">
        <v>5883</v>
      </c>
      <c r="D2051" s="2" t="s">
        <v>89</v>
      </c>
      <c r="E2051" s="2" t="s">
        <v>2030</v>
      </c>
      <c r="F2051" s="2" t="s">
        <v>5893</v>
      </c>
      <c r="G2051" s="2" t="s">
        <v>5894</v>
      </c>
      <c r="H2051" s="2" t="s">
        <v>1326</v>
      </c>
      <c r="I2051" s="2" t="s">
        <v>5895</v>
      </c>
      <c r="J2051" s="2" t="s">
        <v>785</v>
      </c>
      <c r="K2051" s="2" t="s">
        <v>175</v>
      </c>
      <c r="L2051" s="3">
        <v>80.95</v>
      </c>
      <c r="M2051" s="3">
        <v>85</v>
      </c>
      <c r="N2051" s="3">
        <v>169.99</v>
      </c>
      <c r="O2051" s="2" t="s">
        <v>97</v>
      </c>
      <c r="P2051" s="2" t="s">
        <v>4334</v>
      </c>
      <c r="Q2051" s="2" t="s">
        <v>99</v>
      </c>
      <c r="R2051" s="2" t="s">
        <v>100</v>
      </c>
      <c r="S2051" s="2" t="s">
        <v>5896</v>
      </c>
      <c r="T2051" s="2" t="s">
        <v>100</v>
      </c>
      <c r="U2051" s="2" t="s">
        <v>1459</v>
      </c>
      <c r="V2051" s="2" t="s">
        <v>645</v>
      </c>
      <c r="W2051" s="2" t="s">
        <v>976</v>
      </c>
      <c r="X2051" s="2" t="s">
        <v>3803</v>
      </c>
      <c r="Y2051" s="2" t="s">
        <v>5897</v>
      </c>
      <c r="Z2051" s="4">
        <v>235</v>
      </c>
      <c r="AA2051" s="4">
        <f>=ROUNDDOWN(23.5,0)</f>
      </c>
      <c r="AB2051" s="5">
        <v>10</v>
      </c>
      <c r="AC2051" s="2" t="s">
        <v>100</v>
      </c>
      <c r="AD2051" s="4"/>
      <c r="AE2051" s="4"/>
      <c r="AF2051" s="6">
        <v>65</v>
      </c>
      <c r="AG2051" s="6"/>
      <c r="AH2051" s="7">
        <v>1</v>
      </c>
      <c r="AI2051" s="4"/>
      <c r="AJ2051" s="4">
        <f>=ROUNDDOWN({0},0)</f>
      </c>
      <c r="AK2051" s="5"/>
      <c r="AL2051" s="2" t="s">
        <v>100</v>
      </c>
      <c r="AM2051" s="4"/>
      <c r="AN2051" s="4"/>
      <c r="AO2051" s="7">
        <v>0</v>
      </c>
      <c r="AP2051" s="4"/>
      <c r="AQ2051" s="8"/>
      <c r="AR2051" s="4"/>
      <c r="AS2051" s="8"/>
      <c r="AT2051" s="7"/>
      <c r="AU2051" s="7"/>
      <c r="AV2051" s="4" t="s">
        <v>100</v>
      </c>
      <c r="AW2051" s="8" t="s">
        <v>100</v>
      </c>
      <c r="AX2051" s="4" t="s">
        <v>100</v>
      </c>
      <c r="AY2051" s="8" t="s">
        <v>100</v>
      </c>
      <c r="AZ2051" s="7" t="s">
        <v>100</v>
      </c>
      <c r="BA2051" s="7" t="s">
        <v>100</v>
      </c>
      <c r="BB2051" s="7"/>
      <c r="BC2051" s="4" t="s">
        <v>100</v>
      </c>
      <c r="BD2051" s="8" t="s">
        <v>100</v>
      </c>
      <c r="BE2051" s="4" t="s">
        <v>100</v>
      </c>
      <c r="BF2051" s="8" t="s">
        <v>100</v>
      </c>
      <c r="BG2051" s="7" t="s">
        <v>100</v>
      </c>
      <c r="BH2051" s="7" t="s">
        <v>100</v>
      </c>
      <c r="BI2051" s="7"/>
      <c r="BJ2051" s="4">
        <v>8</v>
      </c>
      <c r="BK2051" s="8">
        <v>584.8</v>
      </c>
      <c r="BL2051" s="2" t="s">
        <v>3642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109</v>
      </c>
      <c r="BV2051" s="2" t="s">
        <v>97</v>
      </c>
      <c r="BW2051" s="2" t="s">
        <v>270</v>
      </c>
      <c r="BX2051" s="2" t="s">
        <v>5898</v>
      </c>
      <c r="BY2051" s="2" t="s">
        <v>112</v>
      </c>
      <c r="BZ2051" s="2" t="s">
        <v>100</v>
      </c>
    </row>
    <row r="2052">
      <c r="A2052" s="2" t="s">
        <v>5899</v>
      </c>
      <c r="B2052" s="2" t="s">
        <v>87</v>
      </c>
      <c r="C2052" s="2" t="s">
        <v>5883</v>
      </c>
      <c r="D2052" s="2" t="s">
        <v>89</v>
      </c>
      <c r="E2052" s="2" t="s">
        <v>2030</v>
      </c>
      <c r="F2052" s="2" t="s">
        <v>5893</v>
      </c>
      <c r="G2052" s="2" t="s">
        <v>5894</v>
      </c>
      <c r="H2052" s="2" t="s">
        <v>1326</v>
      </c>
      <c r="I2052" s="2" t="s">
        <v>5895</v>
      </c>
      <c r="J2052" s="2" t="s">
        <v>795</v>
      </c>
      <c r="K2052" s="2" t="s">
        <v>175</v>
      </c>
      <c r="L2052" s="3">
        <v>90.47</v>
      </c>
      <c r="M2052" s="3">
        <v>94.99</v>
      </c>
      <c r="N2052" s="3">
        <v>189.99</v>
      </c>
      <c r="O2052" s="2" t="s">
        <v>97</v>
      </c>
      <c r="P2052" s="2" t="s">
        <v>4334</v>
      </c>
      <c r="Q2052" s="2" t="s">
        <v>99</v>
      </c>
      <c r="R2052" s="2" t="s">
        <v>100</v>
      </c>
      <c r="S2052" s="2" t="s">
        <v>5896</v>
      </c>
      <c r="T2052" s="2" t="s">
        <v>100</v>
      </c>
      <c r="U2052" s="2" t="s">
        <v>1459</v>
      </c>
      <c r="V2052" s="2" t="s">
        <v>645</v>
      </c>
      <c r="W2052" s="2" t="s">
        <v>976</v>
      </c>
      <c r="X2052" s="2" t="s">
        <v>3803</v>
      </c>
      <c r="Y2052" s="2" t="s">
        <v>5897</v>
      </c>
      <c r="Z2052" s="4">
        <v>191</v>
      </c>
      <c r="AA2052" s="4">
        <f>=ROUNDDOWN(28.0882352941176,0)</f>
      </c>
      <c r="AB2052" s="5">
        <v>6.8</v>
      </c>
      <c r="AC2052" s="2" t="s">
        <v>100</v>
      </c>
      <c r="AD2052" s="4"/>
      <c r="AE2052" s="4"/>
      <c r="AF2052" s="6">
        <v>65</v>
      </c>
      <c r="AG2052" s="6"/>
      <c r="AH2052" s="7">
        <v>1</v>
      </c>
      <c r="AI2052" s="4"/>
      <c r="AJ2052" s="4">
        <f>=ROUNDDOWN({0},0)</f>
      </c>
      <c r="AK2052" s="5"/>
      <c r="AL2052" s="2" t="s">
        <v>100</v>
      </c>
      <c r="AM2052" s="4"/>
      <c r="AN2052" s="4"/>
      <c r="AO2052" s="7">
        <v>0</v>
      </c>
      <c r="AP2052" s="4"/>
      <c r="AQ2052" s="8"/>
      <c r="AR2052" s="4"/>
      <c r="AS2052" s="8"/>
      <c r="AT2052" s="7"/>
      <c r="AU2052" s="7"/>
      <c r="AV2052" s="4" t="s">
        <v>100</v>
      </c>
      <c r="AW2052" s="8" t="s">
        <v>100</v>
      </c>
      <c r="AX2052" s="4" t="s">
        <v>100</v>
      </c>
      <c r="AY2052" s="8" t="s">
        <v>100</v>
      </c>
      <c r="AZ2052" s="7" t="s">
        <v>100</v>
      </c>
      <c r="BA2052" s="7" t="s">
        <v>100</v>
      </c>
      <c r="BB2052" s="7"/>
      <c r="BC2052" s="4" t="s">
        <v>100</v>
      </c>
      <c r="BD2052" s="8" t="s">
        <v>100</v>
      </c>
      <c r="BE2052" s="4" t="s">
        <v>100</v>
      </c>
      <c r="BF2052" s="8" t="s">
        <v>100</v>
      </c>
      <c r="BG2052" s="7" t="s">
        <v>100</v>
      </c>
      <c r="BH2052" s="7" t="s">
        <v>100</v>
      </c>
      <c r="BI2052" s="7"/>
      <c r="BJ2052" s="4">
        <v>10</v>
      </c>
      <c r="BK2052" s="8">
        <v>931.85</v>
      </c>
      <c r="BL2052" s="2" t="s">
        <v>5900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109</v>
      </c>
      <c r="BV2052" s="2" t="s">
        <v>97</v>
      </c>
      <c r="BW2052" s="2" t="s">
        <v>270</v>
      </c>
      <c r="BX2052" s="2" t="s">
        <v>509</v>
      </c>
      <c r="BY2052" s="2" t="s">
        <v>112</v>
      </c>
      <c r="BZ2052" s="2" t="s">
        <v>100</v>
      </c>
    </row>
    <row r="2053">
      <c r="A2053" s="2" t="s">
        <v>5901</v>
      </c>
      <c r="B2053" s="2" t="s">
        <v>87</v>
      </c>
      <c r="C2053" s="2" t="s">
        <v>5883</v>
      </c>
      <c r="D2053" s="2" t="s">
        <v>3079</v>
      </c>
      <c r="E2053" s="2" t="s">
        <v>3176</v>
      </c>
      <c r="F2053" s="2" t="s">
        <v>5884</v>
      </c>
      <c r="G2053" s="2" t="s">
        <v>5885</v>
      </c>
      <c r="H2053" s="2" t="s">
        <v>4686</v>
      </c>
      <c r="I2053" s="2" t="s">
        <v>5902</v>
      </c>
      <c r="J2053" s="2" t="s">
        <v>785</v>
      </c>
      <c r="K2053" s="2" t="s">
        <v>521</v>
      </c>
      <c r="L2053" s="3">
        <v>55.78</v>
      </c>
      <c r="M2053" s="3">
        <v>58.57</v>
      </c>
      <c r="N2053" s="3">
        <v>129.99</v>
      </c>
      <c r="O2053" s="2" t="s">
        <v>97</v>
      </c>
      <c r="P2053" s="2" t="s">
        <v>98</v>
      </c>
      <c r="Q2053" s="2" t="s">
        <v>99</v>
      </c>
      <c r="R2053" s="2" t="s">
        <v>100</v>
      </c>
      <c r="S2053" s="2" t="s">
        <v>5887</v>
      </c>
      <c r="T2053" s="2" t="s">
        <v>359</v>
      </c>
      <c r="U2053" s="2" t="s">
        <v>1508</v>
      </c>
      <c r="V2053" s="2" t="s">
        <v>645</v>
      </c>
      <c r="W2053" s="2" t="s">
        <v>976</v>
      </c>
      <c r="X2053" s="2" t="s">
        <v>5903</v>
      </c>
      <c r="Y2053" s="2" t="s">
        <v>4436</v>
      </c>
      <c r="Z2053" s="4">
        <v>249</v>
      </c>
      <c r="AA2053" s="4">
        <f>=ROUNDDOWN(49.8,0)</f>
      </c>
      <c r="AB2053" s="5">
        <v>5</v>
      </c>
      <c r="AC2053" s="2" t="s">
        <v>100</v>
      </c>
      <c r="AD2053" s="4"/>
      <c r="AE2053" s="4"/>
      <c r="AF2053" s="6">
        <v>67</v>
      </c>
      <c r="AG2053" s="6"/>
      <c r="AH2053" s="7">
        <v>1</v>
      </c>
      <c r="AI2053" s="4"/>
      <c r="AJ2053" s="4">
        <f>=ROUNDDOWN({0},0)</f>
      </c>
      <c r="AK2053" s="5"/>
      <c r="AL2053" s="2" t="s">
        <v>100</v>
      </c>
      <c r="AM2053" s="4"/>
      <c r="AN2053" s="4"/>
      <c r="AO2053" s="7">
        <v>0</v>
      </c>
      <c r="AP2053" s="4"/>
      <c r="AQ2053" s="8"/>
      <c r="AR2053" s="4"/>
      <c r="AS2053" s="8"/>
      <c r="AT2053" s="7"/>
      <c r="AU2053" s="7"/>
      <c r="AV2053" s="4" t="s">
        <v>100</v>
      </c>
      <c r="AW2053" s="8" t="s">
        <v>100</v>
      </c>
      <c r="AX2053" s="4" t="s">
        <v>100</v>
      </c>
      <c r="AY2053" s="8" t="s">
        <v>100</v>
      </c>
      <c r="AZ2053" s="7" t="s">
        <v>100</v>
      </c>
      <c r="BA2053" s="7" t="s">
        <v>100</v>
      </c>
      <c r="BB2053" s="7"/>
      <c r="BC2053" s="4" t="s">
        <v>100</v>
      </c>
      <c r="BD2053" s="8" t="s">
        <v>100</v>
      </c>
      <c r="BE2053" s="4" t="s">
        <v>100</v>
      </c>
      <c r="BF2053" s="8" t="s">
        <v>100</v>
      </c>
      <c r="BG2053" s="7" t="s">
        <v>100</v>
      </c>
      <c r="BH2053" s="7" t="s">
        <v>100</v>
      </c>
      <c r="BI2053" s="7"/>
      <c r="BJ2053" s="4">
        <v>3</v>
      </c>
      <c r="BK2053" s="8">
        <v>165.92</v>
      </c>
      <c r="BL2053" s="2" t="s">
        <v>534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109</v>
      </c>
      <c r="BV2053" s="2" t="s">
        <v>97</v>
      </c>
      <c r="BW2053" s="2" t="s">
        <v>270</v>
      </c>
      <c r="BX2053" s="2" t="s">
        <v>2005</v>
      </c>
      <c r="BY2053" s="2" t="s">
        <v>112</v>
      </c>
      <c r="BZ2053" s="2" t="s">
        <v>100</v>
      </c>
    </row>
    <row r="2054">
      <c r="A2054" s="2" t="s">
        <v>5904</v>
      </c>
      <c r="B2054" s="2" t="s">
        <v>87</v>
      </c>
      <c r="C2054" s="2" t="s">
        <v>5883</v>
      </c>
      <c r="D2054" s="2" t="s">
        <v>3079</v>
      </c>
      <c r="E2054" s="2" t="s">
        <v>3176</v>
      </c>
      <c r="F2054" s="2" t="s">
        <v>5884</v>
      </c>
      <c r="G2054" s="2" t="s">
        <v>5885</v>
      </c>
      <c r="H2054" s="2" t="s">
        <v>4686</v>
      </c>
      <c r="I2054" s="2" t="s">
        <v>5902</v>
      </c>
      <c r="J2054" s="2" t="s">
        <v>795</v>
      </c>
      <c r="K2054" s="2" t="s">
        <v>521</v>
      </c>
      <c r="L2054" s="3">
        <v>60.85</v>
      </c>
      <c r="M2054" s="3">
        <v>63.9</v>
      </c>
      <c r="N2054" s="3">
        <v>139.99</v>
      </c>
      <c r="O2054" s="2" t="s">
        <v>97</v>
      </c>
      <c r="P2054" s="2" t="s">
        <v>98</v>
      </c>
      <c r="Q2054" s="2" t="s">
        <v>99</v>
      </c>
      <c r="R2054" s="2" t="s">
        <v>100</v>
      </c>
      <c r="S2054" s="2" t="s">
        <v>5887</v>
      </c>
      <c r="T2054" s="2" t="s">
        <v>359</v>
      </c>
      <c r="U2054" s="2" t="s">
        <v>1508</v>
      </c>
      <c r="V2054" s="2" t="s">
        <v>645</v>
      </c>
      <c r="W2054" s="2" t="s">
        <v>976</v>
      </c>
      <c r="X2054" s="2" t="s">
        <v>5903</v>
      </c>
      <c r="Y2054" s="2" t="s">
        <v>4436</v>
      </c>
      <c r="Z2054" s="4">
        <v>501</v>
      </c>
      <c r="AA2054" s="4">
        <f>=ROUNDDOWN(55.6666666666667,0)</f>
      </c>
      <c r="AB2054" s="5">
        <v>9</v>
      </c>
      <c r="AC2054" s="2" t="s">
        <v>100</v>
      </c>
      <c r="AD2054" s="4"/>
      <c r="AE2054" s="4"/>
      <c r="AF2054" s="6">
        <v>67</v>
      </c>
      <c r="AG2054" s="6"/>
      <c r="AH2054" s="7">
        <v>1</v>
      </c>
      <c r="AI2054" s="4"/>
      <c r="AJ2054" s="4">
        <f>=ROUNDDOWN({0},0)</f>
      </c>
      <c r="AK2054" s="5"/>
      <c r="AL2054" s="2" t="s">
        <v>100</v>
      </c>
      <c r="AM2054" s="4"/>
      <c r="AN2054" s="4"/>
      <c r="AO2054" s="7">
        <v>0</v>
      </c>
      <c r="AP2054" s="4"/>
      <c r="AQ2054" s="8"/>
      <c r="AR2054" s="4"/>
      <c r="AS2054" s="8"/>
      <c r="AT2054" s="7"/>
      <c r="AU2054" s="7"/>
      <c r="AV2054" s="4" t="s">
        <v>100</v>
      </c>
      <c r="AW2054" s="8" t="s">
        <v>100</v>
      </c>
      <c r="AX2054" s="4" t="s">
        <v>100</v>
      </c>
      <c r="AY2054" s="8" t="s">
        <v>100</v>
      </c>
      <c r="AZ2054" s="7" t="s">
        <v>100</v>
      </c>
      <c r="BA2054" s="7" t="s">
        <v>100</v>
      </c>
      <c r="BB2054" s="7"/>
      <c r="BC2054" s="4" t="s">
        <v>100</v>
      </c>
      <c r="BD2054" s="8" t="s">
        <v>100</v>
      </c>
      <c r="BE2054" s="4" t="s">
        <v>100</v>
      </c>
      <c r="BF2054" s="8" t="s">
        <v>100</v>
      </c>
      <c r="BG2054" s="7" t="s">
        <v>100</v>
      </c>
      <c r="BH2054" s="7" t="s">
        <v>100</v>
      </c>
      <c r="BI2054" s="7"/>
      <c r="BJ2054" s="4">
        <v>7</v>
      </c>
      <c r="BK2054" s="8">
        <v>456.24</v>
      </c>
      <c r="BL2054" s="2" t="s">
        <v>5905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109</v>
      </c>
      <c r="BV2054" s="2" t="s">
        <v>97</v>
      </c>
      <c r="BW2054" s="2" t="s">
        <v>270</v>
      </c>
      <c r="BX2054" s="2" t="s">
        <v>2783</v>
      </c>
      <c r="BY2054" s="2" t="s">
        <v>112</v>
      </c>
      <c r="BZ2054" s="2" t="s">
        <v>100</v>
      </c>
    </row>
    <row r="2055">
      <c r="A2055" s="2" t="s">
        <v>5906</v>
      </c>
      <c r="B2055" s="2" t="s">
        <v>87</v>
      </c>
      <c r="C2055" s="2" t="s">
        <v>5883</v>
      </c>
      <c r="D2055" s="2" t="s">
        <v>3079</v>
      </c>
      <c r="E2055" s="2" t="s">
        <v>3176</v>
      </c>
      <c r="F2055" s="2" t="s">
        <v>5893</v>
      </c>
      <c r="G2055" s="2" t="s">
        <v>5894</v>
      </c>
      <c r="H2055" s="2" t="s">
        <v>1326</v>
      </c>
      <c r="I2055" s="2" t="s">
        <v>5907</v>
      </c>
      <c r="J2055" s="2" t="s">
        <v>785</v>
      </c>
      <c r="K2055" s="2" t="s">
        <v>175</v>
      </c>
      <c r="L2055" s="3">
        <v>61.9</v>
      </c>
      <c r="M2055" s="3">
        <v>65</v>
      </c>
      <c r="N2055" s="3">
        <v>129.99</v>
      </c>
      <c r="O2055" s="2" t="s">
        <v>473</v>
      </c>
      <c r="P2055" s="2" t="s">
        <v>4334</v>
      </c>
      <c r="Q2055" s="2" t="s">
        <v>99</v>
      </c>
      <c r="R2055" s="2" t="s">
        <v>100</v>
      </c>
      <c r="S2055" s="2" t="s">
        <v>5896</v>
      </c>
      <c r="T2055" s="2" t="s">
        <v>100</v>
      </c>
      <c r="U2055" s="2" t="s">
        <v>1508</v>
      </c>
      <c r="V2055" s="2" t="s">
        <v>645</v>
      </c>
      <c r="W2055" s="2" t="s">
        <v>976</v>
      </c>
      <c r="X2055" s="2" t="s">
        <v>3803</v>
      </c>
      <c r="Y2055" s="2" t="s">
        <v>5897</v>
      </c>
      <c r="Z2055" s="4">
        <v>332</v>
      </c>
      <c r="AA2055" s="4">
        <f>=ROUNDDOWN(41.5,0)</f>
      </c>
      <c r="AB2055" s="5">
        <v>8</v>
      </c>
      <c r="AC2055" s="2" t="s">
        <v>100</v>
      </c>
      <c r="AD2055" s="4"/>
      <c r="AE2055" s="4"/>
      <c r="AF2055" s="6">
        <v>65</v>
      </c>
      <c r="AG2055" s="6"/>
      <c r="AH2055" s="7">
        <v>1</v>
      </c>
      <c r="AI2055" s="4"/>
      <c r="AJ2055" s="4">
        <f>=ROUNDDOWN({0},0)</f>
      </c>
      <c r="AK2055" s="5"/>
      <c r="AL2055" s="2" t="s">
        <v>100</v>
      </c>
      <c r="AM2055" s="4"/>
      <c r="AN2055" s="4"/>
      <c r="AO2055" s="7">
        <v>0</v>
      </c>
      <c r="AP2055" s="4"/>
      <c r="AQ2055" s="8"/>
      <c r="AR2055" s="4"/>
      <c r="AS2055" s="8"/>
      <c r="AT2055" s="7"/>
      <c r="AU2055" s="7"/>
      <c r="AV2055" s="4" t="s">
        <v>100</v>
      </c>
      <c r="AW2055" s="8" t="s">
        <v>100</v>
      </c>
      <c r="AX2055" s="4" t="s">
        <v>100</v>
      </c>
      <c r="AY2055" s="8" t="s">
        <v>100</v>
      </c>
      <c r="AZ2055" s="7" t="s">
        <v>100</v>
      </c>
      <c r="BA2055" s="7" t="s">
        <v>100</v>
      </c>
      <c r="BB2055" s="7"/>
      <c r="BC2055" s="4" t="s">
        <v>100</v>
      </c>
      <c r="BD2055" s="8" t="s">
        <v>100</v>
      </c>
      <c r="BE2055" s="4" t="s">
        <v>100</v>
      </c>
      <c r="BF2055" s="8" t="s">
        <v>100</v>
      </c>
      <c r="BG2055" s="7" t="s">
        <v>100</v>
      </c>
      <c r="BH2055" s="7" t="s">
        <v>100</v>
      </c>
      <c r="BI2055" s="7"/>
      <c r="BJ2055" s="4">
        <v>7</v>
      </c>
      <c r="BK2055" s="8">
        <v>461.44</v>
      </c>
      <c r="BL2055" s="2" t="s">
        <v>501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109</v>
      </c>
      <c r="BV2055" s="2" t="s">
        <v>97</v>
      </c>
      <c r="BW2055" s="2" t="s">
        <v>270</v>
      </c>
      <c r="BX2055" s="2" t="s">
        <v>5908</v>
      </c>
      <c r="BY2055" s="2" t="s">
        <v>112</v>
      </c>
      <c r="BZ2055" s="2" t="s">
        <v>100</v>
      </c>
    </row>
    <row r="2056">
      <c r="A2056" s="2" t="s">
        <v>5909</v>
      </c>
      <c r="B2056" s="2" t="s">
        <v>87</v>
      </c>
      <c r="C2056" s="2" t="s">
        <v>5883</v>
      </c>
      <c r="D2056" s="2" t="s">
        <v>3079</v>
      </c>
      <c r="E2056" s="2" t="s">
        <v>3176</v>
      </c>
      <c r="F2056" s="2" t="s">
        <v>5893</v>
      </c>
      <c r="G2056" s="2" t="s">
        <v>5894</v>
      </c>
      <c r="H2056" s="2" t="s">
        <v>1326</v>
      </c>
      <c r="I2056" s="2" t="s">
        <v>5907</v>
      </c>
      <c r="J2056" s="2" t="s">
        <v>795</v>
      </c>
      <c r="K2056" s="2" t="s">
        <v>175</v>
      </c>
      <c r="L2056" s="3">
        <v>66.66</v>
      </c>
      <c r="M2056" s="3">
        <v>69.99</v>
      </c>
      <c r="N2056" s="3">
        <v>139.99</v>
      </c>
      <c r="O2056" s="2" t="s">
        <v>97</v>
      </c>
      <c r="P2056" s="2" t="s">
        <v>4334</v>
      </c>
      <c r="Q2056" s="2" t="s">
        <v>99</v>
      </c>
      <c r="R2056" s="2" t="s">
        <v>100</v>
      </c>
      <c r="S2056" s="2" t="s">
        <v>5896</v>
      </c>
      <c r="T2056" s="2" t="s">
        <v>100</v>
      </c>
      <c r="U2056" s="2" t="s">
        <v>1508</v>
      </c>
      <c r="V2056" s="2" t="s">
        <v>645</v>
      </c>
      <c r="W2056" s="2" t="s">
        <v>976</v>
      </c>
      <c r="X2056" s="2" t="s">
        <v>3803</v>
      </c>
      <c r="Y2056" s="2" t="s">
        <v>5897</v>
      </c>
      <c r="Z2056" s="4">
        <v>207</v>
      </c>
      <c r="AA2056" s="4">
        <f>=ROUNDDOWN(48.1395348837209,0)</f>
      </c>
      <c r="AB2056" s="5">
        <v>4.3</v>
      </c>
      <c r="AC2056" s="2" t="s">
        <v>100</v>
      </c>
      <c r="AD2056" s="4"/>
      <c r="AE2056" s="4"/>
      <c r="AF2056" s="6">
        <v>65</v>
      </c>
      <c r="AG2056" s="6"/>
      <c r="AH2056" s="7">
        <v>1</v>
      </c>
      <c r="AI2056" s="4"/>
      <c r="AJ2056" s="4">
        <f>=ROUNDDOWN({0},0)</f>
      </c>
      <c r="AK2056" s="5"/>
      <c r="AL2056" s="2" t="s">
        <v>100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 t="s">
        <v>100</v>
      </c>
      <c r="AW2056" s="8" t="s">
        <v>100</v>
      </c>
      <c r="AX2056" s="4" t="s">
        <v>100</v>
      </c>
      <c r="AY2056" s="8" t="s">
        <v>100</v>
      </c>
      <c r="AZ2056" s="7" t="s">
        <v>100</v>
      </c>
      <c r="BA2056" s="7" t="s">
        <v>100</v>
      </c>
      <c r="BB2056" s="7"/>
      <c r="BC2056" s="4" t="s">
        <v>100</v>
      </c>
      <c r="BD2056" s="8" t="s">
        <v>100</v>
      </c>
      <c r="BE2056" s="4" t="s">
        <v>100</v>
      </c>
      <c r="BF2056" s="8" t="s">
        <v>100</v>
      </c>
      <c r="BG2056" s="7" t="s">
        <v>100</v>
      </c>
      <c r="BH2056" s="7" t="s">
        <v>100</v>
      </c>
      <c r="BI2056" s="7"/>
      <c r="BJ2056" s="4">
        <v>4</v>
      </c>
      <c r="BK2056" s="8">
        <v>300.26</v>
      </c>
      <c r="BL2056" s="2" t="s">
        <v>5910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109</v>
      </c>
      <c r="BV2056" s="2" t="s">
        <v>97</v>
      </c>
      <c r="BW2056" s="2" t="s">
        <v>270</v>
      </c>
      <c r="BX2056" s="2" t="s">
        <v>5911</v>
      </c>
      <c r="BY2056" s="2" t="s">
        <v>112</v>
      </c>
      <c r="BZ2056" s="2" t="s">
        <v>100</v>
      </c>
    </row>
    <row r="2057">
      <c r="A2057" s="2" t="s">
        <v>5912</v>
      </c>
      <c r="B2057" s="2" t="s">
        <v>87</v>
      </c>
      <c r="C2057" s="2" t="s">
        <v>5913</v>
      </c>
      <c r="D2057" s="2" t="s">
        <v>3365</v>
      </c>
      <c r="E2057" s="2" t="s">
        <v>5914</v>
      </c>
      <c r="F2057" s="2" t="s">
        <v>5915</v>
      </c>
      <c r="G2057" s="2" t="s">
        <v>5915</v>
      </c>
      <c r="H2057" s="2" t="s">
        <v>5915</v>
      </c>
      <c r="I2057" s="2" t="s">
        <v>5916</v>
      </c>
      <c r="J2057" s="2" t="s">
        <v>5917</v>
      </c>
      <c r="K2057" s="2" t="s">
        <v>146</v>
      </c>
      <c r="L2057" s="3">
        <v>15.48</v>
      </c>
      <c r="M2057" s="3">
        <v>16.25</v>
      </c>
      <c r="N2057" s="3">
        <v>49.99</v>
      </c>
      <c r="O2057" s="2" t="s">
        <v>97</v>
      </c>
      <c r="P2057" s="2" t="s">
        <v>447</v>
      </c>
      <c r="Q2057" s="2" t="s">
        <v>99</v>
      </c>
      <c r="R2057" s="2" t="s">
        <v>100</v>
      </c>
      <c r="S2057" s="2" t="s">
        <v>100</v>
      </c>
      <c r="T2057" s="2" t="s">
        <v>359</v>
      </c>
      <c r="U2057" s="2" t="s">
        <v>100</v>
      </c>
      <c r="V2057" s="2" t="s">
        <v>645</v>
      </c>
      <c r="W2057" s="2" t="s">
        <v>976</v>
      </c>
      <c r="X2057" s="2" t="s">
        <v>100</v>
      </c>
      <c r="Y2057" s="2" t="s">
        <v>5918</v>
      </c>
      <c r="Z2057" s="4">
        <v>37</v>
      </c>
      <c r="AA2057" s="4">
        <f>=ROUNDDOWN(18.5,0)</f>
      </c>
      <c r="AB2057" s="5">
        <v>2</v>
      </c>
      <c r="AC2057" s="2" t="s">
        <v>100</v>
      </c>
      <c r="AD2057" s="4"/>
      <c r="AE2057" s="4"/>
      <c r="AF2057" s="6">
        <v>65</v>
      </c>
      <c r="AG2057" s="6"/>
      <c r="AH2057" s="7">
        <v>1</v>
      </c>
      <c r="AI2057" s="4"/>
      <c r="AJ2057" s="4">
        <f>=ROUNDDOWN({0},0)</f>
      </c>
      <c r="AK2057" s="5"/>
      <c r="AL2057" s="2" t="s">
        <v>100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/>
      <c r="AW2057" s="8"/>
      <c r="AX2057" s="4"/>
      <c r="AY2057" s="8"/>
      <c r="AZ2057" s="7"/>
      <c r="BA2057" s="7"/>
      <c r="BB2057" s="7"/>
      <c r="BC2057" s="4" t="s">
        <v>100</v>
      </c>
      <c r="BD2057" s="8" t="s">
        <v>100</v>
      </c>
      <c r="BE2057" s="4" t="s">
        <v>100</v>
      </c>
      <c r="BF2057" s="8" t="s">
        <v>100</v>
      </c>
      <c r="BG2057" s="7" t="s">
        <v>100</v>
      </c>
      <c r="BH2057" s="7" t="s">
        <v>100</v>
      </c>
      <c r="BI2057" s="7"/>
      <c r="BJ2057" s="4"/>
      <c r="BK2057" s="8"/>
      <c r="BL2057" s="2" t="s">
        <v>100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1338</v>
      </c>
      <c r="BV2057" s="2" t="s">
        <v>97</v>
      </c>
      <c r="BW2057" s="2" t="s">
        <v>100</v>
      </c>
      <c r="BX2057" s="2" t="s">
        <v>100</v>
      </c>
      <c r="BY2057" s="2" t="s">
        <v>112</v>
      </c>
      <c r="BZ2057" s="2" t="s">
        <v>100</v>
      </c>
    </row>
    <row r="2058">
      <c r="A2058" s="2" t="s">
        <v>5919</v>
      </c>
      <c r="B2058" s="2" t="s">
        <v>87</v>
      </c>
      <c r="C2058" s="2" t="s">
        <v>5913</v>
      </c>
      <c r="D2058" s="2" t="s">
        <v>3365</v>
      </c>
      <c r="E2058" s="2" t="s">
        <v>5914</v>
      </c>
      <c r="F2058" s="2" t="s">
        <v>5915</v>
      </c>
      <c r="G2058" s="2" t="s">
        <v>5915</v>
      </c>
      <c r="H2058" s="2" t="s">
        <v>5915</v>
      </c>
      <c r="I2058" s="2" t="s">
        <v>5916</v>
      </c>
      <c r="J2058" s="2" t="s">
        <v>5917</v>
      </c>
      <c r="K2058" s="2" t="s">
        <v>5920</v>
      </c>
      <c r="L2058" s="3">
        <v>15.48</v>
      </c>
      <c r="M2058" s="3">
        <v>16.25</v>
      </c>
      <c r="N2058" s="3">
        <v>49.99</v>
      </c>
      <c r="O2058" s="2" t="s">
        <v>97</v>
      </c>
      <c r="P2058" s="2" t="s">
        <v>447</v>
      </c>
      <c r="Q2058" s="2" t="s">
        <v>99</v>
      </c>
      <c r="R2058" s="2" t="s">
        <v>100</v>
      </c>
      <c r="S2058" s="2" t="s">
        <v>100</v>
      </c>
      <c r="T2058" s="2" t="s">
        <v>359</v>
      </c>
      <c r="U2058" s="2" t="s">
        <v>100</v>
      </c>
      <c r="V2058" s="2" t="s">
        <v>645</v>
      </c>
      <c r="W2058" s="2" t="s">
        <v>976</v>
      </c>
      <c r="X2058" s="2" t="s">
        <v>100</v>
      </c>
      <c r="Y2058" s="2" t="s">
        <v>5918</v>
      </c>
      <c r="Z2058" s="4">
        <v>62</v>
      </c>
      <c r="AA2058" s="4">
        <f>=ROUNDDOWN(62,0)</f>
      </c>
      <c r="AB2058" s="5">
        <v>1</v>
      </c>
      <c r="AC2058" s="2" t="s">
        <v>100</v>
      </c>
      <c r="AD2058" s="4"/>
      <c r="AE2058" s="4"/>
      <c r="AF2058" s="6">
        <v>65</v>
      </c>
      <c r="AG2058" s="6"/>
      <c r="AH2058" s="7">
        <v>1</v>
      </c>
      <c r="AI2058" s="4"/>
      <c r="AJ2058" s="4">
        <f>=ROUNDDOWN({0},0)</f>
      </c>
      <c r="AK2058" s="5"/>
      <c r="AL2058" s="2" t="s">
        <v>100</v>
      </c>
      <c r="AM2058" s="4"/>
      <c r="AN2058" s="4"/>
      <c r="AO2058" s="7">
        <v>0</v>
      </c>
      <c r="AP2058" s="4"/>
      <c r="AQ2058" s="8"/>
      <c r="AR2058" s="4"/>
      <c r="AS2058" s="8"/>
      <c r="AT2058" s="7"/>
      <c r="AU2058" s="7"/>
      <c r="AV2058" s="4"/>
      <c r="AW2058" s="8"/>
      <c r="AX2058" s="4"/>
      <c r="AY2058" s="8"/>
      <c r="AZ2058" s="7"/>
      <c r="BA2058" s="7"/>
      <c r="BB2058" s="7"/>
      <c r="BC2058" s="4" t="s">
        <v>100</v>
      </c>
      <c r="BD2058" s="8" t="s">
        <v>100</v>
      </c>
      <c r="BE2058" s="4" t="s">
        <v>100</v>
      </c>
      <c r="BF2058" s="8" t="s">
        <v>100</v>
      </c>
      <c r="BG2058" s="7" t="s">
        <v>100</v>
      </c>
      <c r="BH2058" s="7" t="s">
        <v>100</v>
      </c>
      <c r="BI2058" s="7"/>
      <c r="BJ2058" s="4"/>
      <c r="BK2058" s="8"/>
      <c r="BL2058" s="2" t="s">
        <v>100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1338</v>
      </c>
      <c r="BV2058" s="2" t="s">
        <v>97</v>
      </c>
      <c r="BW2058" s="2" t="s">
        <v>100</v>
      </c>
      <c r="BX2058" s="2" t="s">
        <v>100</v>
      </c>
      <c r="BY2058" s="2" t="s">
        <v>112</v>
      </c>
      <c r="BZ2058" s="2" t="s">
        <v>100</v>
      </c>
    </row>
    <row r="2059">
      <c r="A2059" s="2" t="s">
        <v>5921</v>
      </c>
      <c r="B2059" s="2" t="s">
        <v>87</v>
      </c>
      <c r="C2059" s="2" t="s">
        <v>5913</v>
      </c>
      <c r="D2059" s="2" t="s">
        <v>2230</v>
      </c>
      <c r="E2059" s="2" t="s">
        <v>3064</v>
      </c>
      <c r="F2059" s="2" t="s">
        <v>5915</v>
      </c>
      <c r="G2059" s="2" t="s">
        <v>5915</v>
      </c>
      <c r="H2059" s="2" t="s">
        <v>5915</v>
      </c>
      <c r="I2059" s="2" t="s">
        <v>5922</v>
      </c>
      <c r="J2059" s="2" t="s">
        <v>785</v>
      </c>
      <c r="K2059" s="2" t="s">
        <v>1263</v>
      </c>
      <c r="L2059" s="3">
        <v>68.09</v>
      </c>
      <c r="M2059" s="3">
        <v>71.49</v>
      </c>
      <c r="N2059" s="3">
        <v>199.99</v>
      </c>
      <c r="O2059" s="2" t="s">
        <v>97</v>
      </c>
      <c r="P2059" s="2" t="s">
        <v>447</v>
      </c>
      <c r="Q2059" s="2" t="s">
        <v>99</v>
      </c>
      <c r="R2059" s="2" t="s">
        <v>100</v>
      </c>
      <c r="S2059" s="2" t="s">
        <v>100</v>
      </c>
      <c r="T2059" s="2" t="s">
        <v>359</v>
      </c>
      <c r="U2059" s="2" t="s">
        <v>100</v>
      </c>
      <c r="V2059" s="2" t="s">
        <v>645</v>
      </c>
      <c r="W2059" s="2" t="s">
        <v>976</v>
      </c>
      <c r="X2059" s="2" t="s">
        <v>100</v>
      </c>
      <c r="Y2059" s="2" t="s">
        <v>5918</v>
      </c>
      <c r="Z2059" s="4">
        <v>60</v>
      </c>
      <c r="AA2059" s="4">
        <f>=ROUNDDOWN(60,0)</f>
      </c>
      <c r="AB2059" s="5">
        <v>1</v>
      </c>
      <c r="AC2059" s="2" t="s">
        <v>100</v>
      </c>
      <c r="AD2059" s="4"/>
      <c r="AE2059" s="4"/>
      <c r="AF2059" s="6">
        <v>65</v>
      </c>
      <c r="AG2059" s="6"/>
      <c r="AH2059" s="7">
        <v>1</v>
      </c>
      <c r="AI2059" s="4"/>
      <c r="AJ2059" s="4">
        <f>=ROUNDDOWN({0},0)</f>
      </c>
      <c r="AK2059" s="5"/>
      <c r="AL2059" s="2" t="s">
        <v>100</v>
      </c>
      <c r="AM2059" s="4"/>
      <c r="AN2059" s="4"/>
      <c r="AO2059" s="7">
        <v>0</v>
      </c>
      <c r="AP2059" s="4"/>
      <c r="AQ2059" s="8"/>
      <c r="AR2059" s="4"/>
      <c r="AS2059" s="8"/>
      <c r="AT2059" s="7"/>
      <c r="AU2059" s="7"/>
      <c r="AV2059" s="4" t="s">
        <v>100</v>
      </c>
      <c r="AW2059" s="8" t="s">
        <v>100</v>
      </c>
      <c r="AX2059" s="4" t="s">
        <v>100</v>
      </c>
      <c r="AY2059" s="8" t="s">
        <v>100</v>
      </c>
      <c r="AZ2059" s="7" t="s">
        <v>100</v>
      </c>
      <c r="BA2059" s="7" t="s">
        <v>100</v>
      </c>
      <c r="BB2059" s="7"/>
      <c r="BC2059" s="4" t="s">
        <v>100</v>
      </c>
      <c r="BD2059" s="8" t="s">
        <v>100</v>
      </c>
      <c r="BE2059" s="4" t="s">
        <v>100</v>
      </c>
      <c r="BF2059" s="8" t="s">
        <v>100</v>
      </c>
      <c r="BG2059" s="7" t="s">
        <v>100</v>
      </c>
      <c r="BH2059" s="7" t="s">
        <v>100</v>
      </c>
      <c r="BI2059" s="7"/>
      <c r="BJ2059" s="4">
        <v>2</v>
      </c>
      <c r="BK2059" s="8">
        <v>114.22</v>
      </c>
      <c r="BL2059" s="2" t="s">
        <v>543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1338</v>
      </c>
      <c r="BV2059" s="2" t="s">
        <v>97</v>
      </c>
      <c r="BW2059" s="2" t="s">
        <v>100</v>
      </c>
      <c r="BX2059" s="2" t="s">
        <v>100</v>
      </c>
      <c r="BY2059" s="2" t="s">
        <v>112</v>
      </c>
      <c r="BZ2059" s="2" t="s">
        <v>100</v>
      </c>
    </row>
    <row r="2060">
      <c r="A2060" s="2" t="s">
        <v>5923</v>
      </c>
      <c r="B2060" s="2" t="s">
        <v>87</v>
      </c>
      <c r="C2060" s="2" t="s">
        <v>5913</v>
      </c>
      <c r="D2060" s="2" t="s">
        <v>2230</v>
      </c>
      <c r="E2060" s="2" t="s">
        <v>3064</v>
      </c>
      <c r="F2060" s="2" t="s">
        <v>5915</v>
      </c>
      <c r="G2060" s="2" t="s">
        <v>5915</v>
      </c>
      <c r="H2060" s="2" t="s">
        <v>5915</v>
      </c>
      <c r="I2060" s="2" t="s">
        <v>5922</v>
      </c>
      <c r="J2060" s="2" t="s">
        <v>795</v>
      </c>
      <c r="K2060" s="2" t="s">
        <v>1263</v>
      </c>
      <c r="L2060" s="3">
        <v>85.12</v>
      </c>
      <c r="M2060" s="3">
        <v>89.38</v>
      </c>
      <c r="N2060" s="3">
        <v>249.99</v>
      </c>
      <c r="O2060" s="2" t="s">
        <v>97</v>
      </c>
      <c r="P2060" s="2" t="s">
        <v>447</v>
      </c>
      <c r="Q2060" s="2" t="s">
        <v>99</v>
      </c>
      <c r="R2060" s="2" t="s">
        <v>100</v>
      </c>
      <c r="S2060" s="2" t="s">
        <v>100</v>
      </c>
      <c r="T2060" s="2" t="s">
        <v>359</v>
      </c>
      <c r="U2060" s="2" t="s">
        <v>100</v>
      </c>
      <c r="V2060" s="2" t="s">
        <v>645</v>
      </c>
      <c r="W2060" s="2" t="s">
        <v>976</v>
      </c>
      <c r="X2060" s="2" t="s">
        <v>100</v>
      </c>
      <c r="Y2060" s="2" t="s">
        <v>5918</v>
      </c>
      <c r="Z2060" s="4">
        <v>17</v>
      </c>
      <c r="AA2060" s="4">
        <f>=ROUNDDOWN(8.5,0)</f>
      </c>
      <c r="AB2060" s="5">
        <v>2</v>
      </c>
      <c r="AC2060" s="2" t="s">
        <v>100</v>
      </c>
      <c r="AD2060" s="4"/>
      <c r="AE2060" s="4"/>
      <c r="AF2060" s="6">
        <v>65</v>
      </c>
      <c r="AG2060" s="6"/>
      <c r="AH2060" s="7">
        <v>1</v>
      </c>
      <c r="AI2060" s="4"/>
      <c r="AJ2060" s="4">
        <f>=ROUNDDOWN({0},0)</f>
      </c>
      <c r="AK2060" s="5"/>
      <c r="AL2060" s="2" t="s">
        <v>100</v>
      </c>
      <c r="AM2060" s="4"/>
      <c r="AN2060" s="4"/>
      <c r="AO2060" s="7">
        <v>0</v>
      </c>
      <c r="AP2060" s="4"/>
      <c r="AQ2060" s="8"/>
      <c r="AR2060" s="4"/>
      <c r="AS2060" s="8"/>
      <c r="AT2060" s="7"/>
      <c r="AU2060" s="7"/>
      <c r="AV2060" s="4" t="s">
        <v>100</v>
      </c>
      <c r="AW2060" s="8" t="s">
        <v>100</v>
      </c>
      <c r="AX2060" s="4" t="s">
        <v>100</v>
      </c>
      <c r="AY2060" s="8" t="s">
        <v>100</v>
      </c>
      <c r="AZ2060" s="7" t="s">
        <v>100</v>
      </c>
      <c r="BA2060" s="7" t="s">
        <v>100</v>
      </c>
      <c r="BB2060" s="7"/>
      <c r="BC2060" s="4" t="s">
        <v>100</v>
      </c>
      <c r="BD2060" s="8" t="s">
        <v>100</v>
      </c>
      <c r="BE2060" s="4" t="s">
        <v>100</v>
      </c>
      <c r="BF2060" s="8" t="s">
        <v>100</v>
      </c>
      <c r="BG2060" s="7" t="s">
        <v>100</v>
      </c>
      <c r="BH2060" s="7" t="s">
        <v>100</v>
      </c>
      <c r="BI2060" s="7"/>
      <c r="BJ2060" s="4">
        <v>3</v>
      </c>
      <c r="BK2060" s="8">
        <v>143.68</v>
      </c>
      <c r="BL2060" s="2" t="s">
        <v>725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1338</v>
      </c>
      <c r="BV2060" s="2" t="s">
        <v>97</v>
      </c>
      <c r="BW2060" s="2" t="s">
        <v>100</v>
      </c>
      <c r="BX2060" s="2" t="s">
        <v>100</v>
      </c>
      <c r="BY2060" s="2" t="s">
        <v>112</v>
      </c>
      <c r="BZ2060" s="2" t="s">
        <v>100</v>
      </c>
    </row>
    <row r="2061">
      <c r="A2061" s="2" t="s">
        <v>5924</v>
      </c>
      <c r="B2061" s="2" t="s">
        <v>87</v>
      </c>
      <c r="C2061" s="2" t="s">
        <v>5913</v>
      </c>
      <c r="D2061" s="2" t="s">
        <v>2230</v>
      </c>
      <c r="E2061" s="2" t="s">
        <v>3064</v>
      </c>
      <c r="F2061" s="2" t="s">
        <v>5915</v>
      </c>
      <c r="G2061" s="2" t="s">
        <v>5915</v>
      </c>
      <c r="H2061" s="2" t="s">
        <v>5915</v>
      </c>
      <c r="I2061" s="2" t="s">
        <v>5925</v>
      </c>
      <c r="J2061" s="2" t="s">
        <v>785</v>
      </c>
      <c r="K2061" s="2" t="s">
        <v>5920</v>
      </c>
      <c r="L2061" s="3">
        <v>68.09</v>
      </c>
      <c r="M2061" s="3">
        <v>71.49</v>
      </c>
      <c r="N2061" s="3">
        <v>199.99</v>
      </c>
      <c r="O2061" s="2" t="s">
        <v>97</v>
      </c>
      <c r="P2061" s="2" t="s">
        <v>447</v>
      </c>
      <c r="Q2061" s="2" t="s">
        <v>99</v>
      </c>
      <c r="R2061" s="2" t="s">
        <v>100</v>
      </c>
      <c r="S2061" s="2" t="s">
        <v>100</v>
      </c>
      <c r="T2061" s="2" t="s">
        <v>359</v>
      </c>
      <c r="U2061" s="2" t="s">
        <v>100</v>
      </c>
      <c r="V2061" s="2" t="s">
        <v>645</v>
      </c>
      <c r="W2061" s="2" t="s">
        <v>976</v>
      </c>
      <c r="X2061" s="2" t="s">
        <v>100</v>
      </c>
      <c r="Y2061" s="2" t="s">
        <v>5918</v>
      </c>
      <c r="Z2061" s="4">
        <v>56</v>
      </c>
      <c r="AA2061" s="4">
        <f>=ROUNDDOWN(28,0)</f>
      </c>
      <c r="AB2061" s="5">
        <v>2</v>
      </c>
      <c r="AC2061" s="2" t="s">
        <v>100</v>
      </c>
      <c r="AD2061" s="4"/>
      <c r="AE2061" s="4"/>
      <c r="AF2061" s="6">
        <v>65</v>
      </c>
      <c r="AG2061" s="6"/>
      <c r="AH2061" s="7">
        <v>1</v>
      </c>
      <c r="AI2061" s="4"/>
      <c r="AJ2061" s="4">
        <f>=ROUNDDOWN({0},0)</f>
      </c>
      <c r="AK2061" s="5"/>
      <c r="AL2061" s="2" t="s">
        <v>100</v>
      </c>
      <c r="AM2061" s="4"/>
      <c r="AN2061" s="4"/>
      <c r="AO2061" s="7">
        <v>0</v>
      </c>
      <c r="AP2061" s="4"/>
      <c r="AQ2061" s="8"/>
      <c r="AR2061" s="4"/>
      <c r="AS2061" s="8"/>
      <c r="AT2061" s="7"/>
      <c r="AU2061" s="7"/>
      <c r="AV2061" s="4" t="s">
        <v>100</v>
      </c>
      <c r="AW2061" s="8" t="s">
        <v>100</v>
      </c>
      <c r="AX2061" s="4" t="s">
        <v>100</v>
      </c>
      <c r="AY2061" s="8" t="s">
        <v>100</v>
      </c>
      <c r="AZ2061" s="7" t="s">
        <v>100</v>
      </c>
      <c r="BA2061" s="7" t="s">
        <v>100</v>
      </c>
      <c r="BB2061" s="7"/>
      <c r="BC2061" s="4" t="s">
        <v>100</v>
      </c>
      <c r="BD2061" s="8" t="s">
        <v>100</v>
      </c>
      <c r="BE2061" s="4" t="s">
        <v>100</v>
      </c>
      <c r="BF2061" s="8" t="s">
        <v>100</v>
      </c>
      <c r="BG2061" s="7" t="s">
        <v>100</v>
      </c>
      <c r="BH2061" s="7" t="s">
        <v>100</v>
      </c>
      <c r="BI2061" s="7"/>
      <c r="BJ2061" s="4">
        <v>2</v>
      </c>
      <c r="BK2061" s="8">
        <v>74.9</v>
      </c>
      <c r="BL2061" s="2" t="s">
        <v>391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1338</v>
      </c>
      <c r="BV2061" s="2" t="s">
        <v>97</v>
      </c>
      <c r="BW2061" s="2" t="s">
        <v>100</v>
      </c>
      <c r="BX2061" s="2" t="s">
        <v>100</v>
      </c>
      <c r="BY2061" s="2" t="s">
        <v>112</v>
      </c>
      <c r="BZ2061" s="2" t="s">
        <v>100</v>
      </c>
    </row>
    <row r="2062">
      <c r="A2062" s="2" t="s">
        <v>5926</v>
      </c>
      <c r="B2062" s="2" t="s">
        <v>87</v>
      </c>
      <c r="C2062" s="2" t="s">
        <v>5913</v>
      </c>
      <c r="D2062" s="2" t="s">
        <v>2230</v>
      </c>
      <c r="E2062" s="2" t="s">
        <v>3064</v>
      </c>
      <c r="F2062" s="2" t="s">
        <v>5915</v>
      </c>
      <c r="G2062" s="2" t="s">
        <v>5915</v>
      </c>
      <c r="H2062" s="2" t="s">
        <v>5915</v>
      </c>
      <c r="I2062" s="2" t="s">
        <v>5925</v>
      </c>
      <c r="J2062" s="2" t="s">
        <v>795</v>
      </c>
      <c r="K2062" s="2" t="s">
        <v>5920</v>
      </c>
      <c r="L2062" s="3">
        <v>85.12</v>
      </c>
      <c r="M2062" s="3">
        <v>89.38</v>
      </c>
      <c r="N2062" s="3">
        <v>249.99</v>
      </c>
      <c r="O2062" s="2" t="s">
        <v>97</v>
      </c>
      <c r="P2062" s="2" t="s">
        <v>447</v>
      </c>
      <c r="Q2062" s="2" t="s">
        <v>99</v>
      </c>
      <c r="R2062" s="2" t="s">
        <v>100</v>
      </c>
      <c r="S2062" s="2" t="s">
        <v>100</v>
      </c>
      <c r="T2062" s="2" t="s">
        <v>359</v>
      </c>
      <c r="U2062" s="2" t="s">
        <v>100</v>
      </c>
      <c r="V2062" s="2" t="s">
        <v>645</v>
      </c>
      <c r="W2062" s="2" t="s">
        <v>976</v>
      </c>
      <c r="X2062" s="2" t="s">
        <v>100</v>
      </c>
      <c r="Y2062" s="2" t="s">
        <v>5918</v>
      </c>
      <c r="Z2062" s="4">
        <v>48</v>
      </c>
      <c r="AA2062" s="4">
        <f>=ROUNDDOWN(48,0)</f>
      </c>
      <c r="AB2062" s="5">
        <v>1</v>
      </c>
      <c r="AC2062" s="2" t="s">
        <v>100</v>
      </c>
      <c r="AD2062" s="4"/>
      <c r="AE2062" s="4"/>
      <c r="AF2062" s="6">
        <v>65</v>
      </c>
      <c r="AG2062" s="6"/>
      <c r="AH2062" s="7">
        <v>1</v>
      </c>
      <c r="AI2062" s="4"/>
      <c r="AJ2062" s="4">
        <f>=ROUNDDOWN({0},0)</f>
      </c>
      <c r="AK2062" s="5"/>
      <c r="AL2062" s="2" t="s">
        <v>100</v>
      </c>
      <c r="AM2062" s="4"/>
      <c r="AN2062" s="4"/>
      <c r="AO2062" s="7">
        <v>0</v>
      </c>
      <c r="AP2062" s="4"/>
      <c r="AQ2062" s="8"/>
      <c r="AR2062" s="4"/>
      <c r="AS2062" s="8"/>
      <c r="AT2062" s="7"/>
      <c r="AU2062" s="7"/>
      <c r="AV2062" s="4" t="s">
        <v>100</v>
      </c>
      <c r="AW2062" s="8" t="s">
        <v>100</v>
      </c>
      <c r="AX2062" s="4" t="s">
        <v>100</v>
      </c>
      <c r="AY2062" s="8" t="s">
        <v>100</v>
      </c>
      <c r="AZ2062" s="7" t="s">
        <v>100</v>
      </c>
      <c r="BA2062" s="7" t="s">
        <v>100</v>
      </c>
      <c r="BB2062" s="7"/>
      <c r="BC2062" s="4" t="s">
        <v>100</v>
      </c>
      <c r="BD2062" s="8" t="s">
        <v>100</v>
      </c>
      <c r="BE2062" s="4" t="s">
        <v>100</v>
      </c>
      <c r="BF2062" s="8" t="s">
        <v>100</v>
      </c>
      <c r="BG2062" s="7" t="s">
        <v>100</v>
      </c>
      <c r="BH2062" s="7" t="s">
        <v>100</v>
      </c>
      <c r="BI2062" s="7"/>
      <c r="BJ2062" s="4"/>
      <c r="BK2062" s="8"/>
      <c r="BL2062" s="2" t="s">
        <v>100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1338</v>
      </c>
      <c r="BV2062" s="2" t="s">
        <v>97</v>
      </c>
      <c r="BW2062" s="2" t="s">
        <v>100</v>
      </c>
      <c r="BX2062" s="2" t="s">
        <v>100</v>
      </c>
      <c r="BY2062" s="2" t="s">
        <v>112</v>
      </c>
      <c r="BZ2062" s="2" t="s">
        <v>100</v>
      </c>
    </row>
    <row r="2063">
      <c r="A2063" s="2" t="s">
        <v>5927</v>
      </c>
      <c r="B2063" s="2" t="s">
        <v>87</v>
      </c>
      <c r="C2063" s="2" t="s">
        <v>5913</v>
      </c>
      <c r="D2063" s="2" t="s">
        <v>3079</v>
      </c>
      <c r="E2063" s="2" t="s">
        <v>3080</v>
      </c>
      <c r="F2063" s="2" t="s">
        <v>5928</v>
      </c>
      <c r="G2063" s="2" t="s">
        <v>5928</v>
      </c>
      <c r="H2063" s="2" t="s">
        <v>5928</v>
      </c>
      <c r="I2063" s="2" t="s">
        <v>5929</v>
      </c>
      <c r="J2063" s="2" t="s">
        <v>785</v>
      </c>
      <c r="K2063" s="2" t="s">
        <v>2860</v>
      </c>
      <c r="L2063" s="3">
        <v>68.09</v>
      </c>
      <c r="M2063" s="3">
        <v>71.49</v>
      </c>
      <c r="N2063" s="3">
        <v>199.99</v>
      </c>
      <c r="O2063" s="2" t="s">
        <v>97</v>
      </c>
      <c r="P2063" s="2" t="s">
        <v>447</v>
      </c>
      <c r="Q2063" s="2" t="s">
        <v>99</v>
      </c>
      <c r="R2063" s="2" t="s">
        <v>100</v>
      </c>
      <c r="S2063" s="2" t="s">
        <v>100</v>
      </c>
      <c r="T2063" s="2" t="s">
        <v>359</v>
      </c>
      <c r="U2063" s="2" t="s">
        <v>100</v>
      </c>
      <c r="V2063" s="2" t="s">
        <v>645</v>
      </c>
      <c r="W2063" s="2" t="s">
        <v>976</v>
      </c>
      <c r="X2063" s="2" t="s">
        <v>100</v>
      </c>
      <c r="Y2063" s="2" t="s">
        <v>5918</v>
      </c>
      <c r="Z2063" s="4">
        <v>127</v>
      </c>
      <c r="AA2063" s="4">
        <f>=ROUNDDOWN(63.5,0)</f>
      </c>
      <c r="AB2063" s="5">
        <v>2</v>
      </c>
      <c r="AC2063" s="2" t="s">
        <v>100</v>
      </c>
      <c r="AD2063" s="4"/>
      <c r="AE2063" s="4"/>
      <c r="AF2063" s="6">
        <v>65</v>
      </c>
      <c r="AG2063" s="6"/>
      <c r="AH2063" s="7">
        <v>1</v>
      </c>
      <c r="AI2063" s="4"/>
      <c r="AJ2063" s="4">
        <f>=ROUNDDOWN({0},0)</f>
      </c>
      <c r="AK2063" s="5"/>
      <c r="AL2063" s="2" t="s">
        <v>100</v>
      </c>
      <c r="AM2063" s="4"/>
      <c r="AN2063" s="4"/>
      <c r="AO2063" s="7">
        <v>0</v>
      </c>
      <c r="AP2063" s="4"/>
      <c r="AQ2063" s="8"/>
      <c r="AR2063" s="4"/>
      <c r="AS2063" s="8"/>
      <c r="AT2063" s="7"/>
      <c r="AU2063" s="7"/>
      <c r="AV2063" s="4" t="s">
        <v>100</v>
      </c>
      <c r="AW2063" s="8" t="s">
        <v>100</v>
      </c>
      <c r="AX2063" s="4" t="s">
        <v>100</v>
      </c>
      <c r="AY2063" s="8" t="s">
        <v>100</v>
      </c>
      <c r="AZ2063" s="7" t="s">
        <v>100</v>
      </c>
      <c r="BA2063" s="7" t="s">
        <v>100</v>
      </c>
      <c r="BB2063" s="7"/>
      <c r="BC2063" s="4" t="s">
        <v>100</v>
      </c>
      <c r="BD2063" s="8" t="s">
        <v>100</v>
      </c>
      <c r="BE2063" s="4" t="s">
        <v>100</v>
      </c>
      <c r="BF2063" s="8" t="s">
        <v>100</v>
      </c>
      <c r="BG2063" s="7" t="s">
        <v>100</v>
      </c>
      <c r="BH2063" s="7" t="s">
        <v>100</v>
      </c>
      <c r="BI2063" s="7"/>
      <c r="BJ2063" s="4"/>
      <c r="BK2063" s="8"/>
      <c r="BL2063" s="2" t="s">
        <v>100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1338</v>
      </c>
      <c r="BV2063" s="2" t="s">
        <v>97</v>
      </c>
      <c r="BW2063" s="2" t="s">
        <v>100</v>
      </c>
      <c r="BX2063" s="2" t="s">
        <v>100</v>
      </c>
      <c r="BY2063" s="2" t="s">
        <v>112</v>
      </c>
      <c r="BZ2063" s="2" t="s">
        <v>100</v>
      </c>
    </row>
    <row r="2064">
      <c r="A2064" s="2" t="s">
        <v>5930</v>
      </c>
      <c r="B2064" s="2" t="s">
        <v>87</v>
      </c>
      <c r="C2064" s="2" t="s">
        <v>5913</v>
      </c>
      <c r="D2064" s="2" t="s">
        <v>3079</v>
      </c>
      <c r="E2064" s="2" t="s">
        <v>3080</v>
      </c>
      <c r="F2064" s="2" t="s">
        <v>5928</v>
      </c>
      <c r="G2064" s="2" t="s">
        <v>5928</v>
      </c>
      <c r="H2064" s="2" t="s">
        <v>5928</v>
      </c>
      <c r="I2064" s="2" t="s">
        <v>5929</v>
      </c>
      <c r="J2064" s="2" t="s">
        <v>795</v>
      </c>
      <c r="K2064" s="2" t="s">
        <v>2860</v>
      </c>
      <c r="L2064" s="3">
        <v>85.12</v>
      </c>
      <c r="M2064" s="3">
        <v>89.38</v>
      </c>
      <c r="N2064" s="3">
        <v>249.99</v>
      </c>
      <c r="O2064" s="2" t="s">
        <v>97</v>
      </c>
      <c r="P2064" s="2" t="s">
        <v>447</v>
      </c>
      <c r="Q2064" s="2" t="s">
        <v>99</v>
      </c>
      <c r="R2064" s="2" t="s">
        <v>100</v>
      </c>
      <c r="S2064" s="2" t="s">
        <v>100</v>
      </c>
      <c r="T2064" s="2" t="s">
        <v>359</v>
      </c>
      <c r="U2064" s="2" t="s">
        <v>100</v>
      </c>
      <c r="V2064" s="2" t="s">
        <v>645</v>
      </c>
      <c r="W2064" s="2" t="s">
        <v>976</v>
      </c>
      <c r="X2064" s="2" t="s">
        <v>100</v>
      </c>
      <c r="Y2064" s="2" t="s">
        <v>5918</v>
      </c>
      <c r="Z2064" s="4">
        <v>53</v>
      </c>
      <c r="AA2064" s="4">
        <f>=ROUNDDOWN(17.6666666666667,0)</f>
      </c>
      <c r="AB2064" s="5">
        <v>3</v>
      </c>
      <c r="AC2064" s="2" t="s">
        <v>100</v>
      </c>
      <c r="AD2064" s="4"/>
      <c r="AE2064" s="4"/>
      <c r="AF2064" s="6">
        <v>65</v>
      </c>
      <c r="AG2064" s="6"/>
      <c r="AH2064" s="7">
        <v>1</v>
      </c>
      <c r="AI2064" s="4"/>
      <c r="AJ2064" s="4">
        <f>=ROUNDDOWN({0},0)</f>
      </c>
      <c r="AK2064" s="5"/>
      <c r="AL2064" s="2" t="s">
        <v>100</v>
      </c>
      <c r="AM2064" s="4"/>
      <c r="AN2064" s="4"/>
      <c r="AO2064" s="7">
        <v>0</v>
      </c>
      <c r="AP2064" s="4"/>
      <c r="AQ2064" s="8"/>
      <c r="AR2064" s="4"/>
      <c r="AS2064" s="8"/>
      <c r="AT2064" s="7"/>
      <c r="AU2064" s="7"/>
      <c r="AV2064" s="4" t="s">
        <v>100</v>
      </c>
      <c r="AW2064" s="8" t="s">
        <v>100</v>
      </c>
      <c r="AX2064" s="4" t="s">
        <v>100</v>
      </c>
      <c r="AY2064" s="8" t="s">
        <v>100</v>
      </c>
      <c r="AZ2064" s="7" t="s">
        <v>100</v>
      </c>
      <c r="BA2064" s="7" t="s">
        <v>100</v>
      </c>
      <c r="BB2064" s="7"/>
      <c r="BC2064" s="4" t="s">
        <v>100</v>
      </c>
      <c r="BD2064" s="8" t="s">
        <v>100</v>
      </c>
      <c r="BE2064" s="4" t="s">
        <v>100</v>
      </c>
      <c r="BF2064" s="8" t="s">
        <v>100</v>
      </c>
      <c r="BG2064" s="7" t="s">
        <v>100</v>
      </c>
      <c r="BH2064" s="7" t="s">
        <v>100</v>
      </c>
      <c r="BI2064" s="7"/>
      <c r="BJ2064" s="4">
        <v>1</v>
      </c>
      <c r="BK2064" s="8">
        <v>44.69</v>
      </c>
      <c r="BL2064" s="2" t="s">
        <v>133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1338</v>
      </c>
      <c r="BV2064" s="2" t="s">
        <v>97</v>
      </c>
      <c r="BW2064" s="2" t="s">
        <v>100</v>
      </c>
      <c r="BX2064" s="2" t="s">
        <v>100</v>
      </c>
      <c r="BY2064" s="2" t="s">
        <v>112</v>
      </c>
      <c r="BZ2064" s="2" t="s">
        <v>100</v>
      </c>
    </row>
    <row r="2065">
      <c r="A2065" s="2" t="s">
        <v>5931</v>
      </c>
      <c r="B2065" s="2" t="s">
        <v>87</v>
      </c>
      <c r="C2065" s="2" t="s">
        <v>5913</v>
      </c>
      <c r="D2065" s="2" t="s">
        <v>3079</v>
      </c>
      <c r="E2065" s="2" t="s">
        <v>3080</v>
      </c>
      <c r="F2065" s="2" t="s">
        <v>5932</v>
      </c>
      <c r="G2065" s="2" t="s">
        <v>5932</v>
      </c>
      <c r="H2065" s="2" t="s">
        <v>5932</v>
      </c>
      <c r="I2065" s="2" t="s">
        <v>5929</v>
      </c>
      <c r="J2065" s="2" t="s">
        <v>785</v>
      </c>
      <c r="K2065" s="2" t="s">
        <v>253</v>
      </c>
      <c r="L2065" s="3">
        <v>68.09</v>
      </c>
      <c r="M2065" s="3">
        <v>71.49</v>
      </c>
      <c r="N2065" s="3">
        <v>199.99</v>
      </c>
      <c r="O2065" s="2" t="s">
        <v>97</v>
      </c>
      <c r="P2065" s="2" t="s">
        <v>4334</v>
      </c>
      <c r="Q2065" s="2" t="s">
        <v>99</v>
      </c>
      <c r="R2065" s="2" t="s">
        <v>100</v>
      </c>
      <c r="S2065" s="2" t="s">
        <v>100</v>
      </c>
      <c r="T2065" s="2" t="s">
        <v>359</v>
      </c>
      <c r="U2065" s="2" t="s">
        <v>100</v>
      </c>
      <c r="V2065" s="2" t="s">
        <v>805</v>
      </c>
      <c r="W2065" s="2" t="s">
        <v>976</v>
      </c>
      <c r="X2065" s="2" t="s">
        <v>100</v>
      </c>
      <c r="Y2065" s="2" t="s">
        <v>5933</v>
      </c>
      <c r="Z2065" s="4">
        <v>147</v>
      </c>
      <c r="AA2065" s="4">
        <f>=ROUNDDOWN(36.75,0)</f>
      </c>
      <c r="AB2065" s="5">
        <v>4</v>
      </c>
      <c r="AC2065" s="2" t="s">
        <v>100</v>
      </c>
      <c r="AD2065" s="4"/>
      <c r="AE2065" s="4"/>
      <c r="AF2065" s="6">
        <v>65</v>
      </c>
      <c r="AG2065" s="6"/>
      <c r="AH2065" s="7">
        <v>1</v>
      </c>
      <c r="AI2065" s="4"/>
      <c r="AJ2065" s="4">
        <f>=ROUNDDOWN({0},0)</f>
      </c>
      <c r="AK2065" s="5"/>
      <c r="AL2065" s="2" t="s">
        <v>100</v>
      </c>
      <c r="AM2065" s="4"/>
      <c r="AN2065" s="4"/>
      <c r="AO2065" s="7">
        <v>0</v>
      </c>
      <c r="AP2065" s="4"/>
      <c r="AQ2065" s="8"/>
      <c r="AR2065" s="4"/>
      <c r="AS2065" s="8"/>
      <c r="AT2065" s="7"/>
      <c r="AU2065" s="7"/>
      <c r="AV2065" s="4" t="s">
        <v>100</v>
      </c>
      <c r="AW2065" s="8" t="s">
        <v>100</v>
      </c>
      <c r="AX2065" s="4" t="s">
        <v>100</v>
      </c>
      <c r="AY2065" s="8" t="s">
        <v>100</v>
      </c>
      <c r="AZ2065" s="7" t="s">
        <v>100</v>
      </c>
      <c r="BA2065" s="7" t="s">
        <v>100</v>
      </c>
      <c r="BB2065" s="7"/>
      <c r="BC2065" s="4" t="s">
        <v>100</v>
      </c>
      <c r="BD2065" s="8" t="s">
        <v>100</v>
      </c>
      <c r="BE2065" s="4" t="s">
        <v>100</v>
      </c>
      <c r="BF2065" s="8" t="s">
        <v>100</v>
      </c>
      <c r="BG2065" s="7" t="s">
        <v>100</v>
      </c>
      <c r="BH2065" s="7" t="s">
        <v>100</v>
      </c>
      <c r="BI2065" s="7"/>
      <c r="BJ2065" s="4">
        <v>2</v>
      </c>
      <c r="BK2065" s="8">
        <v>75.79</v>
      </c>
      <c r="BL2065" s="2" t="s">
        <v>224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1338</v>
      </c>
      <c r="BV2065" s="2" t="s">
        <v>97</v>
      </c>
      <c r="BW2065" s="2" t="s">
        <v>100</v>
      </c>
      <c r="BX2065" s="2" t="s">
        <v>100</v>
      </c>
      <c r="BY2065" s="2" t="s">
        <v>112</v>
      </c>
      <c r="BZ2065" s="2" t="s">
        <v>100</v>
      </c>
    </row>
    <row r="2066">
      <c r="A2066" s="2" t="s">
        <v>5934</v>
      </c>
      <c r="B2066" s="2" t="s">
        <v>87</v>
      </c>
      <c r="C2066" s="2" t="s">
        <v>5913</v>
      </c>
      <c r="D2066" s="2" t="s">
        <v>3079</v>
      </c>
      <c r="E2066" s="2" t="s">
        <v>3080</v>
      </c>
      <c r="F2066" s="2" t="s">
        <v>5932</v>
      </c>
      <c r="G2066" s="2" t="s">
        <v>5932</v>
      </c>
      <c r="H2066" s="2" t="s">
        <v>5932</v>
      </c>
      <c r="I2066" s="2" t="s">
        <v>5929</v>
      </c>
      <c r="J2066" s="2" t="s">
        <v>795</v>
      </c>
      <c r="K2066" s="2" t="s">
        <v>253</v>
      </c>
      <c r="L2066" s="3">
        <v>85.12</v>
      </c>
      <c r="M2066" s="3">
        <v>89.38</v>
      </c>
      <c r="N2066" s="3">
        <v>249.99</v>
      </c>
      <c r="O2066" s="2" t="s">
        <v>97</v>
      </c>
      <c r="P2066" s="2" t="s">
        <v>4334</v>
      </c>
      <c r="Q2066" s="2" t="s">
        <v>99</v>
      </c>
      <c r="R2066" s="2" t="s">
        <v>100</v>
      </c>
      <c r="S2066" s="2" t="s">
        <v>100</v>
      </c>
      <c r="T2066" s="2" t="s">
        <v>359</v>
      </c>
      <c r="U2066" s="2" t="s">
        <v>100</v>
      </c>
      <c r="V2066" s="2" t="s">
        <v>805</v>
      </c>
      <c r="W2066" s="2" t="s">
        <v>976</v>
      </c>
      <c r="X2066" s="2" t="s">
        <v>100</v>
      </c>
      <c r="Y2066" s="2" t="s">
        <v>5933</v>
      </c>
      <c r="Z2066" s="4">
        <v>70</v>
      </c>
      <c r="AA2066" s="4">
        <f>=ROUNDDOWN(35,0)</f>
      </c>
      <c r="AB2066" s="5">
        <v>2</v>
      </c>
      <c r="AC2066" s="2" t="s">
        <v>100</v>
      </c>
      <c r="AD2066" s="4"/>
      <c r="AE2066" s="4"/>
      <c r="AF2066" s="6">
        <v>65</v>
      </c>
      <c r="AG2066" s="6"/>
      <c r="AH2066" s="7">
        <v>1</v>
      </c>
      <c r="AI2066" s="4"/>
      <c r="AJ2066" s="4">
        <f>=ROUNDDOWN({0},0)</f>
      </c>
      <c r="AK2066" s="5"/>
      <c r="AL2066" s="2" t="s">
        <v>100</v>
      </c>
      <c r="AM2066" s="4"/>
      <c r="AN2066" s="4"/>
      <c r="AO2066" s="7">
        <v>0</v>
      </c>
      <c r="AP2066" s="4"/>
      <c r="AQ2066" s="8"/>
      <c r="AR2066" s="4"/>
      <c r="AS2066" s="8"/>
      <c r="AT2066" s="7"/>
      <c r="AU2066" s="7"/>
      <c r="AV2066" s="4" t="s">
        <v>100</v>
      </c>
      <c r="AW2066" s="8" t="s">
        <v>100</v>
      </c>
      <c r="AX2066" s="4" t="s">
        <v>100</v>
      </c>
      <c r="AY2066" s="8" t="s">
        <v>100</v>
      </c>
      <c r="AZ2066" s="7" t="s">
        <v>100</v>
      </c>
      <c r="BA2066" s="7" t="s">
        <v>100</v>
      </c>
      <c r="BB2066" s="7"/>
      <c r="BC2066" s="4" t="s">
        <v>100</v>
      </c>
      <c r="BD2066" s="8" t="s">
        <v>100</v>
      </c>
      <c r="BE2066" s="4" t="s">
        <v>100</v>
      </c>
      <c r="BF2066" s="8" t="s">
        <v>100</v>
      </c>
      <c r="BG2066" s="7" t="s">
        <v>100</v>
      </c>
      <c r="BH2066" s="7" t="s">
        <v>100</v>
      </c>
      <c r="BI2066" s="7"/>
      <c r="BJ2066" s="4">
        <v>3</v>
      </c>
      <c r="BK2066" s="8">
        <v>150.15</v>
      </c>
      <c r="BL2066" s="2" t="s">
        <v>1310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1338</v>
      </c>
      <c r="BV2066" s="2" t="s">
        <v>97</v>
      </c>
      <c r="BW2066" s="2" t="s">
        <v>100</v>
      </c>
      <c r="BX2066" s="2" t="s">
        <v>100</v>
      </c>
      <c r="BY2066" s="2" t="s">
        <v>112</v>
      </c>
      <c r="BZ2066" s="2" t="s">
        <v>100</v>
      </c>
    </row>
    <row r="2067">
      <c r="A2067" s="2" t="s">
        <v>5935</v>
      </c>
      <c r="B2067" s="2" t="s">
        <v>87</v>
      </c>
      <c r="C2067" s="2" t="s">
        <v>5913</v>
      </c>
      <c r="D2067" s="2" t="s">
        <v>3079</v>
      </c>
      <c r="E2067" s="2" t="s">
        <v>3080</v>
      </c>
      <c r="F2067" s="2" t="s">
        <v>5936</v>
      </c>
      <c r="G2067" s="2" t="s">
        <v>5936</v>
      </c>
      <c r="H2067" s="2" t="s">
        <v>5936</v>
      </c>
      <c r="I2067" s="2" t="s">
        <v>5929</v>
      </c>
      <c r="J2067" s="2" t="s">
        <v>785</v>
      </c>
      <c r="K2067" s="2" t="s">
        <v>5937</v>
      </c>
      <c r="L2067" s="3">
        <v>68.09</v>
      </c>
      <c r="M2067" s="3">
        <v>71.49</v>
      </c>
      <c r="N2067" s="3">
        <v>199.99</v>
      </c>
      <c r="O2067" s="2" t="s">
        <v>97</v>
      </c>
      <c r="P2067" s="2" t="s">
        <v>447</v>
      </c>
      <c r="Q2067" s="2" t="s">
        <v>99</v>
      </c>
      <c r="R2067" s="2" t="s">
        <v>100</v>
      </c>
      <c r="S2067" s="2" t="s">
        <v>100</v>
      </c>
      <c r="T2067" s="2" t="s">
        <v>359</v>
      </c>
      <c r="U2067" s="2" t="s">
        <v>100</v>
      </c>
      <c r="V2067" s="2" t="s">
        <v>645</v>
      </c>
      <c r="W2067" s="2" t="s">
        <v>976</v>
      </c>
      <c r="X2067" s="2" t="s">
        <v>100</v>
      </c>
      <c r="Y2067" s="2" t="s">
        <v>5524</v>
      </c>
      <c r="Z2067" s="4">
        <v>248</v>
      </c>
      <c r="AA2067" s="4">
        <f>=ROUNDDOWN(248,0)</f>
      </c>
      <c r="AB2067" s="5">
        <v>1</v>
      </c>
      <c r="AC2067" s="2" t="s">
        <v>100</v>
      </c>
      <c r="AD2067" s="4"/>
      <c r="AE2067" s="4"/>
      <c r="AF2067" s="6">
        <v>65</v>
      </c>
      <c r="AG2067" s="6"/>
      <c r="AH2067" s="7">
        <v>1</v>
      </c>
      <c r="AI2067" s="4"/>
      <c r="AJ2067" s="4">
        <f>=ROUNDDOWN({0},0)</f>
      </c>
      <c r="AK2067" s="5"/>
      <c r="AL2067" s="2" t="s">
        <v>100</v>
      </c>
      <c r="AM2067" s="4"/>
      <c r="AN2067" s="4"/>
      <c r="AO2067" s="7">
        <v>0</v>
      </c>
      <c r="AP2067" s="4"/>
      <c r="AQ2067" s="8"/>
      <c r="AR2067" s="4"/>
      <c r="AS2067" s="8"/>
      <c r="AT2067" s="7"/>
      <c r="AU2067" s="7"/>
      <c r="AV2067" s="4" t="s">
        <v>100</v>
      </c>
      <c r="AW2067" s="8" t="s">
        <v>100</v>
      </c>
      <c r="AX2067" s="4" t="s">
        <v>100</v>
      </c>
      <c r="AY2067" s="8" t="s">
        <v>100</v>
      </c>
      <c r="AZ2067" s="7" t="s">
        <v>100</v>
      </c>
      <c r="BA2067" s="7" t="s">
        <v>100</v>
      </c>
      <c r="BB2067" s="7"/>
      <c r="BC2067" s="4" t="s">
        <v>100</v>
      </c>
      <c r="BD2067" s="8" t="s">
        <v>100</v>
      </c>
      <c r="BE2067" s="4" t="s">
        <v>100</v>
      </c>
      <c r="BF2067" s="8" t="s">
        <v>100</v>
      </c>
      <c r="BG2067" s="7" t="s">
        <v>100</v>
      </c>
      <c r="BH2067" s="7" t="s">
        <v>100</v>
      </c>
      <c r="BI2067" s="7"/>
      <c r="BJ2067" s="4"/>
      <c r="BK2067" s="8"/>
      <c r="BL2067" s="2" t="s">
        <v>100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1338</v>
      </c>
      <c r="BV2067" s="2" t="s">
        <v>97</v>
      </c>
      <c r="BW2067" s="2" t="s">
        <v>100</v>
      </c>
      <c r="BX2067" s="2" t="s">
        <v>100</v>
      </c>
      <c r="BY2067" s="2" t="s">
        <v>112</v>
      </c>
      <c r="BZ2067" s="2" t="s">
        <v>100</v>
      </c>
    </row>
    <row r="2068">
      <c r="A2068" s="2" t="s">
        <v>5938</v>
      </c>
      <c r="B2068" s="2" t="s">
        <v>87</v>
      </c>
      <c r="C2068" s="2" t="s">
        <v>5913</v>
      </c>
      <c r="D2068" s="2" t="s">
        <v>3079</v>
      </c>
      <c r="E2068" s="2" t="s">
        <v>3080</v>
      </c>
      <c r="F2068" s="2" t="s">
        <v>5936</v>
      </c>
      <c r="G2068" s="2" t="s">
        <v>5936</v>
      </c>
      <c r="H2068" s="2" t="s">
        <v>5936</v>
      </c>
      <c r="I2068" s="2" t="s">
        <v>5929</v>
      </c>
      <c r="J2068" s="2" t="s">
        <v>795</v>
      </c>
      <c r="K2068" s="2" t="s">
        <v>5937</v>
      </c>
      <c r="L2068" s="3">
        <v>85.12</v>
      </c>
      <c r="M2068" s="3">
        <v>89.38</v>
      </c>
      <c r="N2068" s="3">
        <v>249.99</v>
      </c>
      <c r="O2068" s="2" t="s">
        <v>97</v>
      </c>
      <c r="P2068" s="2" t="s">
        <v>447</v>
      </c>
      <c r="Q2068" s="2" t="s">
        <v>99</v>
      </c>
      <c r="R2068" s="2" t="s">
        <v>100</v>
      </c>
      <c r="S2068" s="2" t="s">
        <v>100</v>
      </c>
      <c r="T2068" s="2" t="s">
        <v>359</v>
      </c>
      <c r="U2068" s="2" t="s">
        <v>100</v>
      </c>
      <c r="V2068" s="2" t="s">
        <v>645</v>
      </c>
      <c r="W2068" s="2" t="s">
        <v>976</v>
      </c>
      <c r="X2068" s="2" t="s">
        <v>100</v>
      </c>
      <c r="Y2068" s="2" t="s">
        <v>5524</v>
      </c>
      <c r="Z2068" s="4">
        <v>137</v>
      </c>
      <c r="AA2068" s="4">
        <f>=ROUNDDOWN(137,0)</f>
      </c>
      <c r="AB2068" s="5">
        <v>1</v>
      </c>
      <c r="AC2068" s="2" t="s">
        <v>100</v>
      </c>
      <c r="AD2068" s="4"/>
      <c r="AE2068" s="4"/>
      <c r="AF2068" s="6">
        <v>65</v>
      </c>
      <c r="AG2068" s="6"/>
      <c r="AH2068" s="7">
        <v>1</v>
      </c>
      <c r="AI2068" s="4"/>
      <c r="AJ2068" s="4">
        <f>=ROUNDDOWN({0},0)</f>
      </c>
      <c r="AK2068" s="5"/>
      <c r="AL2068" s="2" t="s">
        <v>100</v>
      </c>
      <c r="AM2068" s="4"/>
      <c r="AN2068" s="4"/>
      <c r="AO2068" s="7">
        <v>0</v>
      </c>
      <c r="AP2068" s="4"/>
      <c r="AQ2068" s="8"/>
      <c r="AR2068" s="4"/>
      <c r="AS2068" s="8"/>
      <c r="AT2068" s="7"/>
      <c r="AU2068" s="7"/>
      <c r="AV2068" s="4" t="s">
        <v>100</v>
      </c>
      <c r="AW2068" s="8" t="s">
        <v>100</v>
      </c>
      <c r="AX2068" s="4" t="s">
        <v>100</v>
      </c>
      <c r="AY2068" s="8" t="s">
        <v>100</v>
      </c>
      <c r="AZ2068" s="7" t="s">
        <v>100</v>
      </c>
      <c r="BA2068" s="7" t="s">
        <v>100</v>
      </c>
      <c r="BB2068" s="7"/>
      <c r="BC2068" s="4" t="s">
        <v>100</v>
      </c>
      <c r="BD2068" s="8" t="s">
        <v>100</v>
      </c>
      <c r="BE2068" s="4" t="s">
        <v>100</v>
      </c>
      <c r="BF2068" s="8" t="s">
        <v>100</v>
      </c>
      <c r="BG2068" s="7" t="s">
        <v>100</v>
      </c>
      <c r="BH2068" s="7" t="s">
        <v>100</v>
      </c>
      <c r="BI2068" s="7"/>
      <c r="BJ2068" s="4">
        <v>1</v>
      </c>
      <c r="BK2068" s="8">
        <v>50.05</v>
      </c>
      <c r="BL2068" s="2" t="s">
        <v>1310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1338</v>
      </c>
      <c r="BV2068" s="2" t="s">
        <v>97</v>
      </c>
      <c r="BW2068" s="2" t="s">
        <v>100</v>
      </c>
      <c r="BX2068" s="2" t="s">
        <v>100</v>
      </c>
      <c r="BY2068" s="2" t="s">
        <v>112</v>
      </c>
      <c r="BZ2068" s="2" t="s">
        <v>100</v>
      </c>
    </row>
    <row r="2069">
      <c r="A2069" s="2" t="s">
        <v>5939</v>
      </c>
      <c r="B2069" s="2" t="s">
        <v>87</v>
      </c>
      <c r="C2069" s="2" t="s">
        <v>5913</v>
      </c>
      <c r="D2069" s="2" t="s">
        <v>4554</v>
      </c>
      <c r="E2069" s="2" t="s">
        <v>5940</v>
      </c>
      <c r="F2069" s="2" t="s">
        <v>5941</v>
      </c>
      <c r="G2069" s="2" t="s">
        <v>5941</v>
      </c>
      <c r="H2069" s="2" t="s">
        <v>5941</v>
      </c>
      <c r="I2069" s="2" t="s">
        <v>5942</v>
      </c>
      <c r="J2069" s="2" t="s">
        <v>5943</v>
      </c>
      <c r="K2069" s="2" t="s">
        <v>213</v>
      </c>
      <c r="L2069" s="3">
        <v>18.57</v>
      </c>
      <c r="M2069" s="3">
        <v>19.5</v>
      </c>
      <c r="N2069" s="3">
        <v>59.99</v>
      </c>
      <c r="O2069" s="2" t="s">
        <v>97</v>
      </c>
      <c r="P2069" s="2" t="s">
        <v>447</v>
      </c>
      <c r="Q2069" s="2" t="s">
        <v>99</v>
      </c>
      <c r="R2069" s="2" t="s">
        <v>100</v>
      </c>
      <c r="S2069" s="2" t="s">
        <v>100</v>
      </c>
      <c r="T2069" s="2" t="s">
        <v>100</v>
      </c>
      <c r="U2069" s="2" t="s">
        <v>100</v>
      </c>
      <c r="V2069" s="2" t="s">
        <v>645</v>
      </c>
      <c r="W2069" s="2" t="s">
        <v>976</v>
      </c>
      <c r="X2069" s="2" t="s">
        <v>100</v>
      </c>
      <c r="Y2069" s="2" t="s">
        <v>5933</v>
      </c>
      <c r="Z2069" s="4">
        <v>82</v>
      </c>
      <c r="AA2069" s="4">
        <f>=ROUNDDOWN(20.5,0)</f>
      </c>
      <c r="AB2069" s="5">
        <v>4</v>
      </c>
      <c r="AC2069" s="2" t="s">
        <v>100</v>
      </c>
      <c r="AD2069" s="4"/>
      <c r="AE2069" s="4"/>
      <c r="AF2069" s="6">
        <v>65</v>
      </c>
      <c r="AG2069" s="6"/>
      <c r="AH2069" s="7">
        <v>1</v>
      </c>
      <c r="AI2069" s="4"/>
      <c r="AJ2069" s="4">
        <f>=ROUNDDOWN({0},0)</f>
      </c>
      <c r="AK2069" s="5"/>
      <c r="AL2069" s="2" t="s">
        <v>100</v>
      </c>
      <c r="AM2069" s="4"/>
      <c r="AN2069" s="4"/>
      <c r="AO2069" s="7">
        <v>0</v>
      </c>
      <c r="AP2069" s="4"/>
      <c r="AQ2069" s="8"/>
      <c r="AR2069" s="4"/>
      <c r="AS2069" s="8"/>
      <c r="AT2069" s="7"/>
      <c r="AU2069" s="7"/>
      <c r="AV2069" s="4"/>
      <c r="AW2069" s="8"/>
      <c r="AX2069" s="4"/>
      <c r="AY2069" s="8"/>
      <c r="AZ2069" s="7"/>
      <c r="BA2069" s="7"/>
      <c r="BB2069" s="7"/>
      <c r="BC2069" s="4"/>
      <c r="BD2069" s="8"/>
      <c r="BE2069" s="4"/>
      <c r="BF2069" s="8"/>
      <c r="BG2069" s="7"/>
      <c r="BH2069" s="7"/>
      <c r="BI2069" s="7"/>
      <c r="BJ2069" s="4">
        <v>2</v>
      </c>
      <c r="BK2069" s="8">
        <v>36.07</v>
      </c>
      <c r="BL2069" s="2" t="s">
        <v>741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1338</v>
      </c>
      <c r="BV2069" s="2" t="s">
        <v>97</v>
      </c>
      <c r="BW2069" s="2" t="s">
        <v>100</v>
      </c>
      <c r="BX2069" s="2" t="s">
        <v>100</v>
      </c>
      <c r="BY2069" s="2" t="s">
        <v>112</v>
      </c>
      <c r="BZ2069" s="2" t="s">
        <v>100</v>
      </c>
    </row>
    <row r="2070">
      <c r="A2070" s="2" t="s">
        <v>5944</v>
      </c>
      <c r="B2070" s="2" t="s">
        <v>87</v>
      </c>
      <c r="C2070" s="2" t="s">
        <v>5945</v>
      </c>
      <c r="D2070" s="2" t="s">
        <v>3365</v>
      </c>
      <c r="E2070" s="2" t="s">
        <v>5914</v>
      </c>
      <c r="F2070" s="2" t="s">
        <v>5946</v>
      </c>
      <c r="G2070" s="2" t="s">
        <v>5946</v>
      </c>
      <c r="H2070" s="2" t="s">
        <v>5946</v>
      </c>
      <c r="I2070" s="2" t="s">
        <v>5916</v>
      </c>
      <c r="J2070" s="2" t="s">
        <v>5917</v>
      </c>
      <c r="K2070" s="2" t="s">
        <v>763</v>
      </c>
      <c r="L2070" s="3">
        <v>24.76</v>
      </c>
      <c r="M2070" s="3">
        <v>26</v>
      </c>
      <c r="N2070" s="3">
        <v>79.99</v>
      </c>
      <c r="O2070" s="2" t="s">
        <v>97</v>
      </c>
      <c r="P2070" s="2" t="s">
        <v>4334</v>
      </c>
      <c r="Q2070" s="2" t="s">
        <v>99</v>
      </c>
      <c r="R2070" s="2" t="s">
        <v>100</v>
      </c>
      <c r="S2070" s="2" t="s">
        <v>100</v>
      </c>
      <c r="T2070" s="2" t="s">
        <v>100</v>
      </c>
      <c r="U2070" s="2" t="s">
        <v>3325</v>
      </c>
      <c r="V2070" s="2" t="s">
        <v>734</v>
      </c>
      <c r="W2070" s="2" t="s">
        <v>244</v>
      </c>
      <c r="X2070" s="2" t="s">
        <v>100</v>
      </c>
      <c r="Y2070" s="2" t="s">
        <v>2843</v>
      </c>
      <c r="Z2070" s="4">
        <v>187</v>
      </c>
      <c r="AA2070" s="4">
        <f>=ROUNDDOWN(187,0)</f>
      </c>
      <c r="AB2070" s="5">
        <v>1</v>
      </c>
      <c r="AC2070" s="2" t="s">
        <v>100</v>
      </c>
      <c r="AD2070" s="4"/>
      <c r="AE2070" s="4"/>
      <c r="AF2070" s="6">
        <v>65</v>
      </c>
      <c r="AG2070" s="6"/>
      <c r="AH2070" s="7">
        <v>1</v>
      </c>
      <c r="AI2070" s="4"/>
      <c r="AJ2070" s="4">
        <f>=ROUNDDOWN({0},0)</f>
      </c>
      <c r="AK2070" s="5"/>
      <c r="AL2070" s="2" t="s">
        <v>100</v>
      </c>
      <c r="AM2070" s="4"/>
      <c r="AN2070" s="4"/>
      <c r="AO2070" s="7">
        <v>0</v>
      </c>
      <c r="AP2070" s="4"/>
      <c r="AQ2070" s="8"/>
      <c r="AR2070" s="4"/>
      <c r="AS2070" s="8"/>
      <c r="AT2070" s="7"/>
      <c r="AU2070" s="7"/>
      <c r="AV2070" s="4"/>
      <c r="AW2070" s="8"/>
      <c r="AX2070" s="4"/>
      <c r="AY2070" s="8"/>
      <c r="AZ2070" s="7"/>
      <c r="BA2070" s="7"/>
      <c r="BB2070" s="7"/>
      <c r="BC2070" s="4" t="s">
        <v>100</v>
      </c>
      <c r="BD2070" s="8" t="s">
        <v>100</v>
      </c>
      <c r="BE2070" s="4" t="s">
        <v>100</v>
      </c>
      <c r="BF2070" s="8" t="s">
        <v>100</v>
      </c>
      <c r="BG2070" s="7" t="s">
        <v>100</v>
      </c>
      <c r="BH2070" s="7" t="s">
        <v>100</v>
      </c>
      <c r="BI2070" s="7"/>
      <c r="BJ2070" s="4"/>
      <c r="BK2070" s="8"/>
      <c r="BL2070" s="2" t="s">
        <v>100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109</v>
      </c>
      <c r="BV2070" s="2" t="s">
        <v>97</v>
      </c>
      <c r="BW2070" s="2" t="s">
        <v>4714</v>
      </c>
      <c r="BX2070" s="2" t="s">
        <v>100</v>
      </c>
      <c r="BY2070" s="2" t="s">
        <v>112</v>
      </c>
      <c r="BZ2070" s="2" t="s">
        <v>100</v>
      </c>
    </row>
    <row r="2071">
      <c r="A2071" s="2" t="s">
        <v>5947</v>
      </c>
      <c r="B2071" s="2" t="s">
        <v>87</v>
      </c>
      <c r="C2071" s="2" t="s">
        <v>5945</v>
      </c>
      <c r="D2071" s="2" t="s">
        <v>3365</v>
      </c>
      <c r="E2071" s="2" t="s">
        <v>5914</v>
      </c>
      <c r="F2071" s="2" t="s">
        <v>5946</v>
      </c>
      <c r="G2071" s="2" t="s">
        <v>5946</v>
      </c>
      <c r="H2071" s="2" t="s">
        <v>5946</v>
      </c>
      <c r="I2071" s="2" t="s">
        <v>5916</v>
      </c>
      <c r="J2071" s="2" t="s">
        <v>5917</v>
      </c>
      <c r="K2071" s="2" t="s">
        <v>2356</v>
      </c>
      <c r="L2071" s="3">
        <v>24.76</v>
      </c>
      <c r="M2071" s="3">
        <v>26</v>
      </c>
      <c r="N2071" s="3">
        <v>79.99</v>
      </c>
      <c r="O2071" s="2" t="s">
        <v>97</v>
      </c>
      <c r="P2071" s="2" t="s">
        <v>4334</v>
      </c>
      <c r="Q2071" s="2" t="s">
        <v>99</v>
      </c>
      <c r="R2071" s="2" t="s">
        <v>100</v>
      </c>
      <c r="S2071" s="2" t="s">
        <v>100</v>
      </c>
      <c r="T2071" s="2" t="s">
        <v>100</v>
      </c>
      <c r="U2071" s="2" t="s">
        <v>3325</v>
      </c>
      <c r="V2071" s="2" t="s">
        <v>734</v>
      </c>
      <c r="W2071" s="2" t="s">
        <v>244</v>
      </c>
      <c r="X2071" s="2" t="s">
        <v>100</v>
      </c>
      <c r="Y2071" s="2" t="s">
        <v>2843</v>
      </c>
      <c r="Z2071" s="4">
        <v>85</v>
      </c>
      <c r="AA2071" s="4">
        <f>=ROUNDDOWN(106.25,0)</f>
      </c>
      <c r="AB2071" s="5">
        <v>0.8</v>
      </c>
      <c r="AC2071" s="2" t="s">
        <v>100</v>
      </c>
      <c r="AD2071" s="4"/>
      <c r="AE2071" s="4"/>
      <c r="AF2071" s="6">
        <v>65</v>
      </c>
      <c r="AG2071" s="6"/>
      <c r="AH2071" s="7">
        <v>1</v>
      </c>
      <c r="AI2071" s="4"/>
      <c r="AJ2071" s="4">
        <f>=ROUNDDOWN({0},0)</f>
      </c>
      <c r="AK2071" s="5"/>
      <c r="AL2071" s="2" t="s">
        <v>100</v>
      </c>
      <c r="AM2071" s="4"/>
      <c r="AN2071" s="4"/>
      <c r="AO2071" s="7">
        <v>0</v>
      </c>
      <c r="AP2071" s="4"/>
      <c r="AQ2071" s="8"/>
      <c r="AR2071" s="4"/>
      <c r="AS2071" s="8"/>
      <c r="AT2071" s="7"/>
      <c r="AU2071" s="7"/>
      <c r="AV2071" s="4"/>
      <c r="AW2071" s="8"/>
      <c r="AX2071" s="4"/>
      <c r="AY2071" s="8"/>
      <c r="AZ2071" s="7"/>
      <c r="BA2071" s="7"/>
      <c r="BB2071" s="7"/>
      <c r="BC2071" s="4" t="s">
        <v>100</v>
      </c>
      <c r="BD2071" s="8" t="s">
        <v>100</v>
      </c>
      <c r="BE2071" s="4" t="s">
        <v>100</v>
      </c>
      <c r="BF2071" s="8" t="s">
        <v>100</v>
      </c>
      <c r="BG2071" s="7" t="s">
        <v>100</v>
      </c>
      <c r="BH2071" s="7" t="s">
        <v>100</v>
      </c>
      <c r="BI2071" s="7"/>
      <c r="BJ2071" s="4"/>
      <c r="BK2071" s="8"/>
      <c r="BL2071" s="2" t="s">
        <v>100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109</v>
      </c>
      <c r="BV2071" s="2" t="s">
        <v>97</v>
      </c>
      <c r="BW2071" s="2" t="s">
        <v>4714</v>
      </c>
      <c r="BX2071" s="2" t="s">
        <v>100</v>
      </c>
      <c r="BY2071" s="2" t="s">
        <v>112</v>
      </c>
      <c r="BZ2071" s="2" t="s">
        <v>100</v>
      </c>
    </row>
    <row r="2072">
      <c r="A2072" s="2" t="s">
        <v>5948</v>
      </c>
      <c r="B2072" s="2" t="s">
        <v>87</v>
      </c>
      <c r="C2072" s="2" t="s">
        <v>5945</v>
      </c>
      <c r="D2072" s="2" t="s">
        <v>3365</v>
      </c>
      <c r="E2072" s="2" t="s">
        <v>5914</v>
      </c>
      <c r="F2072" s="2" t="s">
        <v>5946</v>
      </c>
      <c r="G2072" s="2" t="s">
        <v>5946</v>
      </c>
      <c r="H2072" s="2" t="s">
        <v>5946</v>
      </c>
      <c r="I2072" s="2" t="s">
        <v>5916</v>
      </c>
      <c r="J2072" s="2" t="s">
        <v>5917</v>
      </c>
      <c r="K2072" s="2" t="s">
        <v>2020</v>
      </c>
      <c r="L2072" s="3">
        <v>24.76</v>
      </c>
      <c r="M2072" s="3">
        <v>26</v>
      </c>
      <c r="N2072" s="3">
        <v>79.99</v>
      </c>
      <c r="O2072" s="2" t="s">
        <v>97</v>
      </c>
      <c r="P2072" s="2" t="s">
        <v>587</v>
      </c>
      <c r="Q2072" s="2" t="s">
        <v>99</v>
      </c>
      <c r="R2072" s="2" t="s">
        <v>100</v>
      </c>
      <c r="S2072" s="2" t="s">
        <v>100</v>
      </c>
      <c r="T2072" s="2" t="s">
        <v>100</v>
      </c>
      <c r="U2072" s="2" t="s">
        <v>3325</v>
      </c>
      <c r="V2072" s="2" t="s">
        <v>734</v>
      </c>
      <c r="W2072" s="2" t="s">
        <v>244</v>
      </c>
      <c r="X2072" s="2" t="s">
        <v>100</v>
      </c>
      <c r="Y2072" s="2" t="s">
        <v>2843</v>
      </c>
      <c r="Z2072" s="4">
        <v>150</v>
      </c>
      <c r="AA2072" s="4">
        <f>=ROUNDDOWN(75,0)</f>
      </c>
      <c r="AB2072" s="5">
        <v>2</v>
      </c>
      <c r="AC2072" s="2" t="s">
        <v>100</v>
      </c>
      <c r="AD2072" s="4"/>
      <c r="AE2072" s="4"/>
      <c r="AF2072" s="6">
        <v>65</v>
      </c>
      <c r="AG2072" s="6"/>
      <c r="AH2072" s="7">
        <v>1</v>
      </c>
      <c r="AI2072" s="4"/>
      <c r="AJ2072" s="4">
        <f>=ROUNDDOWN({0},0)</f>
      </c>
      <c r="AK2072" s="5"/>
      <c r="AL2072" s="2" t="s">
        <v>100</v>
      </c>
      <c r="AM2072" s="4"/>
      <c r="AN2072" s="4"/>
      <c r="AO2072" s="7">
        <v>0</v>
      </c>
      <c r="AP2072" s="4"/>
      <c r="AQ2072" s="8"/>
      <c r="AR2072" s="4"/>
      <c r="AS2072" s="8"/>
      <c r="AT2072" s="7"/>
      <c r="AU2072" s="7"/>
      <c r="AV2072" s="4"/>
      <c r="AW2072" s="8"/>
      <c r="AX2072" s="4"/>
      <c r="AY2072" s="8"/>
      <c r="AZ2072" s="7"/>
      <c r="BA2072" s="7"/>
      <c r="BB2072" s="7"/>
      <c r="BC2072" s="4" t="s">
        <v>100</v>
      </c>
      <c r="BD2072" s="8" t="s">
        <v>100</v>
      </c>
      <c r="BE2072" s="4" t="s">
        <v>100</v>
      </c>
      <c r="BF2072" s="8" t="s">
        <v>100</v>
      </c>
      <c r="BG2072" s="7" t="s">
        <v>100</v>
      </c>
      <c r="BH2072" s="7" t="s">
        <v>100</v>
      </c>
      <c r="BI2072" s="7"/>
      <c r="BJ2072" s="4">
        <v>8</v>
      </c>
      <c r="BK2072" s="8">
        <v>227.76</v>
      </c>
      <c r="BL2072" s="2" t="s">
        <v>625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109</v>
      </c>
      <c r="BV2072" s="2" t="s">
        <v>97</v>
      </c>
      <c r="BW2072" s="2" t="s">
        <v>4714</v>
      </c>
      <c r="BX2072" s="2" t="s">
        <v>100</v>
      </c>
      <c r="BY2072" s="2" t="s">
        <v>112</v>
      </c>
      <c r="BZ2072" s="2" t="s">
        <v>100</v>
      </c>
    </row>
    <row r="2073">
      <c r="A2073" s="2" t="s">
        <v>5949</v>
      </c>
      <c r="B2073" s="2" t="s">
        <v>87</v>
      </c>
      <c r="C2073" s="2" t="s">
        <v>5945</v>
      </c>
      <c r="D2073" s="2" t="s">
        <v>3365</v>
      </c>
      <c r="E2073" s="2" t="s">
        <v>5914</v>
      </c>
      <c r="F2073" s="2" t="s">
        <v>5946</v>
      </c>
      <c r="G2073" s="2" t="s">
        <v>5946</v>
      </c>
      <c r="H2073" s="2" t="s">
        <v>5946</v>
      </c>
      <c r="I2073" s="2" t="s">
        <v>5916</v>
      </c>
      <c r="J2073" s="2" t="s">
        <v>5917</v>
      </c>
      <c r="K2073" s="2" t="s">
        <v>163</v>
      </c>
      <c r="L2073" s="3">
        <v>24.76</v>
      </c>
      <c r="M2073" s="3">
        <v>26</v>
      </c>
      <c r="N2073" s="3">
        <v>79.99</v>
      </c>
      <c r="O2073" s="2" t="s">
        <v>97</v>
      </c>
      <c r="P2073" s="2" t="s">
        <v>98</v>
      </c>
      <c r="Q2073" s="2" t="s">
        <v>99</v>
      </c>
      <c r="R2073" s="2" t="s">
        <v>100</v>
      </c>
      <c r="S2073" s="2" t="s">
        <v>100</v>
      </c>
      <c r="T2073" s="2" t="s">
        <v>100</v>
      </c>
      <c r="U2073" s="2" t="s">
        <v>3325</v>
      </c>
      <c r="V2073" s="2" t="s">
        <v>734</v>
      </c>
      <c r="W2073" s="2" t="s">
        <v>244</v>
      </c>
      <c r="X2073" s="2" t="s">
        <v>100</v>
      </c>
      <c r="Y2073" s="2" t="s">
        <v>2843</v>
      </c>
      <c r="Z2073" s="4"/>
      <c r="AA2073" s="4">
        <f>=ROUNDDOWN({0},0)</f>
      </c>
      <c r="AB2073" s="5">
        <v>3</v>
      </c>
      <c r="AC2073" s="2" t="s">
        <v>4097</v>
      </c>
      <c r="AD2073" s="4">
        <v>280</v>
      </c>
      <c r="AE2073" s="4">
        <v>280</v>
      </c>
      <c r="AF2073" s="6">
        <v>65</v>
      </c>
      <c r="AG2073" s="6"/>
      <c r="AH2073" s="7">
        <v>0</v>
      </c>
      <c r="AI2073" s="4"/>
      <c r="AJ2073" s="4">
        <f>=ROUNDDOWN({0},0)</f>
      </c>
      <c r="AK2073" s="5"/>
      <c r="AL2073" s="2" t="s">
        <v>100</v>
      </c>
      <c r="AM2073" s="4"/>
      <c r="AN2073" s="4"/>
      <c r="AO2073" s="7">
        <v>0</v>
      </c>
      <c r="AP2073" s="4"/>
      <c r="AQ2073" s="8"/>
      <c r="AR2073" s="4"/>
      <c r="AS2073" s="8"/>
      <c r="AT2073" s="7"/>
      <c r="AU2073" s="7"/>
      <c r="AV2073" s="4"/>
      <c r="AW2073" s="8"/>
      <c r="AX2073" s="4"/>
      <c r="AY2073" s="8"/>
      <c r="AZ2073" s="7"/>
      <c r="BA2073" s="7"/>
      <c r="BB2073" s="7"/>
      <c r="BC2073" s="4" t="s">
        <v>100</v>
      </c>
      <c r="BD2073" s="8" t="s">
        <v>100</v>
      </c>
      <c r="BE2073" s="4" t="s">
        <v>100</v>
      </c>
      <c r="BF2073" s="8" t="s">
        <v>100</v>
      </c>
      <c r="BG2073" s="7" t="s">
        <v>100</v>
      </c>
      <c r="BH2073" s="7" t="s">
        <v>100</v>
      </c>
      <c r="BI2073" s="7"/>
      <c r="BJ2073" s="4"/>
      <c r="BK2073" s="8"/>
      <c r="BL2073" s="2" t="s">
        <v>100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109</v>
      </c>
      <c r="BV2073" s="2" t="s">
        <v>97</v>
      </c>
      <c r="BW2073" s="2" t="s">
        <v>4714</v>
      </c>
      <c r="BX2073" s="2" t="s">
        <v>100</v>
      </c>
      <c r="BY2073" s="2" t="s">
        <v>112</v>
      </c>
      <c r="BZ2073" s="2" t="s">
        <v>100</v>
      </c>
    </row>
    <row r="2074">
      <c r="A2074" s="2" t="s">
        <v>5950</v>
      </c>
      <c r="B2074" s="2" t="s">
        <v>87</v>
      </c>
      <c r="C2074" s="2" t="s">
        <v>5945</v>
      </c>
      <c r="D2074" s="2" t="s">
        <v>3365</v>
      </c>
      <c r="E2074" s="2" t="s">
        <v>5914</v>
      </c>
      <c r="F2074" s="2" t="s">
        <v>5951</v>
      </c>
      <c r="G2074" s="2" t="s">
        <v>5951</v>
      </c>
      <c r="H2074" s="2" t="s">
        <v>5951</v>
      </c>
      <c r="I2074" s="2" t="s">
        <v>5916</v>
      </c>
      <c r="J2074" s="2" t="s">
        <v>5917</v>
      </c>
      <c r="K2074" s="2" t="s">
        <v>5802</v>
      </c>
      <c r="L2074" s="3">
        <v>24.76</v>
      </c>
      <c r="M2074" s="3">
        <v>26</v>
      </c>
      <c r="N2074" s="3">
        <v>79.99</v>
      </c>
      <c r="O2074" s="2" t="s">
        <v>97</v>
      </c>
      <c r="P2074" s="2" t="s">
        <v>4334</v>
      </c>
      <c r="Q2074" s="2" t="s">
        <v>99</v>
      </c>
      <c r="R2074" s="2" t="s">
        <v>100</v>
      </c>
      <c r="S2074" s="2" t="s">
        <v>100</v>
      </c>
      <c r="T2074" s="2" t="s">
        <v>100</v>
      </c>
      <c r="U2074" s="2" t="s">
        <v>3325</v>
      </c>
      <c r="V2074" s="2" t="s">
        <v>5952</v>
      </c>
      <c r="W2074" s="2" t="s">
        <v>244</v>
      </c>
      <c r="X2074" s="2" t="s">
        <v>100</v>
      </c>
      <c r="Y2074" s="2" t="s">
        <v>2843</v>
      </c>
      <c r="Z2074" s="4">
        <v>108</v>
      </c>
      <c r="AA2074" s="4">
        <f>=ROUNDDOWN(51.4285714285714,0)</f>
      </c>
      <c r="AB2074" s="5">
        <v>2.1</v>
      </c>
      <c r="AC2074" s="2" t="s">
        <v>100</v>
      </c>
      <c r="AD2074" s="4"/>
      <c r="AE2074" s="4"/>
      <c r="AF2074" s="6">
        <v>65</v>
      </c>
      <c r="AG2074" s="6"/>
      <c r="AH2074" s="7">
        <v>1</v>
      </c>
      <c r="AI2074" s="4"/>
      <c r="AJ2074" s="4">
        <f>=ROUNDDOWN({0},0)</f>
      </c>
      <c r="AK2074" s="5"/>
      <c r="AL2074" s="2" t="s">
        <v>100</v>
      </c>
      <c r="AM2074" s="4"/>
      <c r="AN2074" s="4"/>
      <c r="AO2074" s="7">
        <v>0</v>
      </c>
      <c r="AP2074" s="4"/>
      <c r="AQ2074" s="8"/>
      <c r="AR2074" s="4"/>
      <c r="AS2074" s="8"/>
      <c r="AT2074" s="7"/>
      <c r="AU2074" s="7"/>
      <c r="AV2074" s="4"/>
      <c r="AW2074" s="8"/>
      <c r="AX2074" s="4"/>
      <c r="AY2074" s="8"/>
      <c r="AZ2074" s="7"/>
      <c r="BA2074" s="7"/>
      <c r="BB2074" s="7"/>
      <c r="BC2074" s="4" t="s">
        <v>100</v>
      </c>
      <c r="BD2074" s="8" t="s">
        <v>100</v>
      </c>
      <c r="BE2074" s="4" t="s">
        <v>100</v>
      </c>
      <c r="BF2074" s="8" t="s">
        <v>100</v>
      </c>
      <c r="BG2074" s="7" t="s">
        <v>100</v>
      </c>
      <c r="BH2074" s="7" t="s">
        <v>100</v>
      </c>
      <c r="BI2074" s="7"/>
      <c r="BJ2074" s="4">
        <v>16</v>
      </c>
      <c r="BK2074" s="8">
        <v>455.52</v>
      </c>
      <c r="BL2074" s="2" t="s">
        <v>625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109</v>
      </c>
      <c r="BV2074" s="2" t="s">
        <v>97</v>
      </c>
      <c r="BW2074" s="2" t="s">
        <v>4714</v>
      </c>
      <c r="BX2074" s="2" t="s">
        <v>100</v>
      </c>
      <c r="BY2074" s="2" t="s">
        <v>112</v>
      </c>
      <c r="BZ2074" s="2" t="s">
        <v>100</v>
      </c>
    </row>
    <row r="2075">
      <c r="A2075" s="2" t="s">
        <v>5953</v>
      </c>
      <c r="B2075" s="2" t="s">
        <v>87</v>
      </c>
      <c r="C2075" s="2" t="s">
        <v>5945</v>
      </c>
      <c r="D2075" s="2" t="s">
        <v>3365</v>
      </c>
      <c r="E2075" s="2" t="s">
        <v>5914</v>
      </c>
      <c r="F2075" s="2" t="s">
        <v>5951</v>
      </c>
      <c r="G2075" s="2" t="s">
        <v>5951</v>
      </c>
      <c r="H2075" s="2" t="s">
        <v>5951</v>
      </c>
      <c r="I2075" s="2" t="s">
        <v>5916</v>
      </c>
      <c r="J2075" s="2" t="s">
        <v>5917</v>
      </c>
      <c r="K2075" s="2" t="s">
        <v>1572</v>
      </c>
      <c r="L2075" s="3">
        <v>24.76</v>
      </c>
      <c r="M2075" s="3">
        <v>26</v>
      </c>
      <c r="N2075" s="3">
        <v>79.99</v>
      </c>
      <c r="O2075" s="2" t="s">
        <v>97</v>
      </c>
      <c r="P2075" s="2" t="s">
        <v>4334</v>
      </c>
      <c r="Q2075" s="2" t="s">
        <v>99</v>
      </c>
      <c r="R2075" s="2" t="s">
        <v>100</v>
      </c>
      <c r="S2075" s="2" t="s">
        <v>100</v>
      </c>
      <c r="T2075" s="2" t="s">
        <v>100</v>
      </c>
      <c r="U2075" s="2" t="s">
        <v>3325</v>
      </c>
      <c r="V2075" s="2" t="s">
        <v>5952</v>
      </c>
      <c r="W2075" s="2" t="s">
        <v>244</v>
      </c>
      <c r="X2075" s="2" t="s">
        <v>100</v>
      </c>
      <c r="Y2075" s="2" t="s">
        <v>2843</v>
      </c>
      <c r="Z2075" s="4">
        <v>136</v>
      </c>
      <c r="AA2075" s="4">
        <f>=ROUNDDOWN(45.3333333333333,0)</f>
      </c>
      <c r="AB2075" s="5">
        <v>3</v>
      </c>
      <c r="AC2075" s="2" t="s">
        <v>100</v>
      </c>
      <c r="AD2075" s="4"/>
      <c r="AE2075" s="4"/>
      <c r="AF2075" s="6">
        <v>65</v>
      </c>
      <c r="AG2075" s="6"/>
      <c r="AH2075" s="7">
        <v>1</v>
      </c>
      <c r="AI2075" s="4"/>
      <c r="AJ2075" s="4">
        <f>=ROUNDDOWN({0},0)</f>
      </c>
      <c r="AK2075" s="5"/>
      <c r="AL2075" s="2" t="s">
        <v>100</v>
      </c>
      <c r="AM2075" s="4"/>
      <c r="AN2075" s="4"/>
      <c r="AO2075" s="7">
        <v>0</v>
      </c>
      <c r="AP2075" s="4"/>
      <c r="AQ2075" s="8"/>
      <c r="AR2075" s="4"/>
      <c r="AS2075" s="8"/>
      <c r="AT2075" s="7"/>
      <c r="AU2075" s="7"/>
      <c r="AV2075" s="4"/>
      <c r="AW2075" s="8"/>
      <c r="AX2075" s="4"/>
      <c r="AY2075" s="8"/>
      <c r="AZ2075" s="7"/>
      <c r="BA2075" s="7"/>
      <c r="BB2075" s="7"/>
      <c r="BC2075" s="4" t="s">
        <v>100</v>
      </c>
      <c r="BD2075" s="8" t="s">
        <v>100</v>
      </c>
      <c r="BE2075" s="4" t="s">
        <v>100</v>
      </c>
      <c r="BF2075" s="8" t="s">
        <v>100</v>
      </c>
      <c r="BG2075" s="7" t="s">
        <v>100</v>
      </c>
      <c r="BH2075" s="7" t="s">
        <v>100</v>
      </c>
      <c r="BI2075" s="7"/>
      <c r="BJ2075" s="4"/>
      <c r="BK2075" s="8"/>
      <c r="BL2075" s="2" t="s">
        <v>100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109</v>
      </c>
      <c r="BV2075" s="2" t="s">
        <v>97</v>
      </c>
      <c r="BW2075" s="2" t="s">
        <v>4714</v>
      </c>
      <c r="BX2075" s="2" t="s">
        <v>4791</v>
      </c>
      <c r="BY2075" s="2" t="s">
        <v>112</v>
      </c>
      <c r="BZ2075" s="2" t="s">
        <v>100</v>
      </c>
    </row>
    <row r="2076">
      <c r="A2076" s="2" t="s">
        <v>5954</v>
      </c>
      <c r="B2076" s="2" t="s">
        <v>87</v>
      </c>
      <c r="C2076" s="2" t="s">
        <v>5945</v>
      </c>
      <c r="D2076" s="2" t="s">
        <v>89</v>
      </c>
      <c r="E2076" s="2" t="s">
        <v>90</v>
      </c>
      <c r="F2076" s="2" t="s">
        <v>5955</v>
      </c>
      <c r="G2076" s="2" t="s">
        <v>5955</v>
      </c>
      <c r="H2076" s="2" t="s">
        <v>5955</v>
      </c>
      <c r="I2076" s="2" t="s">
        <v>5956</v>
      </c>
      <c r="J2076" s="2" t="s">
        <v>114</v>
      </c>
      <c r="K2076" s="2" t="s">
        <v>763</v>
      </c>
      <c r="L2076" s="3">
        <v>170.23</v>
      </c>
      <c r="M2076" s="3">
        <v>178.74</v>
      </c>
      <c r="N2076" s="3">
        <v>499.99</v>
      </c>
      <c r="O2076" s="2" t="s">
        <v>97</v>
      </c>
      <c r="P2076" s="2" t="s">
        <v>98</v>
      </c>
      <c r="Q2076" s="2" t="s">
        <v>99</v>
      </c>
      <c r="R2076" s="2" t="s">
        <v>100</v>
      </c>
      <c r="S2076" s="2" t="s">
        <v>100</v>
      </c>
      <c r="T2076" s="2" t="s">
        <v>100</v>
      </c>
      <c r="U2076" s="2" t="s">
        <v>1459</v>
      </c>
      <c r="V2076" s="2" t="s">
        <v>2876</v>
      </c>
      <c r="W2076" s="2" t="s">
        <v>244</v>
      </c>
      <c r="X2076" s="2" t="s">
        <v>100</v>
      </c>
      <c r="Y2076" s="2" t="s">
        <v>5957</v>
      </c>
      <c r="Z2076" s="4">
        <v>175</v>
      </c>
      <c r="AA2076" s="4">
        <f>=ROUNDDOWN(25,0)</f>
      </c>
      <c r="AB2076" s="5">
        <v>7</v>
      </c>
      <c r="AC2076" s="2" t="s">
        <v>593</v>
      </c>
      <c r="AD2076" s="4">
        <v>150</v>
      </c>
      <c r="AE2076" s="4">
        <v>150</v>
      </c>
      <c r="AF2076" s="6">
        <v>65</v>
      </c>
      <c r="AG2076" s="6"/>
      <c r="AH2076" s="7">
        <v>1</v>
      </c>
      <c r="AI2076" s="4"/>
      <c r="AJ2076" s="4">
        <f>=ROUNDDOWN({0},0)</f>
      </c>
      <c r="AK2076" s="5"/>
      <c r="AL2076" s="2" t="s">
        <v>100</v>
      </c>
      <c r="AM2076" s="4"/>
      <c r="AN2076" s="4"/>
      <c r="AO2076" s="7">
        <v>0</v>
      </c>
      <c r="AP2076" s="4"/>
      <c r="AQ2076" s="8"/>
      <c r="AR2076" s="4"/>
      <c r="AS2076" s="8"/>
      <c r="AT2076" s="7"/>
      <c r="AU2076" s="7"/>
      <c r="AV2076" s="4" t="s">
        <v>100</v>
      </c>
      <c r="AW2076" s="8" t="s">
        <v>100</v>
      </c>
      <c r="AX2076" s="4" t="s">
        <v>100</v>
      </c>
      <c r="AY2076" s="8" t="s">
        <v>100</v>
      </c>
      <c r="AZ2076" s="7" t="s">
        <v>100</v>
      </c>
      <c r="BA2076" s="7" t="s">
        <v>100</v>
      </c>
      <c r="BB2076" s="7"/>
      <c r="BC2076" s="4" t="s">
        <v>100</v>
      </c>
      <c r="BD2076" s="8" t="s">
        <v>100</v>
      </c>
      <c r="BE2076" s="4" t="s">
        <v>100</v>
      </c>
      <c r="BF2076" s="8" t="s">
        <v>100</v>
      </c>
      <c r="BG2076" s="7" t="s">
        <v>100</v>
      </c>
      <c r="BH2076" s="7" t="s">
        <v>100</v>
      </c>
      <c r="BI2076" s="7"/>
      <c r="BJ2076" s="4">
        <v>6</v>
      </c>
      <c r="BK2076" s="8">
        <v>1081.46</v>
      </c>
      <c r="BL2076" s="2" t="s">
        <v>5958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109</v>
      </c>
      <c r="BV2076" s="2" t="s">
        <v>97</v>
      </c>
      <c r="BW2076" s="2" t="s">
        <v>2358</v>
      </c>
      <c r="BX2076" s="2" t="s">
        <v>100</v>
      </c>
      <c r="BY2076" s="2" t="s">
        <v>112</v>
      </c>
      <c r="BZ2076" s="2" t="s">
        <v>100</v>
      </c>
    </row>
    <row r="2077">
      <c r="A2077" s="2" t="s">
        <v>5959</v>
      </c>
      <c r="B2077" s="2" t="s">
        <v>87</v>
      </c>
      <c r="C2077" s="2" t="s">
        <v>5945</v>
      </c>
      <c r="D2077" s="2" t="s">
        <v>89</v>
      </c>
      <c r="E2077" s="2" t="s">
        <v>90</v>
      </c>
      <c r="F2077" s="2" t="s">
        <v>5955</v>
      </c>
      <c r="G2077" s="2" t="s">
        <v>5955</v>
      </c>
      <c r="H2077" s="2" t="s">
        <v>5955</v>
      </c>
      <c r="I2077" s="2" t="s">
        <v>5956</v>
      </c>
      <c r="J2077" s="2" t="s">
        <v>120</v>
      </c>
      <c r="K2077" s="2" t="s">
        <v>763</v>
      </c>
      <c r="L2077" s="3">
        <v>204.28</v>
      </c>
      <c r="M2077" s="3">
        <v>214.49</v>
      </c>
      <c r="N2077" s="3">
        <v>599.99</v>
      </c>
      <c r="O2077" s="2" t="s">
        <v>97</v>
      </c>
      <c r="P2077" s="2" t="s">
        <v>98</v>
      </c>
      <c r="Q2077" s="2" t="s">
        <v>99</v>
      </c>
      <c r="R2077" s="2" t="s">
        <v>100</v>
      </c>
      <c r="S2077" s="2" t="s">
        <v>100</v>
      </c>
      <c r="T2077" s="2" t="s">
        <v>100</v>
      </c>
      <c r="U2077" s="2" t="s">
        <v>1459</v>
      </c>
      <c r="V2077" s="2" t="s">
        <v>2876</v>
      </c>
      <c r="W2077" s="2" t="s">
        <v>244</v>
      </c>
      <c r="X2077" s="2" t="s">
        <v>100</v>
      </c>
      <c r="Y2077" s="2" t="s">
        <v>5957</v>
      </c>
      <c r="Z2077" s="4">
        <v>236</v>
      </c>
      <c r="AA2077" s="4">
        <f>=ROUNDDOWN(29.5,0)</f>
      </c>
      <c r="AB2077" s="5">
        <v>8</v>
      </c>
      <c r="AC2077" s="2" t="s">
        <v>593</v>
      </c>
      <c r="AD2077" s="4">
        <v>170</v>
      </c>
      <c r="AE2077" s="4">
        <v>170</v>
      </c>
      <c r="AF2077" s="6">
        <v>65</v>
      </c>
      <c r="AG2077" s="6"/>
      <c r="AH2077" s="7">
        <v>1</v>
      </c>
      <c r="AI2077" s="4"/>
      <c r="AJ2077" s="4">
        <f>=ROUNDDOWN({0},0)</f>
      </c>
      <c r="AK2077" s="5"/>
      <c r="AL2077" s="2" t="s">
        <v>100</v>
      </c>
      <c r="AM2077" s="4"/>
      <c r="AN2077" s="4"/>
      <c r="AO2077" s="7">
        <v>0</v>
      </c>
      <c r="AP2077" s="4"/>
      <c r="AQ2077" s="8"/>
      <c r="AR2077" s="4"/>
      <c r="AS2077" s="8"/>
      <c r="AT2077" s="7"/>
      <c r="AU2077" s="7"/>
      <c r="AV2077" s="4" t="s">
        <v>100</v>
      </c>
      <c r="AW2077" s="8" t="s">
        <v>100</v>
      </c>
      <c r="AX2077" s="4" t="s">
        <v>100</v>
      </c>
      <c r="AY2077" s="8" t="s">
        <v>100</v>
      </c>
      <c r="AZ2077" s="7" t="s">
        <v>100</v>
      </c>
      <c r="BA2077" s="7" t="s">
        <v>100</v>
      </c>
      <c r="BB2077" s="7"/>
      <c r="BC2077" s="4" t="s">
        <v>100</v>
      </c>
      <c r="BD2077" s="8" t="s">
        <v>100</v>
      </c>
      <c r="BE2077" s="4" t="s">
        <v>100</v>
      </c>
      <c r="BF2077" s="8" t="s">
        <v>100</v>
      </c>
      <c r="BG2077" s="7" t="s">
        <v>100</v>
      </c>
      <c r="BH2077" s="7" t="s">
        <v>100</v>
      </c>
      <c r="BI2077" s="7"/>
      <c r="BJ2077" s="4">
        <v>9</v>
      </c>
      <c r="BK2077" s="8">
        <v>2369.84</v>
      </c>
      <c r="BL2077" s="2" t="s">
        <v>5960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109</v>
      </c>
      <c r="BV2077" s="2" t="s">
        <v>97</v>
      </c>
      <c r="BW2077" s="2" t="s">
        <v>2358</v>
      </c>
      <c r="BX2077" s="2" t="s">
        <v>1357</v>
      </c>
      <c r="BY2077" s="2" t="s">
        <v>112</v>
      </c>
      <c r="BZ2077" s="2" t="s">
        <v>100</v>
      </c>
    </row>
    <row r="2078">
      <c r="A2078" s="2" t="s">
        <v>5961</v>
      </c>
      <c r="B2078" s="2" t="s">
        <v>87</v>
      </c>
      <c r="C2078" s="2" t="s">
        <v>5945</v>
      </c>
      <c r="D2078" s="2" t="s">
        <v>89</v>
      </c>
      <c r="E2078" s="2" t="s">
        <v>90</v>
      </c>
      <c r="F2078" s="2" t="s">
        <v>5955</v>
      </c>
      <c r="G2078" s="2" t="s">
        <v>5955</v>
      </c>
      <c r="H2078" s="2" t="s">
        <v>5955</v>
      </c>
      <c r="I2078" s="2" t="s">
        <v>5956</v>
      </c>
      <c r="J2078" s="2" t="s">
        <v>124</v>
      </c>
      <c r="K2078" s="2" t="s">
        <v>763</v>
      </c>
      <c r="L2078" s="3">
        <v>204.28</v>
      </c>
      <c r="M2078" s="3">
        <v>214.49</v>
      </c>
      <c r="N2078" s="3">
        <v>599.99</v>
      </c>
      <c r="O2078" s="2" t="s">
        <v>97</v>
      </c>
      <c r="P2078" s="2" t="s">
        <v>98</v>
      </c>
      <c r="Q2078" s="2" t="s">
        <v>99</v>
      </c>
      <c r="R2078" s="2" t="s">
        <v>100</v>
      </c>
      <c r="S2078" s="2" t="s">
        <v>100</v>
      </c>
      <c r="T2078" s="2" t="s">
        <v>100</v>
      </c>
      <c r="U2078" s="2" t="s">
        <v>1459</v>
      </c>
      <c r="V2078" s="2" t="s">
        <v>2876</v>
      </c>
      <c r="W2078" s="2" t="s">
        <v>244</v>
      </c>
      <c r="X2078" s="2" t="s">
        <v>100</v>
      </c>
      <c r="Y2078" s="2" t="s">
        <v>5957</v>
      </c>
      <c r="Z2078" s="4">
        <v>114</v>
      </c>
      <c r="AA2078" s="4">
        <f>=ROUNDDOWN(28.5,0)</f>
      </c>
      <c r="AB2078" s="5">
        <v>4</v>
      </c>
      <c r="AC2078" s="2" t="s">
        <v>593</v>
      </c>
      <c r="AD2078" s="4">
        <v>80</v>
      </c>
      <c r="AE2078" s="4">
        <v>80</v>
      </c>
      <c r="AF2078" s="6">
        <v>65</v>
      </c>
      <c r="AG2078" s="6"/>
      <c r="AH2078" s="7">
        <v>1</v>
      </c>
      <c r="AI2078" s="4"/>
      <c r="AJ2078" s="4">
        <f>=ROUNDDOWN({0},0)</f>
      </c>
      <c r="AK2078" s="5"/>
      <c r="AL2078" s="2" t="s">
        <v>100</v>
      </c>
      <c r="AM2078" s="4"/>
      <c r="AN2078" s="4"/>
      <c r="AO2078" s="7">
        <v>0</v>
      </c>
      <c r="AP2078" s="4"/>
      <c r="AQ2078" s="8"/>
      <c r="AR2078" s="4"/>
      <c r="AS2078" s="8"/>
      <c r="AT2078" s="7"/>
      <c r="AU2078" s="7"/>
      <c r="AV2078" s="4" t="s">
        <v>100</v>
      </c>
      <c r="AW2078" s="8" t="s">
        <v>100</v>
      </c>
      <c r="AX2078" s="4" t="s">
        <v>100</v>
      </c>
      <c r="AY2078" s="8" t="s">
        <v>100</v>
      </c>
      <c r="AZ2078" s="7" t="s">
        <v>100</v>
      </c>
      <c r="BA2078" s="7" t="s">
        <v>100</v>
      </c>
      <c r="BB2078" s="7"/>
      <c r="BC2078" s="4" t="s">
        <v>100</v>
      </c>
      <c r="BD2078" s="8" t="s">
        <v>100</v>
      </c>
      <c r="BE2078" s="4" t="s">
        <v>100</v>
      </c>
      <c r="BF2078" s="8" t="s">
        <v>100</v>
      </c>
      <c r="BG2078" s="7" t="s">
        <v>100</v>
      </c>
      <c r="BH2078" s="7" t="s">
        <v>100</v>
      </c>
      <c r="BI2078" s="7"/>
      <c r="BJ2078" s="4">
        <v>3</v>
      </c>
      <c r="BK2078" s="8">
        <v>695.06</v>
      </c>
      <c r="BL2078" s="2" t="s">
        <v>543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109</v>
      </c>
      <c r="BV2078" s="2" t="s">
        <v>97</v>
      </c>
      <c r="BW2078" s="2" t="s">
        <v>2358</v>
      </c>
      <c r="BX2078" s="2" t="s">
        <v>100</v>
      </c>
      <c r="BY2078" s="2" t="s">
        <v>112</v>
      </c>
      <c r="BZ2078" s="2" t="s">
        <v>100</v>
      </c>
    </row>
    <row r="2079">
      <c r="A2079" s="2" t="s">
        <v>5962</v>
      </c>
      <c r="B2079" s="2" t="s">
        <v>87</v>
      </c>
      <c r="C2079" s="2" t="s">
        <v>5945</v>
      </c>
      <c r="D2079" s="2" t="s">
        <v>89</v>
      </c>
      <c r="E2079" s="2" t="s">
        <v>90</v>
      </c>
      <c r="F2079" s="2" t="s">
        <v>5955</v>
      </c>
      <c r="G2079" s="2" t="s">
        <v>5955</v>
      </c>
      <c r="H2079" s="2" t="s">
        <v>5955</v>
      </c>
      <c r="I2079" s="2" t="s">
        <v>5963</v>
      </c>
      <c r="J2079" s="2" t="s">
        <v>114</v>
      </c>
      <c r="K2079" s="2" t="s">
        <v>434</v>
      </c>
      <c r="L2079" s="3">
        <v>170.23</v>
      </c>
      <c r="M2079" s="3">
        <v>178.74</v>
      </c>
      <c r="N2079" s="3">
        <v>499.99</v>
      </c>
      <c r="O2079" s="2" t="s">
        <v>97</v>
      </c>
      <c r="P2079" s="2" t="s">
        <v>98</v>
      </c>
      <c r="Q2079" s="2" t="s">
        <v>99</v>
      </c>
      <c r="R2079" s="2" t="s">
        <v>100</v>
      </c>
      <c r="S2079" s="2" t="s">
        <v>100</v>
      </c>
      <c r="T2079" s="2" t="s">
        <v>100</v>
      </c>
      <c r="U2079" s="2" t="s">
        <v>1459</v>
      </c>
      <c r="V2079" s="2" t="s">
        <v>2876</v>
      </c>
      <c r="W2079" s="2" t="s">
        <v>244</v>
      </c>
      <c r="X2079" s="2" t="s">
        <v>100</v>
      </c>
      <c r="Y2079" s="2" t="s">
        <v>5964</v>
      </c>
      <c r="Z2079" s="4">
        <v>210</v>
      </c>
      <c r="AA2079" s="4">
        <f>=ROUNDDOWN(23.3333333333333,0)</f>
      </c>
      <c r="AB2079" s="5">
        <v>9</v>
      </c>
      <c r="AC2079" s="2" t="s">
        <v>860</v>
      </c>
      <c r="AD2079" s="4">
        <v>170</v>
      </c>
      <c r="AE2079" s="4">
        <v>170</v>
      </c>
      <c r="AF2079" s="6">
        <v>65</v>
      </c>
      <c r="AG2079" s="6"/>
      <c r="AH2079" s="7">
        <v>1</v>
      </c>
      <c r="AI2079" s="4"/>
      <c r="AJ2079" s="4">
        <f>=ROUNDDOWN({0},0)</f>
      </c>
      <c r="AK2079" s="5"/>
      <c r="AL2079" s="2" t="s">
        <v>100</v>
      </c>
      <c r="AM2079" s="4"/>
      <c r="AN2079" s="4"/>
      <c r="AO2079" s="7">
        <v>0</v>
      </c>
      <c r="AP2079" s="4"/>
      <c r="AQ2079" s="8"/>
      <c r="AR2079" s="4"/>
      <c r="AS2079" s="8"/>
      <c r="AT2079" s="7"/>
      <c r="AU2079" s="7"/>
      <c r="AV2079" s="4" t="s">
        <v>100</v>
      </c>
      <c r="AW2079" s="8" t="s">
        <v>100</v>
      </c>
      <c r="AX2079" s="4" t="s">
        <v>100</v>
      </c>
      <c r="AY2079" s="8" t="s">
        <v>100</v>
      </c>
      <c r="AZ2079" s="7" t="s">
        <v>100</v>
      </c>
      <c r="BA2079" s="7" t="s">
        <v>100</v>
      </c>
      <c r="BB2079" s="7"/>
      <c r="BC2079" s="4" t="s">
        <v>100</v>
      </c>
      <c r="BD2079" s="8" t="s">
        <v>100</v>
      </c>
      <c r="BE2079" s="4" t="s">
        <v>100</v>
      </c>
      <c r="BF2079" s="8" t="s">
        <v>100</v>
      </c>
      <c r="BG2079" s="7" t="s">
        <v>100</v>
      </c>
      <c r="BH2079" s="7" t="s">
        <v>100</v>
      </c>
      <c r="BI2079" s="7"/>
      <c r="BJ2079" s="4">
        <v>6</v>
      </c>
      <c r="BK2079" s="8">
        <v>1070.66</v>
      </c>
      <c r="BL2079" s="2" t="s">
        <v>822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109</v>
      </c>
      <c r="BV2079" s="2" t="s">
        <v>97</v>
      </c>
      <c r="BW2079" s="2" t="s">
        <v>2358</v>
      </c>
      <c r="BX2079" s="2" t="s">
        <v>1517</v>
      </c>
      <c r="BY2079" s="2" t="s">
        <v>112</v>
      </c>
      <c r="BZ2079" s="2" t="s">
        <v>100</v>
      </c>
    </row>
    <row r="2080">
      <c r="A2080" s="2" t="s">
        <v>5965</v>
      </c>
      <c r="B2080" s="2" t="s">
        <v>87</v>
      </c>
      <c r="C2080" s="2" t="s">
        <v>5945</v>
      </c>
      <c r="D2080" s="2" t="s">
        <v>89</v>
      </c>
      <c r="E2080" s="2" t="s">
        <v>90</v>
      </c>
      <c r="F2080" s="2" t="s">
        <v>5955</v>
      </c>
      <c r="G2080" s="2" t="s">
        <v>5955</v>
      </c>
      <c r="H2080" s="2" t="s">
        <v>5955</v>
      </c>
      <c r="I2080" s="2" t="s">
        <v>5963</v>
      </c>
      <c r="J2080" s="2" t="s">
        <v>120</v>
      </c>
      <c r="K2080" s="2" t="s">
        <v>434</v>
      </c>
      <c r="L2080" s="3">
        <v>204.28</v>
      </c>
      <c r="M2080" s="3">
        <v>214.49</v>
      </c>
      <c r="N2080" s="3">
        <v>599.99</v>
      </c>
      <c r="O2080" s="2" t="s">
        <v>97</v>
      </c>
      <c r="P2080" s="2" t="s">
        <v>98</v>
      </c>
      <c r="Q2080" s="2" t="s">
        <v>99</v>
      </c>
      <c r="R2080" s="2" t="s">
        <v>100</v>
      </c>
      <c r="S2080" s="2" t="s">
        <v>100</v>
      </c>
      <c r="T2080" s="2" t="s">
        <v>100</v>
      </c>
      <c r="U2080" s="2" t="s">
        <v>1459</v>
      </c>
      <c r="V2080" s="2" t="s">
        <v>2876</v>
      </c>
      <c r="W2080" s="2" t="s">
        <v>244</v>
      </c>
      <c r="X2080" s="2" t="s">
        <v>100</v>
      </c>
      <c r="Y2080" s="2" t="s">
        <v>2843</v>
      </c>
      <c r="Z2080" s="4">
        <v>221</v>
      </c>
      <c r="AA2080" s="4">
        <f>=ROUNDDOWN(24.5555555555556,0)</f>
      </c>
      <c r="AB2080" s="5">
        <v>9</v>
      </c>
      <c r="AC2080" s="2" t="s">
        <v>860</v>
      </c>
      <c r="AD2080" s="4">
        <v>150</v>
      </c>
      <c r="AE2080" s="4">
        <v>150</v>
      </c>
      <c r="AF2080" s="6">
        <v>65</v>
      </c>
      <c r="AG2080" s="6"/>
      <c r="AH2080" s="7">
        <v>1</v>
      </c>
      <c r="AI2080" s="4"/>
      <c r="AJ2080" s="4">
        <f>=ROUNDDOWN({0},0)</f>
      </c>
      <c r="AK2080" s="5"/>
      <c r="AL2080" s="2" t="s">
        <v>100</v>
      </c>
      <c r="AM2080" s="4"/>
      <c r="AN2080" s="4"/>
      <c r="AO2080" s="7">
        <v>0</v>
      </c>
      <c r="AP2080" s="4"/>
      <c r="AQ2080" s="8"/>
      <c r="AR2080" s="4"/>
      <c r="AS2080" s="8"/>
      <c r="AT2080" s="7"/>
      <c r="AU2080" s="7"/>
      <c r="AV2080" s="4" t="s">
        <v>100</v>
      </c>
      <c r="AW2080" s="8" t="s">
        <v>100</v>
      </c>
      <c r="AX2080" s="4" t="s">
        <v>100</v>
      </c>
      <c r="AY2080" s="8" t="s">
        <v>100</v>
      </c>
      <c r="AZ2080" s="7" t="s">
        <v>100</v>
      </c>
      <c r="BA2080" s="7" t="s">
        <v>100</v>
      </c>
      <c r="BB2080" s="7"/>
      <c r="BC2080" s="4" t="s">
        <v>100</v>
      </c>
      <c r="BD2080" s="8" t="s">
        <v>100</v>
      </c>
      <c r="BE2080" s="4" t="s">
        <v>100</v>
      </c>
      <c r="BF2080" s="8" t="s">
        <v>100</v>
      </c>
      <c r="BG2080" s="7" t="s">
        <v>100</v>
      </c>
      <c r="BH2080" s="7" t="s">
        <v>100</v>
      </c>
      <c r="BI2080" s="7"/>
      <c r="BJ2080" s="4">
        <v>8</v>
      </c>
      <c r="BK2080" s="8">
        <v>1761.08</v>
      </c>
      <c r="BL2080" s="2" t="s">
        <v>333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109</v>
      </c>
      <c r="BV2080" s="2" t="s">
        <v>97</v>
      </c>
      <c r="BW2080" s="2" t="s">
        <v>2358</v>
      </c>
      <c r="BX2080" s="2" t="s">
        <v>5966</v>
      </c>
      <c r="BY2080" s="2" t="s">
        <v>112</v>
      </c>
      <c r="BZ2080" s="2" t="s">
        <v>100</v>
      </c>
    </row>
    <row r="2081">
      <c r="A2081" s="2" t="s">
        <v>5967</v>
      </c>
      <c r="B2081" s="2" t="s">
        <v>87</v>
      </c>
      <c r="C2081" s="2" t="s">
        <v>5945</v>
      </c>
      <c r="D2081" s="2" t="s">
        <v>89</v>
      </c>
      <c r="E2081" s="2" t="s">
        <v>90</v>
      </c>
      <c r="F2081" s="2" t="s">
        <v>5955</v>
      </c>
      <c r="G2081" s="2" t="s">
        <v>5955</v>
      </c>
      <c r="H2081" s="2" t="s">
        <v>5955</v>
      </c>
      <c r="I2081" s="2" t="s">
        <v>5963</v>
      </c>
      <c r="J2081" s="2" t="s">
        <v>124</v>
      </c>
      <c r="K2081" s="2" t="s">
        <v>434</v>
      </c>
      <c r="L2081" s="3">
        <v>204.28</v>
      </c>
      <c r="M2081" s="3">
        <v>214.49</v>
      </c>
      <c r="N2081" s="3">
        <v>599.99</v>
      </c>
      <c r="O2081" s="2" t="s">
        <v>97</v>
      </c>
      <c r="P2081" s="2" t="s">
        <v>98</v>
      </c>
      <c r="Q2081" s="2" t="s">
        <v>99</v>
      </c>
      <c r="R2081" s="2" t="s">
        <v>100</v>
      </c>
      <c r="S2081" s="2" t="s">
        <v>100</v>
      </c>
      <c r="T2081" s="2" t="s">
        <v>100</v>
      </c>
      <c r="U2081" s="2" t="s">
        <v>1459</v>
      </c>
      <c r="V2081" s="2" t="s">
        <v>2876</v>
      </c>
      <c r="W2081" s="2" t="s">
        <v>244</v>
      </c>
      <c r="X2081" s="2" t="s">
        <v>100</v>
      </c>
      <c r="Y2081" s="2" t="s">
        <v>2843</v>
      </c>
      <c r="Z2081" s="4">
        <v>102</v>
      </c>
      <c r="AA2081" s="4">
        <f>=ROUNDDOWN(25.5,0)</f>
      </c>
      <c r="AB2081" s="5">
        <v>4</v>
      </c>
      <c r="AC2081" s="2" t="s">
        <v>860</v>
      </c>
      <c r="AD2081" s="4">
        <v>80</v>
      </c>
      <c r="AE2081" s="4">
        <v>80</v>
      </c>
      <c r="AF2081" s="6">
        <v>65</v>
      </c>
      <c r="AG2081" s="6"/>
      <c r="AH2081" s="7">
        <v>1</v>
      </c>
      <c r="AI2081" s="4"/>
      <c r="AJ2081" s="4">
        <f>=ROUNDDOWN({0},0)</f>
      </c>
      <c r="AK2081" s="5"/>
      <c r="AL2081" s="2" t="s">
        <v>100</v>
      </c>
      <c r="AM2081" s="4"/>
      <c r="AN2081" s="4"/>
      <c r="AO2081" s="7">
        <v>0</v>
      </c>
      <c r="AP2081" s="4"/>
      <c r="AQ2081" s="8"/>
      <c r="AR2081" s="4"/>
      <c r="AS2081" s="8"/>
      <c r="AT2081" s="7"/>
      <c r="AU2081" s="7"/>
      <c r="AV2081" s="4" t="s">
        <v>100</v>
      </c>
      <c r="AW2081" s="8" t="s">
        <v>100</v>
      </c>
      <c r="AX2081" s="4" t="s">
        <v>100</v>
      </c>
      <c r="AY2081" s="8" t="s">
        <v>100</v>
      </c>
      <c r="AZ2081" s="7" t="s">
        <v>100</v>
      </c>
      <c r="BA2081" s="7" t="s">
        <v>100</v>
      </c>
      <c r="BB2081" s="7"/>
      <c r="BC2081" s="4" t="s">
        <v>100</v>
      </c>
      <c r="BD2081" s="8" t="s">
        <v>100</v>
      </c>
      <c r="BE2081" s="4" t="s">
        <v>100</v>
      </c>
      <c r="BF2081" s="8" t="s">
        <v>100</v>
      </c>
      <c r="BG2081" s="7" t="s">
        <v>100</v>
      </c>
      <c r="BH2081" s="7" t="s">
        <v>100</v>
      </c>
      <c r="BI2081" s="7"/>
      <c r="BJ2081" s="4">
        <v>2</v>
      </c>
      <c r="BK2081" s="8">
        <v>407.54</v>
      </c>
      <c r="BL2081" s="2" t="s">
        <v>741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109</v>
      </c>
      <c r="BV2081" s="2" t="s">
        <v>97</v>
      </c>
      <c r="BW2081" s="2" t="s">
        <v>2358</v>
      </c>
      <c r="BX2081" s="2" t="s">
        <v>100</v>
      </c>
      <c r="BY2081" s="2" t="s">
        <v>112</v>
      </c>
      <c r="BZ2081" s="2" t="s">
        <v>100</v>
      </c>
    </row>
    <row r="2082">
      <c r="A2082" s="2" t="s">
        <v>5968</v>
      </c>
      <c r="B2082" s="2" t="s">
        <v>87</v>
      </c>
      <c r="C2082" s="2" t="s">
        <v>5945</v>
      </c>
      <c r="D2082" s="2" t="s">
        <v>89</v>
      </c>
      <c r="E2082" s="2" t="s">
        <v>90</v>
      </c>
      <c r="F2082" s="2" t="s">
        <v>5969</v>
      </c>
      <c r="G2082" s="2" t="s">
        <v>5969</v>
      </c>
      <c r="H2082" s="2" t="s">
        <v>5969</v>
      </c>
      <c r="I2082" s="2" t="s">
        <v>5970</v>
      </c>
      <c r="J2082" s="2" t="s">
        <v>114</v>
      </c>
      <c r="K2082" s="2" t="s">
        <v>3669</v>
      </c>
      <c r="L2082" s="3">
        <v>170.23</v>
      </c>
      <c r="M2082" s="3">
        <v>178.75</v>
      </c>
      <c r="N2082" s="3">
        <v>499.99</v>
      </c>
      <c r="O2082" s="2" t="s">
        <v>97</v>
      </c>
      <c r="P2082" s="2" t="s">
        <v>98</v>
      </c>
      <c r="Q2082" s="2" t="s">
        <v>99</v>
      </c>
      <c r="R2082" s="2" t="s">
        <v>100</v>
      </c>
      <c r="S2082" s="2" t="s">
        <v>100</v>
      </c>
      <c r="T2082" s="2" t="s">
        <v>100</v>
      </c>
      <c r="U2082" s="2" t="s">
        <v>1459</v>
      </c>
      <c r="V2082" s="2" t="s">
        <v>5952</v>
      </c>
      <c r="W2082" s="2" t="s">
        <v>244</v>
      </c>
      <c r="X2082" s="2" t="s">
        <v>100</v>
      </c>
      <c r="Y2082" s="2" t="s">
        <v>5971</v>
      </c>
      <c r="Z2082" s="4">
        <v>160</v>
      </c>
      <c r="AA2082" s="4">
        <f>=ROUNDDOWN(22.8571428571429,0)</f>
      </c>
      <c r="AB2082" s="5">
        <v>7</v>
      </c>
      <c r="AC2082" s="2" t="s">
        <v>860</v>
      </c>
      <c r="AD2082" s="4">
        <v>18</v>
      </c>
      <c r="AE2082" s="4">
        <v>233</v>
      </c>
      <c r="AF2082" s="6">
        <v>65</v>
      </c>
      <c r="AG2082" s="6"/>
      <c r="AH2082" s="7">
        <v>0.7143</v>
      </c>
      <c r="AI2082" s="4"/>
      <c r="AJ2082" s="4">
        <f>=ROUNDDOWN({0},0)</f>
      </c>
      <c r="AK2082" s="5"/>
      <c r="AL2082" s="2" t="s">
        <v>100</v>
      </c>
      <c r="AM2082" s="4"/>
      <c r="AN2082" s="4"/>
      <c r="AO2082" s="7">
        <v>0</v>
      </c>
      <c r="AP2082" s="4"/>
      <c r="AQ2082" s="8"/>
      <c r="AR2082" s="4"/>
      <c r="AS2082" s="8"/>
      <c r="AT2082" s="7"/>
      <c r="AU2082" s="7"/>
      <c r="AV2082" s="4" t="s">
        <v>100</v>
      </c>
      <c r="AW2082" s="8" t="s">
        <v>100</v>
      </c>
      <c r="AX2082" s="4" t="s">
        <v>100</v>
      </c>
      <c r="AY2082" s="8" t="s">
        <v>100</v>
      </c>
      <c r="AZ2082" s="7" t="s">
        <v>100</v>
      </c>
      <c r="BA2082" s="7" t="s">
        <v>100</v>
      </c>
      <c r="BB2082" s="7"/>
      <c r="BC2082" s="4" t="s">
        <v>100</v>
      </c>
      <c r="BD2082" s="8" t="s">
        <v>100</v>
      </c>
      <c r="BE2082" s="4" t="s">
        <v>100</v>
      </c>
      <c r="BF2082" s="8" t="s">
        <v>100</v>
      </c>
      <c r="BG2082" s="7" t="s">
        <v>100</v>
      </c>
      <c r="BH2082" s="7" t="s">
        <v>100</v>
      </c>
      <c r="BI2082" s="7"/>
      <c r="BJ2082" s="4">
        <v>2</v>
      </c>
      <c r="BK2082" s="8">
        <v>384.98</v>
      </c>
      <c r="BL2082" s="2" t="s">
        <v>1734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109</v>
      </c>
      <c r="BV2082" s="2" t="s">
        <v>97</v>
      </c>
      <c r="BW2082" s="2" t="s">
        <v>1446</v>
      </c>
      <c r="BX2082" s="2" t="s">
        <v>5972</v>
      </c>
      <c r="BY2082" s="2" t="s">
        <v>112</v>
      </c>
      <c r="BZ2082" s="2" t="s">
        <v>100</v>
      </c>
    </row>
    <row r="2083">
      <c r="A2083" s="2" t="s">
        <v>5973</v>
      </c>
      <c r="B2083" s="2" t="s">
        <v>87</v>
      </c>
      <c r="C2083" s="2" t="s">
        <v>5945</v>
      </c>
      <c r="D2083" s="2" t="s">
        <v>89</v>
      </c>
      <c r="E2083" s="2" t="s">
        <v>90</v>
      </c>
      <c r="F2083" s="2" t="s">
        <v>5969</v>
      </c>
      <c r="G2083" s="2" t="s">
        <v>5969</v>
      </c>
      <c r="H2083" s="2" t="s">
        <v>5969</v>
      </c>
      <c r="I2083" s="2" t="s">
        <v>5970</v>
      </c>
      <c r="J2083" s="2" t="s">
        <v>120</v>
      </c>
      <c r="K2083" s="2" t="s">
        <v>3669</v>
      </c>
      <c r="L2083" s="3">
        <v>204.28</v>
      </c>
      <c r="M2083" s="3">
        <v>214.5</v>
      </c>
      <c r="N2083" s="3">
        <v>599.99</v>
      </c>
      <c r="O2083" s="2" t="s">
        <v>97</v>
      </c>
      <c r="P2083" s="2" t="s">
        <v>98</v>
      </c>
      <c r="Q2083" s="2" t="s">
        <v>99</v>
      </c>
      <c r="R2083" s="2" t="s">
        <v>100</v>
      </c>
      <c r="S2083" s="2" t="s">
        <v>100</v>
      </c>
      <c r="T2083" s="2" t="s">
        <v>100</v>
      </c>
      <c r="U2083" s="2" t="s">
        <v>1459</v>
      </c>
      <c r="V2083" s="2" t="s">
        <v>5952</v>
      </c>
      <c r="W2083" s="2" t="s">
        <v>244</v>
      </c>
      <c r="X2083" s="2" t="s">
        <v>100</v>
      </c>
      <c r="Y2083" s="2" t="s">
        <v>5971</v>
      </c>
      <c r="Z2083" s="4">
        <v>185</v>
      </c>
      <c r="AA2083" s="4">
        <f>=ROUNDDOWN(26.4285714285714,0)</f>
      </c>
      <c r="AB2083" s="5">
        <v>7</v>
      </c>
      <c r="AC2083" s="2" t="s">
        <v>860</v>
      </c>
      <c r="AD2083" s="4">
        <v>20</v>
      </c>
      <c r="AE2083" s="4">
        <v>175</v>
      </c>
      <c r="AF2083" s="6">
        <v>65</v>
      </c>
      <c r="AG2083" s="6"/>
      <c r="AH2083" s="7">
        <v>0.7143</v>
      </c>
      <c r="AI2083" s="4"/>
      <c r="AJ2083" s="4">
        <f>=ROUNDDOWN({0},0)</f>
      </c>
      <c r="AK2083" s="5"/>
      <c r="AL2083" s="2" t="s">
        <v>100</v>
      </c>
      <c r="AM2083" s="4"/>
      <c r="AN2083" s="4"/>
      <c r="AO2083" s="7">
        <v>0</v>
      </c>
      <c r="AP2083" s="4"/>
      <c r="AQ2083" s="8"/>
      <c r="AR2083" s="4"/>
      <c r="AS2083" s="8"/>
      <c r="AT2083" s="7"/>
      <c r="AU2083" s="7"/>
      <c r="AV2083" s="4" t="s">
        <v>100</v>
      </c>
      <c r="AW2083" s="8" t="s">
        <v>100</v>
      </c>
      <c r="AX2083" s="4" t="s">
        <v>100</v>
      </c>
      <c r="AY2083" s="8" t="s">
        <v>100</v>
      </c>
      <c r="AZ2083" s="7" t="s">
        <v>100</v>
      </c>
      <c r="BA2083" s="7" t="s">
        <v>100</v>
      </c>
      <c r="BB2083" s="7"/>
      <c r="BC2083" s="4" t="s">
        <v>100</v>
      </c>
      <c r="BD2083" s="8" t="s">
        <v>100</v>
      </c>
      <c r="BE2083" s="4" t="s">
        <v>100</v>
      </c>
      <c r="BF2083" s="8" t="s">
        <v>100</v>
      </c>
      <c r="BG2083" s="7" t="s">
        <v>100</v>
      </c>
      <c r="BH2083" s="7" t="s">
        <v>100</v>
      </c>
      <c r="BI2083" s="7"/>
      <c r="BJ2083" s="4"/>
      <c r="BK2083" s="8"/>
      <c r="BL2083" s="2" t="s">
        <v>100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109</v>
      </c>
      <c r="BV2083" s="2" t="s">
        <v>97</v>
      </c>
      <c r="BW2083" s="2" t="s">
        <v>1446</v>
      </c>
      <c r="BX2083" s="2" t="s">
        <v>5974</v>
      </c>
      <c r="BY2083" s="2" t="s">
        <v>112</v>
      </c>
      <c r="BZ2083" s="2" t="s">
        <v>100</v>
      </c>
    </row>
    <row r="2084">
      <c r="A2084" s="2" t="s">
        <v>5975</v>
      </c>
      <c r="B2084" s="2" t="s">
        <v>87</v>
      </c>
      <c r="C2084" s="2" t="s">
        <v>5945</v>
      </c>
      <c r="D2084" s="2" t="s">
        <v>89</v>
      </c>
      <c r="E2084" s="2" t="s">
        <v>90</v>
      </c>
      <c r="F2084" s="2" t="s">
        <v>5969</v>
      </c>
      <c r="G2084" s="2" t="s">
        <v>5969</v>
      </c>
      <c r="H2084" s="2" t="s">
        <v>5969</v>
      </c>
      <c r="I2084" s="2" t="s">
        <v>5970</v>
      </c>
      <c r="J2084" s="2" t="s">
        <v>124</v>
      </c>
      <c r="K2084" s="2" t="s">
        <v>3669</v>
      </c>
      <c r="L2084" s="3">
        <v>204.28</v>
      </c>
      <c r="M2084" s="3">
        <v>214.5</v>
      </c>
      <c r="N2084" s="3">
        <v>599.99</v>
      </c>
      <c r="O2084" s="2" t="s">
        <v>97</v>
      </c>
      <c r="P2084" s="2" t="s">
        <v>98</v>
      </c>
      <c r="Q2084" s="2" t="s">
        <v>99</v>
      </c>
      <c r="R2084" s="2" t="s">
        <v>100</v>
      </c>
      <c r="S2084" s="2" t="s">
        <v>100</v>
      </c>
      <c r="T2084" s="2" t="s">
        <v>100</v>
      </c>
      <c r="U2084" s="2" t="s">
        <v>1459</v>
      </c>
      <c r="V2084" s="2" t="s">
        <v>5952</v>
      </c>
      <c r="W2084" s="2" t="s">
        <v>244</v>
      </c>
      <c r="X2084" s="2" t="s">
        <v>100</v>
      </c>
      <c r="Y2084" s="2" t="s">
        <v>5971</v>
      </c>
      <c r="Z2084" s="4">
        <v>61</v>
      </c>
      <c r="AA2084" s="4">
        <f>=ROUNDDOWN(15.25,0)</f>
      </c>
      <c r="AB2084" s="5">
        <v>4</v>
      </c>
      <c r="AC2084" s="2" t="s">
        <v>860</v>
      </c>
      <c r="AD2084" s="4">
        <v>20</v>
      </c>
      <c r="AE2084" s="4">
        <v>150</v>
      </c>
      <c r="AF2084" s="6">
        <v>65</v>
      </c>
      <c r="AG2084" s="6"/>
      <c r="AH2084" s="7">
        <v>0.7143</v>
      </c>
      <c r="AI2084" s="4"/>
      <c r="AJ2084" s="4">
        <f>=ROUNDDOWN({0},0)</f>
      </c>
      <c r="AK2084" s="5"/>
      <c r="AL2084" s="2" t="s">
        <v>100</v>
      </c>
      <c r="AM2084" s="4"/>
      <c r="AN2084" s="4"/>
      <c r="AO2084" s="7">
        <v>0</v>
      </c>
      <c r="AP2084" s="4"/>
      <c r="AQ2084" s="8"/>
      <c r="AR2084" s="4"/>
      <c r="AS2084" s="8"/>
      <c r="AT2084" s="7"/>
      <c r="AU2084" s="7"/>
      <c r="AV2084" s="4" t="s">
        <v>100</v>
      </c>
      <c r="AW2084" s="8" t="s">
        <v>100</v>
      </c>
      <c r="AX2084" s="4" t="s">
        <v>100</v>
      </c>
      <c r="AY2084" s="8" t="s">
        <v>100</v>
      </c>
      <c r="AZ2084" s="7" t="s">
        <v>100</v>
      </c>
      <c r="BA2084" s="7" t="s">
        <v>100</v>
      </c>
      <c r="BB2084" s="7"/>
      <c r="BC2084" s="4" t="s">
        <v>100</v>
      </c>
      <c r="BD2084" s="8" t="s">
        <v>100</v>
      </c>
      <c r="BE2084" s="4" t="s">
        <v>100</v>
      </c>
      <c r="BF2084" s="8" t="s">
        <v>100</v>
      </c>
      <c r="BG2084" s="7" t="s">
        <v>100</v>
      </c>
      <c r="BH2084" s="7" t="s">
        <v>100</v>
      </c>
      <c r="BI2084" s="7"/>
      <c r="BJ2084" s="4">
        <v>2</v>
      </c>
      <c r="BK2084" s="8">
        <v>469.84</v>
      </c>
      <c r="BL2084" s="2" t="s">
        <v>1356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109</v>
      </c>
      <c r="BV2084" s="2" t="s">
        <v>97</v>
      </c>
      <c r="BW2084" s="2" t="s">
        <v>1446</v>
      </c>
      <c r="BX2084" s="2" t="s">
        <v>100</v>
      </c>
      <c r="BY2084" s="2" t="s">
        <v>112</v>
      </c>
      <c r="BZ2084" s="2" t="s">
        <v>100</v>
      </c>
    </row>
    <row r="2085">
      <c r="A2085" s="2" t="s">
        <v>5976</v>
      </c>
      <c r="B2085" s="2" t="s">
        <v>87</v>
      </c>
      <c r="C2085" s="2" t="s">
        <v>5945</v>
      </c>
      <c r="D2085" s="2" t="s">
        <v>89</v>
      </c>
      <c r="E2085" s="2" t="s">
        <v>90</v>
      </c>
      <c r="F2085" s="2" t="s">
        <v>5969</v>
      </c>
      <c r="G2085" s="2" t="s">
        <v>5969</v>
      </c>
      <c r="H2085" s="2" t="s">
        <v>5969</v>
      </c>
      <c r="I2085" s="2" t="s">
        <v>5970</v>
      </c>
      <c r="J2085" s="2" t="s">
        <v>114</v>
      </c>
      <c r="K2085" s="2" t="s">
        <v>2356</v>
      </c>
      <c r="L2085" s="3">
        <v>170.23</v>
      </c>
      <c r="M2085" s="3">
        <v>178.74</v>
      </c>
      <c r="N2085" s="3">
        <v>499.99</v>
      </c>
      <c r="O2085" s="2" t="s">
        <v>97</v>
      </c>
      <c r="P2085" s="2" t="s">
        <v>98</v>
      </c>
      <c r="Q2085" s="2" t="s">
        <v>99</v>
      </c>
      <c r="R2085" s="2" t="s">
        <v>100</v>
      </c>
      <c r="S2085" s="2" t="s">
        <v>100</v>
      </c>
      <c r="T2085" s="2" t="s">
        <v>100</v>
      </c>
      <c r="U2085" s="2" t="s">
        <v>1459</v>
      </c>
      <c r="V2085" s="2" t="s">
        <v>5952</v>
      </c>
      <c r="W2085" s="2" t="s">
        <v>244</v>
      </c>
      <c r="X2085" s="2" t="s">
        <v>100</v>
      </c>
      <c r="Y2085" s="2" t="s">
        <v>5964</v>
      </c>
      <c r="Z2085" s="4">
        <v>162</v>
      </c>
      <c r="AA2085" s="4">
        <f>=ROUNDDOWN(27,0)</f>
      </c>
      <c r="AB2085" s="5">
        <v>6</v>
      </c>
      <c r="AC2085" s="2" t="s">
        <v>4097</v>
      </c>
      <c r="AD2085" s="4">
        <v>12</v>
      </c>
      <c r="AE2085" s="4">
        <v>192</v>
      </c>
      <c r="AF2085" s="6">
        <v>65</v>
      </c>
      <c r="AG2085" s="6"/>
      <c r="AH2085" s="7">
        <v>1</v>
      </c>
      <c r="AI2085" s="4"/>
      <c r="AJ2085" s="4">
        <f>=ROUNDDOWN({0},0)</f>
      </c>
      <c r="AK2085" s="5"/>
      <c r="AL2085" s="2" t="s">
        <v>100</v>
      </c>
      <c r="AM2085" s="4"/>
      <c r="AN2085" s="4"/>
      <c r="AO2085" s="7">
        <v>0</v>
      </c>
      <c r="AP2085" s="4"/>
      <c r="AQ2085" s="8"/>
      <c r="AR2085" s="4"/>
      <c r="AS2085" s="8"/>
      <c r="AT2085" s="7"/>
      <c r="AU2085" s="7"/>
      <c r="AV2085" s="4" t="s">
        <v>100</v>
      </c>
      <c r="AW2085" s="8" t="s">
        <v>100</v>
      </c>
      <c r="AX2085" s="4" t="s">
        <v>100</v>
      </c>
      <c r="AY2085" s="8" t="s">
        <v>100</v>
      </c>
      <c r="AZ2085" s="7" t="s">
        <v>100</v>
      </c>
      <c r="BA2085" s="7" t="s">
        <v>100</v>
      </c>
      <c r="BB2085" s="7"/>
      <c r="BC2085" s="4" t="s">
        <v>100</v>
      </c>
      <c r="BD2085" s="8" t="s">
        <v>100</v>
      </c>
      <c r="BE2085" s="4" t="s">
        <v>100</v>
      </c>
      <c r="BF2085" s="8" t="s">
        <v>100</v>
      </c>
      <c r="BG2085" s="7" t="s">
        <v>100</v>
      </c>
      <c r="BH2085" s="7" t="s">
        <v>100</v>
      </c>
      <c r="BI2085" s="7"/>
      <c r="BJ2085" s="4">
        <v>3</v>
      </c>
      <c r="BK2085" s="8">
        <v>559.46</v>
      </c>
      <c r="BL2085" s="2" t="s">
        <v>599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109</v>
      </c>
      <c r="BV2085" s="2" t="s">
        <v>97</v>
      </c>
      <c r="BW2085" s="2" t="s">
        <v>2358</v>
      </c>
      <c r="BX2085" s="2" t="s">
        <v>2632</v>
      </c>
      <c r="BY2085" s="2" t="s">
        <v>112</v>
      </c>
      <c r="BZ2085" s="2" t="s">
        <v>100</v>
      </c>
    </row>
    <row r="2086">
      <c r="A2086" s="2" t="s">
        <v>5977</v>
      </c>
      <c r="B2086" s="2" t="s">
        <v>87</v>
      </c>
      <c r="C2086" s="2" t="s">
        <v>5945</v>
      </c>
      <c r="D2086" s="2" t="s">
        <v>89</v>
      </c>
      <c r="E2086" s="2" t="s">
        <v>90</v>
      </c>
      <c r="F2086" s="2" t="s">
        <v>5969</v>
      </c>
      <c r="G2086" s="2" t="s">
        <v>5969</v>
      </c>
      <c r="H2086" s="2" t="s">
        <v>5969</v>
      </c>
      <c r="I2086" s="2" t="s">
        <v>5970</v>
      </c>
      <c r="J2086" s="2" t="s">
        <v>120</v>
      </c>
      <c r="K2086" s="2" t="s">
        <v>2356</v>
      </c>
      <c r="L2086" s="3">
        <v>204.28</v>
      </c>
      <c r="M2086" s="3">
        <v>214.49</v>
      </c>
      <c r="N2086" s="3">
        <v>599.99</v>
      </c>
      <c r="O2086" s="2" t="s">
        <v>97</v>
      </c>
      <c r="P2086" s="2" t="s">
        <v>98</v>
      </c>
      <c r="Q2086" s="2" t="s">
        <v>99</v>
      </c>
      <c r="R2086" s="2" t="s">
        <v>100</v>
      </c>
      <c r="S2086" s="2" t="s">
        <v>100</v>
      </c>
      <c r="T2086" s="2" t="s">
        <v>100</v>
      </c>
      <c r="U2086" s="2" t="s">
        <v>1459</v>
      </c>
      <c r="V2086" s="2" t="s">
        <v>5952</v>
      </c>
      <c r="W2086" s="2" t="s">
        <v>244</v>
      </c>
      <c r="X2086" s="2" t="s">
        <v>100</v>
      </c>
      <c r="Y2086" s="2" t="s">
        <v>5964</v>
      </c>
      <c r="Z2086" s="4">
        <v>184</v>
      </c>
      <c r="AA2086" s="4">
        <f>=ROUNDDOWN(26.2857142857143,0)</f>
      </c>
      <c r="AB2086" s="5">
        <v>7</v>
      </c>
      <c r="AC2086" s="2" t="s">
        <v>4097</v>
      </c>
      <c r="AD2086" s="4">
        <v>40</v>
      </c>
      <c r="AE2086" s="4">
        <v>220</v>
      </c>
      <c r="AF2086" s="6">
        <v>65</v>
      </c>
      <c r="AG2086" s="6"/>
      <c r="AH2086" s="7">
        <v>1</v>
      </c>
      <c r="AI2086" s="4"/>
      <c r="AJ2086" s="4">
        <f>=ROUNDDOWN({0},0)</f>
      </c>
      <c r="AK2086" s="5"/>
      <c r="AL2086" s="2" t="s">
        <v>100</v>
      </c>
      <c r="AM2086" s="4"/>
      <c r="AN2086" s="4"/>
      <c r="AO2086" s="7">
        <v>0</v>
      </c>
      <c r="AP2086" s="4"/>
      <c r="AQ2086" s="8"/>
      <c r="AR2086" s="4"/>
      <c r="AS2086" s="8"/>
      <c r="AT2086" s="7"/>
      <c r="AU2086" s="7"/>
      <c r="AV2086" s="4" t="s">
        <v>100</v>
      </c>
      <c r="AW2086" s="8" t="s">
        <v>100</v>
      </c>
      <c r="AX2086" s="4" t="s">
        <v>100</v>
      </c>
      <c r="AY2086" s="8" t="s">
        <v>100</v>
      </c>
      <c r="AZ2086" s="7" t="s">
        <v>100</v>
      </c>
      <c r="BA2086" s="7" t="s">
        <v>100</v>
      </c>
      <c r="BB2086" s="7"/>
      <c r="BC2086" s="4" t="s">
        <v>100</v>
      </c>
      <c r="BD2086" s="8" t="s">
        <v>100</v>
      </c>
      <c r="BE2086" s="4" t="s">
        <v>100</v>
      </c>
      <c r="BF2086" s="8" t="s">
        <v>100</v>
      </c>
      <c r="BG2086" s="7" t="s">
        <v>100</v>
      </c>
      <c r="BH2086" s="7" t="s">
        <v>100</v>
      </c>
      <c r="BI2086" s="7"/>
      <c r="BJ2086" s="4">
        <v>1</v>
      </c>
      <c r="BK2086" s="8">
        <v>231.65</v>
      </c>
      <c r="BL2086" s="2" t="s">
        <v>2115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109</v>
      </c>
      <c r="BV2086" s="2" t="s">
        <v>97</v>
      </c>
      <c r="BW2086" s="2" t="s">
        <v>2358</v>
      </c>
      <c r="BX2086" s="2" t="s">
        <v>1684</v>
      </c>
      <c r="BY2086" s="2" t="s">
        <v>112</v>
      </c>
      <c r="BZ2086" s="2" t="s">
        <v>100</v>
      </c>
    </row>
    <row r="2087">
      <c r="A2087" s="2" t="s">
        <v>5978</v>
      </c>
      <c r="B2087" s="2" t="s">
        <v>87</v>
      </c>
      <c r="C2087" s="2" t="s">
        <v>5945</v>
      </c>
      <c r="D2087" s="2" t="s">
        <v>89</v>
      </c>
      <c r="E2087" s="2" t="s">
        <v>90</v>
      </c>
      <c r="F2087" s="2" t="s">
        <v>5969</v>
      </c>
      <c r="G2087" s="2" t="s">
        <v>5969</v>
      </c>
      <c r="H2087" s="2" t="s">
        <v>5969</v>
      </c>
      <c r="I2087" s="2" t="s">
        <v>5970</v>
      </c>
      <c r="J2087" s="2" t="s">
        <v>124</v>
      </c>
      <c r="K2087" s="2" t="s">
        <v>2356</v>
      </c>
      <c r="L2087" s="3">
        <v>204.28</v>
      </c>
      <c r="M2087" s="3">
        <v>214.49</v>
      </c>
      <c r="N2087" s="3">
        <v>599.99</v>
      </c>
      <c r="O2087" s="2" t="s">
        <v>97</v>
      </c>
      <c r="P2087" s="2" t="s">
        <v>98</v>
      </c>
      <c r="Q2087" s="2" t="s">
        <v>99</v>
      </c>
      <c r="R2087" s="2" t="s">
        <v>100</v>
      </c>
      <c r="S2087" s="2" t="s">
        <v>100</v>
      </c>
      <c r="T2087" s="2" t="s">
        <v>100</v>
      </c>
      <c r="U2087" s="2" t="s">
        <v>1459</v>
      </c>
      <c r="V2087" s="2" t="s">
        <v>5952</v>
      </c>
      <c r="W2087" s="2" t="s">
        <v>244</v>
      </c>
      <c r="X2087" s="2" t="s">
        <v>100</v>
      </c>
      <c r="Y2087" s="2" t="s">
        <v>5964</v>
      </c>
      <c r="Z2087" s="4">
        <v>76</v>
      </c>
      <c r="AA2087" s="4">
        <f>=ROUNDDOWN(19,0)</f>
      </c>
      <c r="AB2087" s="5">
        <v>4</v>
      </c>
      <c r="AC2087" s="2" t="s">
        <v>4097</v>
      </c>
      <c r="AD2087" s="4">
        <v>10</v>
      </c>
      <c r="AE2087" s="4">
        <v>150</v>
      </c>
      <c r="AF2087" s="6">
        <v>65</v>
      </c>
      <c r="AG2087" s="6"/>
      <c r="AH2087" s="7">
        <v>1</v>
      </c>
      <c r="AI2087" s="4"/>
      <c r="AJ2087" s="4">
        <f>=ROUNDDOWN({0},0)</f>
      </c>
      <c r="AK2087" s="5"/>
      <c r="AL2087" s="2" t="s">
        <v>100</v>
      </c>
      <c r="AM2087" s="4"/>
      <c r="AN2087" s="4"/>
      <c r="AO2087" s="7">
        <v>0</v>
      </c>
      <c r="AP2087" s="4"/>
      <c r="AQ2087" s="8"/>
      <c r="AR2087" s="4"/>
      <c r="AS2087" s="8"/>
      <c r="AT2087" s="7"/>
      <c r="AU2087" s="7"/>
      <c r="AV2087" s="4" t="s">
        <v>100</v>
      </c>
      <c r="AW2087" s="8" t="s">
        <v>100</v>
      </c>
      <c r="AX2087" s="4" t="s">
        <v>100</v>
      </c>
      <c r="AY2087" s="8" t="s">
        <v>100</v>
      </c>
      <c r="AZ2087" s="7" t="s">
        <v>100</v>
      </c>
      <c r="BA2087" s="7" t="s">
        <v>100</v>
      </c>
      <c r="BB2087" s="7"/>
      <c r="BC2087" s="4" t="s">
        <v>100</v>
      </c>
      <c r="BD2087" s="8" t="s">
        <v>100</v>
      </c>
      <c r="BE2087" s="4" t="s">
        <v>100</v>
      </c>
      <c r="BF2087" s="8" t="s">
        <v>100</v>
      </c>
      <c r="BG2087" s="7" t="s">
        <v>100</v>
      </c>
      <c r="BH2087" s="7" t="s">
        <v>100</v>
      </c>
      <c r="BI2087" s="7"/>
      <c r="BJ2087" s="4">
        <v>3</v>
      </c>
      <c r="BK2087" s="8">
        <v>660.63</v>
      </c>
      <c r="BL2087" s="2" t="s">
        <v>4243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109</v>
      </c>
      <c r="BV2087" s="2" t="s">
        <v>97</v>
      </c>
      <c r="BW2087" s="2" t="s">
        <v>2358</v>
      </c>
      <c r="BX2087" s="2" t="s">
        <v>100</v>
      </c>
      <c r="BY2087" s="2" t="s">
        <v>112</v>
      </c>
      <c r="BZ2087" s="2" t="s">
        <v>100</v>
      </c>
    </row>
    <row r="2088">
      <c r="A2088" s="2" t="s">
        <v>5979</v>
      </c>
      <c r="B2088" s="2" t="s">
        <v>87</v>
      </c>
      <c r="C2088" s="2" t="s">
        <v>5945</v>
      </c>
      <c r="D2088" s="2" t="s">
        <v>89</v>
      </c>
      <c r="E2088" s="2" t="s">
        <v>90</v>
      </c>
      <c r="F2088" s="2" t="s">
        <v>3436</v>
      </c>
      <c r="G2088" s="2" t="s">
        <v>3436</v>
      </c>
      <c r="H2088" s="2" t="s">
        <v>3436</v>
      </c>
      <c r="I2088" s="2" t="s">
        <v>5970</v>
      </c>
      <c r="J2088" s="2" t="s">
        <v>114</v>
      </c>
      <c r="K2088" s="2" t="s">
        <v>1413</v>
      </c>
      <c r="L2088" s="3">
        <v>170.23</v>
      </c>
      <c r="M2088" s="3">
        <v>178.74</v>
      </c>
      <c r="N2088" s="3">
        <v>499.99</v>
      </c>
      <c r="O2088" s="2" t="s">
        <v>97</v>
      </c>
      <c r="P2088" s="2" t="s">
        <v>4334</v>
      </c>
      <c r="Q2088" s="2" t="s">
        <v>99</v>
      </c>
      <c r="R2088" s="2" t="s">
        <v>100</v>
      </c>
      <c r="S2088" s="2" t="s">
        <v>100</v>
      </c>
      <c r="T2088" s="2" t="s">
        <v>100</v>
      </c>
      <c r="U2088" s="2" t="s">
        <v>1459</v>
      </c>
      <c r="V2088" s="2" t="s">
        <v>5952</v>
      </c>
      <c r="W2088" s="2" t="s">
        <v>244</v>
      </c>
      <c r="X2088" s="2" t="s">
        <v>100</v>
      </c>
      <c r="Y2088" s="2" t="s">
        <v>2843</v>
      </c>
      <c r="Z2088" s="4"/>
      <c r="AA2088" s="4">
        <f>=ROUNDDOWN({0},0)</f>
      </c>
      <c r="AB2088" s="5">
        <v>4</v>
      </c>
      <c r="AC2088" s="2" t="s">
        <v>680</v>
      </c>
      <c r="AD2088" s="4">
        <v>180</v>
      </c>
      <c r="AE2088" s="4">
        <v>180</v>
      </c>
      <c r="AF2088" s="6">
        <v>65</v>
      </c>
      <c r="AG2088" s="6"/>
      <c r="AH2088" s="7">
        <v>0</v>
      </c>
      <c r="AI2088" s="4"/>
      <c r="AJ2088" s="4">
        <f>=ROUNDDOWN({0},0)</f>
      </c>
      <c r="AK2088" s="5"/>
      <c r="AL2088" s="2" t="s">
        <v>100</v>
      </c>
      <c r="AM2088" s="4"/>
      <c r="AN2088" s="4"/>
      <c r="AO2088" s="7">
        <v>0</v>
      </c>
      <c r="AP2088" s="4"/>
      <c r="AQ2088" s="8"/>
      <c r="AR2088" s="4"/>
      <c r="AS2088" s="8"/>
      <c r="AT2088" s="7"/>
      <c r="AU2088" s="7"/>
      <c r="AV2088" s="4" t="s">
        <v>100</v>
      </c>
      <c r="AW2088" s="8" t="s">
        <v>100</v>
      </c>
      <c r="AX2088" s="4" t="s">
        <v>100</v>
      </c>
      <c r="AY2088" s="8" t="s">
        <v>100</v>
      </c>
      <c r="AZ2088" s="7" t="s">
        <v>100</v>
      </c>
      <c r="BA2088" s="7" t="s">
        <v>100</v>
      </c>
      <c r="BB2088" s="7"/>
      <c r="BC2088" s="4" t="s">
        <v>100</v>
      </c>
      <c r="BD2088" s="8" t="s">
        <v>100</v>
      </c>
      <c r="BE2088" s="4" t="s">
        <v>100</v>
      </c>
      <c r="BF2088" s="8" t="s">
        <v>100</v>
      </c>
      <c r="BG2088" s="7" t="s">
        <v>100</v>
      </c>
      <c r="BH2088" s="7" t="s">
        <v>100</v>
      </c>
      <c r="BI2088" s="7"/>
      <c r="BJ2088" s="4"/>
      <c r="BK2088" s="8"/>
      <c r="BL2088" s="2" t="s">
        <v>100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109</v>
      </c>
      <c r="BV2088" s="2" t="s">
        <v>97</v>
      </c>
      <c r="BW2088" s="2" t="s">
        <v>2358</v>
      </c>
      <c r="BX2088" s="2" t="s">
        <v>1090</v>
      </c>
      <c r="BY2088" s="2" t="s">
        <v>112</v>
      </c>
      <c r="BZ2088" s="2" t="s">
        <v>100</v>
      </c>
    </row>
    <row r="2089">
      <c r="A2089" s="2" t="s">
        <v>5980</v>
      </c>
      <c r="B2089" s="2" t="s">
        <v>87</v>
      </c>
      <c r="C2089" s="2" t="s">
        <v>5945</v>
      </c>
      <c r="D2089" s="2" t="s">
        <v>89</v>
      </c>
      <c r="E2089" s="2" t="s">
        <v>90</v>
      </c>
      <c r="F2089" s="2" t="s">
        <v>3436</v>
      </c>
      <c r="G2089" s="2" t="s">
        <v>3436</v>
      </c>
      <c r="H2089" s="2" t="s">
        <v>3436</v>
      </c>
      <c r="I2089" s="2" t="s">
        <v>5970</v>
      </c>
      <c r="J2089" s="2" t="s">
        <v>120</v>
      </c>
      <c r="K2089" s="2" t="s">
        <v>1413</v>
      </c>
      <c r="L2089" s="3">
        <v>204.28</v>
      </c>
      <c r="M2089" s="3">
        <v>214.49</v>
      </c>
      <c r="N2089" s="3">
        <v>599.99</v>
      </c>
      <c r="O2089" s="2" t="s">
        <v>97</v>
      </c>
      <c r="P2089" s="2" t="s">
        <v>4334</v>
      </c>
      <c r="Q2089" s="2" t="s">
        <v>99</v>
      </c>
      <c r="R2089" s="2" t="s">
        <v>100</v>
      </c>
      <c r="S2089" s="2" t="s">
        <v>100</v>
      </c>
      <c r="T2089" s="2" t="s">
        <v>100</v>
      </c>
      <c r="U2089" s="2" t="s">
        <v>1459</v>
      </c>
      <c r="V2089" s="2" t="s">
        <v>5952</v>
      </c>
      <c r="W2089" s="2" t="s">
        <v>244</v>
      </c>
      <c r="X2089" s="2" t="s">
        <v>100</v>
      </c>
      <c r="Y2089" s="2" t="s">
        <v>2843</v>
      </c>
      <c r="Z2089" s="4">
        <v>128</v>
      </c>
      <c r="AA2089" s="4">
        <f>=ROUNDDOWN(25.6,0)</f>
      </c>
      <c r="AB2089" s="5">
        <v>5</v>
      </c>
      <c r="AC2089" s="2" t="s">
        <v>4097</v>
      </c>
      <c r="AD2089" s="4">
        <v>20</v>
      </c>
      <c r="AE2089" s="4">
        <v>250</v>
      </c>
      <c r="AF2089" s="6">
        <v>65</v>
      </c>
      <c r="AG2089" s="6"/>
      <c r="AH2089" s="7">
        <v>1</v>
      </c>
      <c r="AI2089" s="4"/>
      <c r="AJ2089" s="4">
        <f>=ROUNDDOWN({0},0)</f>
      </c>
      <c r="AK2089" s="5"/>
      <c r="AL2089" s="2" t="s">
        <v>100</v>
      </c>
      <c r="AM2089" s="4"/>
      <c r="AN2089" s="4"/>
      <c r="AO2089" s="7">
        <v>0</v>
      </c>
      <c r="AP2089" s="4"/>
      <c r="AQ2089" s="8"/>
      <c r="AR2089" s="4"/>
      <c r="AS2089" s="8"/>
      <c r="AT2089" s="7"/>
      <c r="AU2089" s="7"/>
      <c r="AV2089" s="4" t="s">
        <v>100</v>
      </c>
      <c r="AW2089" s="8" t="s">
        <v>100</v>
      </c>
      <c r="AX2089" s="4" t="s">
        <v>100</v>
      </c>
      <c r="AY2089" s="8" t="s">
        <v>100</v>
      </c>
      <c r="AZ2089" s="7" t="s">
        <v>100</v>
      </c>
      <c r="BA2089" s="7" t="s">
        <v>100</v>
      </c>
      <c r="BB2089" s="7"/>
      <c r="BC2089" s="4" t="s">
        <v>100</v>
      </c>
      <c r="BD2089" s="8" t="s">
        <v>100</v>
      </c>
      <c r="BE2089" s="4" t="s">
        <v>100</v>
      </c>
      <c r="BF2089" s="8" t="s">
        <v>100</v>
      </c>
      <c r="BG2089" s="7" t="s">
        <v>100</v>
      </c>
      <c r="BH2089" s="7" t="s">
        <v>100</v>
      </c>
      <c r="BI2089" s="7"/>
      <c r="BJ2089" s="4">
        <v>4</v>
      </c>
      <c r="BK2089" s="8">
        <v>883.81</v>
      </c>
      <c r="BL2089" s="2" t="s">
        <v>333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109</v>
      </c>
      <c r="BV2089" s="2" t="s">
        <v>97</v>
      </c>
      <c r="BW2089" s="2" t="s">
        <v>2358</v>
      </c>
      <c r="BX2089" s="2" t="s">
        <v>5981</v>
      </c>
      <c r="BY2089" s="2" t="s">
        <v>112</v>
      </c>
      <c r="BZ2089" s="2" t="s">
        <v>100</v>
      </c>
    </row>
    <row r="2090">
      <c r="A2090" s="2" t="s">
        <v>5982</v>
      </c>
      <c r="B2090" s="2" t="s">
        <v>87</v>
      </c>
      <c r="C2090" s="2" t="s">
        <v>5945</v>
      </c>
      <c r="D2090" s="2" t="s">
        <v>89</v>
      </c>
      <c r="E2090" s="2" t="s">
        <v>90</v>
      </c>
      <c r="F2090" s="2" t="s">
        <v>3436</v>
      </c>
      <c r="G2090" s="2" t="s">
        <v>3436</v>
      </c>
      <c r="H2090" s="2" t="s">
        <v>3436</v>
      </c>
      <c r="I2090" s="2" t="s">
        <v>5970</v>
      </c>
      <c r="J2090" s="2" t="s">
        <v>124</v>
      </c>
      <c r="K2090" s="2" t="s">
        <v>1413</v>
      </c>
      <c r="L2090" s="3">
        <v>204.28</v>
      </c>
      <c r="M2090" s="3">
        <v>214.49</v>
      </c>
      <c r="N2090" s="3">
        <v>599.99</v>
      </c>
      <c r="O2090" s="2" t="s">
        <v>97</v>
      </c>
      <c r="P2090" s="2" t="s">
        <v>4334</v>
      </c>
      <c r="Q2090" s="2" t="s">
        <v>99</v>
      </c>
      <c r="R2090" s="2" t="s">
        <v>100</v>
      </c>
      <c r="S2090" s="2" t="s">
        <v>100</v>
      </c>
      <c r="T2090" s="2" t="s">
        <v>100</v>
      </c>
      <c r="U2090" s="2" t="s">
        <v>1459</v>
      </c>
      <c r="V2090" s="2" t="s">
        <v>5952</v>
      </c>
      <c r="W2090" s="2" t="s">
        <v>244</v>
      </c>
      <c r="X2090" s="2" t="s">
        <v>100</v>
      </c>
      <c r="Y2090" s="2" t="s">
        <v>2843</v>
      </c>
      <c r="Z2090" s="4">
        <v>12</v>
      </c>
      <c r="AA2090" s="4">
        <f>=ROUNDDOWN(12,0)</f>
      </c>
      <c r="AB2090" s="5">
        <v>1</v>
      </c>
      <c r="AC2090" s="2" t="s">
        <v>4097</v>
      </c>
      <c r="AD2090" s="4">
        <v>70</v>
      </c>
      <c r="AE2090" s="4">
        <v>70</v>
      </c>
      <c r="AF2090" s="6">
        <v>65</v>
      </c>
      <c r="AG2090" s="6"/>
      <c r="AH2090" s="7">
        <v>0</v>
      </c>
      <c r="AI2090" s="4"/>
      <c r="AJ2090" s="4">
        <f>=ROUNDDOWN({0},0)</f>
      </c>
      <c r="AK2090" s="5"/>
      <c r="AL2090" s="2" t="s">
        <v>100</v>
      </c>
      <c r="AM2090" s="4"/>
      <c r="AN2090" s="4"/>
      <c r="AO2090" s="7">
        <v>0</v>
      </c>
      <c r="AP2090" s="4"/>
      <c r="AQ2090" s="8"/>
      <c r="AR2090" s="4"/>
      <c r="AS2090" s="8"/>
      <c r="AT2090" s="7"/>
      <c r="AU2090" s="7"/>
      <c r="AV2090" s="4" t="s">
        <v>100</v>
      </c>
      <c r="AW2090" s="8" t="s">
        <v>100</v>
      </c>
      <c r="AX2090" s="4" t="s">
        <v>100</v>
      </c>
      <c r="AY2090" s="8" t="s">
        <v>100</v>
      </c>
      <c r="AZ2090" s="7" t="s">
        <v>100</v>
      </c>
      <c r="BA2090" s="7" t="s">
        <v>100</v>
      </c>
      <c r="BB2090" s="7"/>
      <c r="BC2090" s="4" t="s">
        <v>100</v>
      </c>
      <c r="BD2090" s="8" t="s">
        <v>100</v>
      </c>
      <c r="BE2090" s="4" t="s">
        <v>100</v>
      </c>
      <c r="BF2090" s="8" t="s">
        <v>100</v>
      </c>
      <c r="BG2090" s="7" t="s">
        <v>100</v>
      </c>
      <c r="BH2090" s="7" t="s">
        <v>100</v>
      </c>
      <c r="BI2090" s="7"/>
      <c r="BJ2090" s="4"/>
      <c r="BK2090" s="8"/>
      <c r="BL2090" s="2" t="s">
        <v>100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109</v>
      </c>
      <c r="BV2090" s="2" t="s">
        <v>97</v>
      </c>
      <c r="BW2090" s="2" t="s">
        <v>2358</v>
      </c>
      <c r="BX2090" s="2" t="s">
        <v>100</v>
      </c>
      <c r="BY2090" s="2" t="s">
        <v>112</v>
      </c>
      <c r="BZ2090" s="2" t="s">
        <v>100</v>
      </c>
    </row>
    <row r="2091">
      <c r="A2091" s="2" t="s">
        <v>5983</v>
      </c>
      <c r="B2091" s="2" t="s">
        <v>87</v>
      </c>
      <c r="C2091" s="2" t="s">
        <v>5945</v>
      </c>
      <c r="D2091" s="2" t="s">
        <v>89</v>
      </c>
      <c r="E2091" s="2" t="s">
        <v>90</v>
      </c>
      <c r="F2091" s="2" t="s">
        <v>5984</v>
      </c>
      <c r="G2091" s="2" t="s">
        <v>5984</v>
      </c>
      <c r="H2091" s="2" t="s">
        <v>5984</v>
      </c>
      <c r="I2091" s="2" t="s">
        <v>5970</v>
      </c>
      <c r="J2091" s="2" t="s">
        <v>114</v>
      </c>
      <c r="K2091" s="2" t="s">
        <v>163</v>
      </c>
      <c r="L2091" s="3">
        <v>170.23</v>
      </c>
      <c r="M2091" s="3">
        <v>178.74</v>
      </c>
      <c r="N2091" s="3">
        <v>499.99</v>
      </c>
      <c r="O2091" s="2" t="s">
        <v>97</v>
      </c>
      <c r="P2091" s="2" t="s">
        <v>4334</v>
      </c>
      <c r="Q2091" s="2" t="s">
        <v>99</v>
      </c>
      <c r="R2091" s="2" t="s">
        <v>100</v>
      </c>
      <c r="S2091" s="2" t="s">
        <v>100</v>
      </c>
      <c r="T2091" s="2" t="s">
        <v>100</v>
      </c>
      <c r="U2091" s="2" t="s">
        <v>1459</v>
      </c>
      <c r="V2091" s="2" t="s">
        <v>5952</v>
      </c>
      <c r="W2091" s="2" t="s">
        <v>244</v>
      </c>
      <c r="X2091" s="2" t="s">
        <v>100</v>
      </c>
      <c r="Y2091" s="2" t="s">
        <v>5985</v>
      </c>
      <c r="Z2091" s="4">
        <v>149</v>
      </c>
      <c r="AA2091" s="4">
        <f>=ROUNDDOWN(74.5,0)</f>
      </c>
      <c r="AB2091" s="5">
        <v>2</v>
      </c>
      <c r="AC2091" s="2" t="s">
        <v>100</v>
      </c>
      <c r="AD2091" s="4"/>
      <c r="AE2091" s="4"/>
      <c r="AF2091" s="6">
        <v>65</v>
      </c>
      <c r="AG2091" s="6"/>
      <c r="AH2091" s="7">
        <v>1</v>
      </c>
      <c r="AI2091" s="4"/>
      <c r="AJ2091" s="4">
        <f>=ROUNDDOWN({0},0)</f>
      </c>
      <c r="AK2091" s="5"/>
      <c r="AL2091" s="2" t="s">
        <v>100</v>
      </c>
      <c r="AM2091" s="4"/>
      <c r="AN2091" s="4"/>
      <c r="AO2091" s="7">
        <v>0</v>
      </c>
      <c r="AP2091" s="4"/>
      <c r="AQ2091" s="8"/>
      <c r="AR2091" s="4"/>
      <c r="AS2091" s="8"/>
      <c r="AT2091" s="7"/>
      <c r="AU2091" s="7"/>
      <c r="AV2091" s="4" t="s">
        <v>100</v>
      </c>
      <c r="AW2091" s="8" t="s">
        <v>100</v>
      </c>
      <c r="AX2091" s="4" t="s">
        <v>100</v>
      </c>
      <c r="AY2091" s="8" t="s">
        <v>100</v>
      </c>
      <c r="AZ2091" s="7" t="s">
        <v>100</v>
      </c>
      <c r="BA2091" s="7" t="s">
        <v>100</v>
      </c>
      <c r="BB2091" s="7"/>
      <c r="BC2091" s="4" t="s">
        <v>100</v>
      </c>
      <c r="BD2091" s="8" t="s">
        <v>100</v>
      </c>
      <c r="BE2091" s="4" t="s">
        <v>100</v>
      </c>
      <c r="BF2091" s="8" t="s">
        <v>100</v>
      </c>
      <c r="BG2091" s="7" t="s">
        <v>100</v>
      </c>
      <c r="BH2091" s="7" t="s">
        <v>100</v>
      </c>
      <c r="BI2091" s="7"/>
      <c r="BJ2091" s="4">
        <v>2</v>
      </c>
      <c r="BK2091" s="8">
        <v>387.87</v>
      </c>
      <c r="BL2091" s="2" t="s">
        <v>200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109</v>
      </c>
      <c r="BV2091" s="2" t="s">
        <v>97</v>
      </c>
      <c r="BW2091" s="2" t="s">
        <v>2358</v>
      </c>
      <c r="BX2091" s="2" t="s">
        <v>1517</v>
      </c>
      <c r="BY2091" s="2" t="s">
        <v>112</v>
      </c>
      <c r="BZ2091" s="2" t="s">
        <v>100</v>
      </c>
    </row>
    <row r="2092">
      <c r="A2092" s="2" t="s">
        <v>5986</v>
      </c>
      <c r="B2092" s="2" t="s">
        <v>87</v>
      </c>
      <c r="C2092" s="2" t="s">
        <v>5945</v>
      </c>
      <c r="D2092" s="2" t="s">
        <v>89</v>
      </c>
      <c r="E2092" s="2" t="s">
        <v>90</v>
      </c>
      <c r="F2092" s="2" t="s">
        <v>5984</v>
      </c>
      <c r="G2092" s="2" t="s">
        <v>5984</v>
      </c>
      <c r="H2092" s="2" t="s">
        <v>5984</v>
      </c>
      <c r="I2092" s="2" t="s">
        <v>5970</v>
      </c>
      <c r="J2092" s="2" t="s">
        <v>120</v>
      </c>
      <c r="K2092" s="2" t="s">
        <v>163</v>
      </c>
      <c r="L2092" s="3">
        <v>204.28</v>
      </c>
      <c r="M2092" s="3">
        <v>214.49</v>
      </c>
      <c r="N2092" s="3">
        <v>599.99</v>
      </c>
      <c r="O2092" s="2" t="s">
        <v>97</v>
      </c>
      <c r="P2092" s="2" t="s">
        <v>4334</v>
      </c>
      <c r="Q2092" s="2" t="s">
        <v>99</v>
      </c>
      <c r="R2092" s="2" t="s">
        <v>100</v>
      </c>
      <c r="S2092" s="2" t="s">
        <v>100</v>
      </c>
      <c r="T2092" s="2" t="s">
        <v>100</v>
      </c>
      <c r="U2092" s="2" t="s">
        <v>1459</v>
      </c>
      <c r="V2092" s="2" t="s">
        <v>5952</v>
      </c>
      <c r="W2092" s="2" t="s">
        <v>244</v>
      </c>
      <c r="X2092" s="2" t="s">
        <v>100</v>
      </c>
      <c r="Y2092" s="2" t="s">
        <v>5985</v>
      </c>
      <c r="Z2092" s="4">
        <v>362</v>
      </c>
      <c r="AA2092" s="4">
        <f>=ROUNDDOWN(72.4,0)</f>
      </c>
      <c r="AB2092" s="5">
        <v>5</v>
      </c>
      <c r="AC2092" s="2" t="s">
        <v>100</v>
      </c>
      <c r="AD2092" s="4"/>
      <c r="AE2092" s="4"/>
      <c r="AF2092" s="6">
        <v>65</v>
      </c>
      <c r="AG2092" s="6"/>
      <c r="AH2092" s="7">
        <v>1</v>
      </c>
      <c r="AI2092" s="4"/>
      <c r="AJ2092" s="4">
        <f>=ROUNDDOWN({0},0)</f>
      </c>
      <c r="AK2092" s="5"/>
      <c r="AL2092" s="2" t="s">
        <v>100</v>
      </c>
      <c r="AM2092" s="4"/>
      <c r="AN2092" s="4"/>
      <c r="AO2092" s="7">
        <v>0</v>
      </c>
      <c r="AP2092" s="4"/>
      <c r="AQ2092" s="8"/>
      <c r="AR2092" s="4"/>
      <c r="AS2092" s="8"/>
      <c r="AT2092" s="7"/>
      <c r="AU2092" s="7"/>
      <c r="AV2092" s="4" t="s">
        <v>100</v>
      </c>
      <c r="AW2092" s="8" t="s">
        <v>100</v>
      </c>
      <c r="AX2092" s="4" t="s">
        <v>100</v>
      </c>
      <c r="AY2092" s="8" t="s">
        <v>100</v>
      </c>
      <c r="AZ2092" s="7" t="s">
        <v>100</v>
      </c>
      <c r="BA2092" s="7" t="s">
        <v>100</v>
      </c>
      <c r="BB2092" s="7"/>
      <c r="BC2092" s="4" t="s">
        <v>100</v>
      </c>
      <c r="BD2092" s="8" t="s">
        <v>100</v>
      </c>
      <c r="BE2092" s="4" t="s">
        <v>100</v>
      </c>
      <c r="BF2092" s="8" t="s">
        <v>100</v>
      </c>
      <c r="BG2092" s="7" t="s">
        <v>100</v>
      </c>
      <c r="BH2092" s="7" t="s">
        <v>100</v>
      </c>
      <c r="BI2092" s="7"/>
      <c r="BJ2092" s="4">
        <v>3</v>
      </c>
      <c r="BK2092" s="8">
        <v>652.16</v>
      </c>
      <c r="BL2092" s="2" t="s">
        <v>391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109</v>
      </c>
      <c r="BV2092" s="2" t="s">
        <v>97</v>
      </c>
      <c r="BW2092" s="2" t="s">
        <v>2358</v>
      </c>
      <c r="BX2092" s="2" t="s">
        <v>1726</v>
      </c>
      <c r="BY2092" s="2" t="s">
        <v>112</v>
      </c>
      <c r="BZ2092" s="2" t="s">
        <v>100</v>
      </c>
    </row>
    <row r="2093">
      <c r="A2093" s="2" t="s">
        <v>5987</v>
      </c>
      <c r="B2093" s="2" t="s">
        <v>87</v>
      </c>
      <c r="C2093" s="2" t="s">
        <v>5945</v>
      </c>
      <c r="D2093" s="2" t="s">
        <v>89</v>
      </c>
      <c r="E2093" s="2" t="s">
        <v>90</v>
      </c>
      <c r="F2093" s="2" t="s">
        <v>5984</v>
      </c>
      <c r="G2093" s="2" t="s">
        <v>5984</v>
      </c>
      <c r="H2093" s="2" t="s">
        <v>5984</v>
      </c>
      <c r="I2093" s="2" t="s">
        <v>5970</v>
      </c>
      <c r="J2093" s="2" t="s">
        <v>124</v>
      </c>
      <c r="K2093" s="2" t="s">
        <v>163</v>
      </c>
      <c r="L2093" s="3">
        <v>204.28</v>
      </c>
      <c r="M2093" s="3">
        <v>214.49</v>
      </c>
      <c r="N2093" s="3">
        <v>599.99</v>
      </c>
      <c r="O2093" s="2" t="s">
        <v>97</v>
      </c>
      <c r="P2093" s="2" t="s">
        <v>4334</v>
      </c>
      <c r="Q2093" s="2" t="s">
        <v>99</v>
      </c>
      <c r="R2093" s="2" t="s">
        <v>100</v>
      </c>
      <c r="S2093" s="2" t="s">
        <v>100</v>
      </c>
      <c r="T2093" s="2" t="s">
        <v>100</v>
      </c>
      <c r="U2093" s="2" t="s">
        <v>1459</v>
      </c>
      <c r="V2093" s="2" t="s">
        <v>5952</v>
      </c>
      <c r="W2093" s="2" t="s">
        <v>244</v>
      </c>
      <c r="X2093" s="2" t="s">
        <v>100</v>
      </c>
      <c r="Y2093" s="2" t="s">
        <v>5985</v>
      </c>
      <c r="Z2093" s="4">
        <v>59</v>
      </c>
      <c r="AA2093" s="4">
        <f>=ROUNDDOWN(59,0)</f>
      </c>
      <c r="AB2093" s="5">
        <v>1</v>
      </c>
      <c r="AC2093" s="2" t="s">
        <v>100</v>
      </c>
      <c r="AD2093" s="4"/>
      <c r="AE2093" s="4"/>
      <c r="AF2093" s="6">
        <v>65</v>
      </c>
      <c r="AG2093" s="6"/>
      <c r="AH2093" s="7">
        <v>0.2857</v>
      </c>
      <c r="AI2093" s="4"/>
      <c r="AJ2093" s="4">
        <f>=ROUNDDOWN({0},0)</f>
      </c>
      <c r="AK2093" s="5"/>
      <c r="AL2093" s="2" t="s">
        <v>100</v>
      </c>
      <c r="AM2093" s="4"/>
      <c r="AN2093" s="4"/>
      <c r="AO2093" s="7">
        <v>0</v>
      </c>
      <c r="AP2093" s="4"/>
      <c r="AQ2093" s="8"/>
      <c r="AR2093" s="4"/>
      <c r="AS2093" s="8"/>
      <c r="AT2093" s="7"/>
      <c r="AU2093" s="7"/>
      <c r="AV2093" s="4" t="s">
        <v>100</v>
      </c>
      <c r="AW2093" s="8" t="s">
        <v>100</v>
      </c>
      <c r="AX2093" s="4" t="s">
        <v>100</v>
      </c>
      <c r="AY2093" s="8" t="s">
        <v>100</v>
      </c>
      <c r="AZ2093" s="7" t="s">
        <v>100</v>
      </c>
      <c r="BA2093" s="7" t="s">
        <v>100</v>
      </c>
      <c r="BB2093" s="7"/>
      <c r="BC2093" s="4" t="s">
        <v>100</v>
      </c>
      <c r="BD2093" s="8" t="s">
        <v>100</v>
      </c>
      <c r="BE2093" s="4" t="s">
        <v>100</v>
      </c>
      <c r="BF2093" s="8" t="s">
        <v>100</v>
      </c>
      <c r="BG2093" s="7" t="s">
        <v>100</v>
      </c>
      <c r="BH2093" s="7" t="s">
        <v>100</v>
      </c>
      <c r="BI2093" s="7"/>
      <c r="BJ2093" s="4"/>
      <c r="BK2093" s="8"/>
      <c r="BL2093" s="2" t="s">
        <v>100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109</v>
      </c>
      <c r="BV2093" s="2" t="s">
        <v>97</v>
      </c>
      <c r="BW2093" s="2" t="s">
        <v>2358</v>
      </c>
      <c r="BX2093" s="2" t="s">
        <v>100</v>
      </c>
      <c r="BY2093" s="2" t="s">
        <v>112</v>
      </c>
      <c r="BZ2093" s="2" t="s">
        <v>100</v>
      </c>
    </row>
    <row r="2094">
      <c r="A2094" s="2" t="s">
        <v>5988</v>
      </c>
      <c r="B2094" s="2" t="s">
        <v>87</v>
      </c>
      <c r="C2094" s="2" t="s">
        <v>5945</v>
      </c>
      <c r="D2094" s="2" t="s">
        <v>2230</v>
      </c>
      <c r="E2094" s="2" t="s">
        <v>3064</v>
      </c>
      <c r="F2094" s="2" t="s">
        <v>5989</v>
      </c>
      <c r="G2094" s="2" t="s">
        <v>5989</v>
      </c>
      <c r="H2094" s="2" t="s">
        <v>5989</v>
      </c>
      <c r="I2094" s="2" t="s">
        <v>5990</v>
      </c>
      <c r="J2094" s="2" t="s">
        <v>114</v>
      </c>
      <c r="K2094" s="2" t="s">
        <v>5802</v>
      </c>
      <c r="L2094" s="3">
        <v>85.12</v>
      </c>
      <c r="M2094" s="3">
        <v>89.38</v>
      </c>
      <c r="N2094" s="3">
        <v>249.99</v>
      </c>
      <c r="O2094" s="2" t="s">
        <v>97</v>
      </c>
      <c r="P2094" s="2" t="s">
        <v>4334</v>
      </c>
      <c r="Q2094" s="2" t="s">
        <v>99</v>
      </c>
      <c r="R2094" s="2" t="s">
        <v>100</v>
      </c>
      <c r="S2094" s="2" t="s">
        <v>100</v>
      </c>
      <c r="T2094" s="2" t="s">
        <v>100</v>
      </c>
      <c r="U2094" s="2" t="s">
        <v>1508</v>
      </c>
      <c r="V2094" s="2" t="s">
        <v>645</v>
      </c>
      <c r="W2094" s="2" t="s">
        <v>244</v>
      </c>
      <c r="X2094" s="2" t="s">
        <v>100</v>
      </c>
      <c r="Y2094" s="2" t="s">
        <v>5957</v>
      </c>
      <c r="Z2094" s="4">
        <v>130</v>
      </c>
      <c r="AA2094" s="4">
        <f>=ROUNDDOWN(130,0)</f>
      </c>
      <c r="AB2094" s="5">
        <v>1</v>
      </c>
      <c r="AC2094" s="2" t="s">
        <v>100</v>
      </c>
      <c r="AD2094" s="4"/>
      <c r="AE2094" s="4"/>
      <c r="AF2094" s="6">
        <v>65</v>
      </c>
      <c r="AG2094" s="6"/>
      <c r="AH2094" s="7">
        <v>0</v>
      </c>
      <c r="AI2094" s="4"/>
      <c r="AJ2094" s="4">
        <f>=ROUNDDOWN({0},0)</f>
      </c>
      <c r="AK2094" s="5"/>
      <c r="AL2094" s="2" t="s">
        <v>100</v>
      </c>
      <c r="AM2094" s="4"/>
      <c r="AN2094" s="4"/>
      <c r="AO2094" s="7">
        <v>0</v>
      </c>
      <c r="AP2094" s="4"/>
      <c r="AQ2094" s="8"/>
      <c r="AR2094" s="4"/>
      <c r="AS2094" s="8"/>
      <c r="AT2094" s="7"/>
      <c r="AU2094" s="7"/>
      <c r="AV2094" s="4" t="s">
        <v>100</v>
      </c>
      <c r="AW2094" s="8" t="s">
        <v>100</v>
      </c>
      <c r="AX2094" s="4" t="s">
        <v>100</v>
      </c>
      <c r="AY2094" s="8" t="s">
        <v>100</v>
      </c>
      <c r="AZ2094" s="7" t="s">
        <v>100</v>
      </c>
      <c r="BA2094" s="7" t="s">
        <v>100</v>
      </c>
      <c r="BB2094" s="7"/>
      <c r="BC2094" s="4" t="s">
        <v>100</v>
      </c>
      <c r="BD2094" s="8" t="s">
        <v>100</v>
      </c>
      <c r="BE2094" s="4" t="s">
        <v>100</v>
      </c>
      <c r="BF2094" s="8" t="s">
        <v>100</v>
      </c>
      <c r="BG2094" s="7" t="s">
        <v>100</v>
      </c>
      <c r="BH2094" s="7" t="s">
        <v>100</v>
      </c>
      <c r="BI2094" s="7"/>
      <c r="BJ2094" s="4"/>
      <c r="BK2094" s="8"/>
      <c r="BL2094" s="2" t="s">
        <v>100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109</v>
      </c>
      <c r="BV2094" s="2" t="s">
        <v>97</v>
      </c>
      <c r="BW2094" s="2" t="s">
        <v>2358</v>
      </c>
      <c r="BX2094" s="2" t="s">
        <v>5974</v>
      </c>
      <c r="BY2094" s="2" t="s">
        <v>112</v>
      </c>
      <c r="BZ2094" s="2" t="s">
        <v>100</v>
      </c>
    </row>
    <row r="2095">
      <c r="A2095" s="2" t="s">
        <v>5991</v>
      </c>
      <c r="B2095" s="2" t="s">
        <v>87</v>
      </c>
      <c r="C2095" s="2" t="s">
        <v>5945</v>
      </c>
      <c r="D2095" s="2" t="s">
        <v>2230</v>
      </c>
      <c r="E2095" s="2" t="s">
        <v>3064</v>
      </c>
      <c r="F2095" s="2" t="s">
        <v>5989</v>
      </c>
      <c r="G2095" s="2" t="s">
        <v>5989</v>
      </c>
      <c r="H2095" s="2" t="s">
        <v>5989</v>
      </c>
      <c r="I2095" s="2" t="s">
        <v>5990</v>
      </c>
      <c r="J2095" s="2" t="s">
        <v>120</v>
      </c>
      <c r="K2095" s="2" t="s">
        <v>5802</v>
      </c>
      <c r="L2095" s="3">
        <v>102.14</v>
      </c>
      <c r="M2095" s="3">
        <v>107.25</v>
      </c>
      <c r="N2095" s="3">
        <v>299.99</v>
      </c>
      <c r="O2095" s="2" t="s">
        <v>97</v>
      </c>
      <c r="P2095" s="2" t="s">
        <v>4334</v>
      </c>
      <c r="Q2095" s="2" t="s">
        <v>99</v>
      </c>
      <c r="R2095" s="2" t="s">
        <v>100</v>
      </c>
      <c r="S2095" s="2" t="s">
        <v>100</v>
      </c>
      <c r="T2095" s="2" t="s">
        <v>100</v>
      </c>
      <c r="U2095" s="2" t="s">
        <v>1508</v>
      </c>
      <c r="V2095" s="2" t="s">
        <v>645</v>
      </c>
      <c r="W2095" s="2" t="s">
        <v>244</v>
      </c>
      <c r="X2095" s="2" t="s">
        <v>100</v>
      </c>
      <c r="Y2095" s="2" t="s">
        <v>5957</v>
      </c>
      <c r="Z2095" s="4">
        <v>199</v>
      </c>
      <c r="AA2095" s="4">
        <f>=ROUNDDOWN(73.7037037037037,0)</f>
      </c>
      <c r="AB2095" s="5">
        <v>2.7</v>
      </c>
      <c r="AC2095" s="2" t="s">
        <v>100</v>
      </c>
      <c r="AD2095" s="4"/>
      <c r="AE2095" s="4"/>
      <c r="AF2095" s="6">
        <v>65</v>
      </c>
      <c r="AG2095" s="6"/>
      <c r="AH2095" s="7">
        <v>1</v>
      </c>
      <c r="AI2095" s="4"/>
      <c r="AJ2095" s="4">
        <f>=ROUNDDOWN({0},0)</f>
      </c>
      <c r="AK2095" s="5"/>
      <c r="AL2095" s="2" t="s">
        <v>100</v>
      </c>
      <c r="AM2095" s="4"/>
      <c r="AN2095" s="4"/>
      <c r="AO2095" s="7">
        <v>0</v>
      </c>
      <c r="AP2095" s="4"/>
      <c r="AQ2095" s="8"/>
      <c r="AR2095" s="4"/>
      <c r="AS2095" s="8"/>
      <c r="AT2095" s="7"/>
      <c r="AU2095" s="7"/>
      <c r="AV2095" s="4" t="s">
        <v>100</v>
      </c>
      <c r="AW2095" s="8" t="s">
        <v>100</v>
      </c>
      <c r="AX2095" s="4" t="s">
        <v>100</v>
      </c>
      <c r="AY2095" s="8" t="s">
        <v>100</v>
      </c>
      <c r="AZ2095" s="7" t="s">
        <v>100</v>
      </c>
      <c r="BA2095" s="7" t="s">
        <v>100</v>
      </c>
      <c r="BB2095" s="7"/>
      <c r="BC2095" s="4" t="s">
        <v>100</v>
      </c>
      <c r="BD2095" s="8" t="s">
        <v>100</v>
      </c>
      <c r="BE2095" s="4" t="s">
        <v>100</v>
      </c>
      <c r="BF2095" s="8" t="s">
        <v>100</v>
      </c>
      <c r="BG2095" s="7" t="s">
        <v>100</v>
      </c>
      <c r="BH2095" s="7" t="s">
        <v>100</v>
      </c>
      <c r="BI2095" s="7"/>
      <c r="BJ2095" s="4">
        <v>2</v>
      </c>
      <c r="BK2095" s="8">
        <v>231.66</v>
      </c>
      <c r="BL2095" s="2" t="s">
        <v>2115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109</v>
      </c>
      <c r="BV2095" s="2" t="s">
        <v>97</v>
      </c>
      <c r="BW2095" s="2" t="s">
        <v>2358</v>
      </c>
      <c r="BX2095" s="2" t="s">
        <v>5992</v>
      </c>
      <c r="BY2095" s="2" t="s">
        <v>112</v>
      </c>
      <c r="BZ2095" s="2" t="s">
        <v>100</v>
      </c>
    </row>
    <row r="2096">
      <c r="A2096" s="2" t="s">
        <v>5993</v>
      </c>
      <c r="B2096" s="2" t="s">
        <v>87</v>
      </c>
      <c r="C2096" s="2" t="s">
        <v>5945</v>
      </c>
      <c r="D2096" s="2" t="s">
        <v>2230</v>
      </c>
      <c r="E2096" s="2" t="s">
        <v>3064</v>
      </c>
      <c r="F2096" s="2" t="s">
        <v>5989</v>
      </c>
      <c r="G2096" s="2" t="s">
        <v>5989</v>
      </c>
      <c r="H2096" s="2" t="s">
        <v>5989</v>
      </c>
      <c r="I2096" s="2" t="s">
        <v>5994</v>
      </c>
      <c r="J2096" s="2" t="s">
        <v>114</v>
      </c>
      <c r="K2096" s="2" t="s">
        <v>146</v>
      </c>
      <c r="L2096" s="3">
        <v>85.12</v>
      </c>
      <c r="M2096" s="3">
        <v>89.38</v>
      </c>
      <c r="N2096" s="3">
        <v>249.99</v>
      </c>
      <c r="O2096" s="2" t="s">
        <v>97</v>
      </c>
      <c r="P2096" s="2" t="s">
        <v>4334</v>
      </c>
      <c r="Q2096" s="2" t="s">
        <v>99</v>
      </c>
      <c r="R2096" s="2" t="s">
        <v>100</v>
      </c>
      <c r="S2096" s="2" t="s">
        <v>100</v>
      </c>
      <c r="T2096" s="2" t="s">
        <v>100</v>
      </c>
      <c r="U2096" s="2" t="s">
        <v>1508</v>
      </c>
      <c r="V2096" s="2" t="s">
        <v>645</v>
      </c>
      <c r="W2096" s="2" t="s">
        <v>244</v>
      </c>
      <c r="X2096" s="2" t="s">
        <v>100</v>
      </c>
      <c r="Y2096" s="2" t="s">
        <v>5957</v>
      </c>
      <c r="Z2096" s="4">
        <v>176</v>
      </c>
      <c r="AA2096" s="4">
        <f>=ROUNDDOWN(176,0)</f>
      </c>
      <c r="AB2096" s="5">
        <v>1</v>
      </c>
      <c r="AC2096" s="2" t="s">
        <v>100</v>
      </c>
      <c r="AD2096" s="4"/>
      <c r="AE2096" s="4"/>
      <c r="AF2096" s="6">
        <v>65</v>
      </c>
      <c r="AG2096" s="6"/>
      <c r="AH2096" s="7">
        <v>0</v>
      </c>
      <c r="AI2096" s="4"/>
      <c r="AJ2096" s="4">
        <f>=ROUNDDOWN({0},0)</f>
      </c>
      <c r="AK2096" s="5"/>
      <c r="AL2096" s="2" t="s">
        <v>100</v>
      </c>
      <c r="AM2096" s="4"/>
      <c r="AN2096" s="4"/>
      <c r="AO2096" s="7">
        <v>0</v>
      </c>
      <c r="AP2096" s="4"/>
      <c r="AQ2096" s="8"/>
      <c r="AR2096" s="4"/>
      <c r="AS2096" s="8"/>
      <c r="AT2096" s="7"/>
      <c r="AU2096" s="7"/>
      <c r="AV2096" s="4" t="s">
        <v>100</v>
      </c>
      <c r="AW2096" s="8" t="s">
        <v>100</v>
      </c>
      <c r="AX2096" s="4" t="s">
        <v>100</v>
      </c>
      <c r="AY2096" s="8" t="s">
        <v>100</v>
      </c>
      <c r="AZ2096" s="7" t="s">
        <v>100</v>
      </c>
      <c r="BA2096" s="7" t="s">
        <v>100</v>
      </c>
      <c r="BB2096" s="7"/>
      <c r="BC2096" s="4" t="s">
        <v>100</v>
      </c>
      <c r="BD2096" s="8" t="s">
        <v>100</v>
      </c>
      <c r="BE2096" s="4" t="s">
        <v>100</v>
      </c>
      <c r="BF2096" s="8" t="s">
        <v>100</v>
      </c>
      <c r="BG2096" s="7" t="s">
        <v>100</v>
      </c>
      <c r="BH2096" s="7" t="s">
        <v>100</v>
      </c>
      <c r="BI2096" s="7"/>
      <c r="BJ2096" s="4"/>
      <c r="BK2096" s="8"/>
      <c r="BL2096" s="2" t="s">
        <v>100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109</v>
      </c>
      <c r="BV2096" s="2" t="s">
        <v>97</v>
      </c>
      <c r="BW2096" s="2" t="s">
        <v>2358</v>
      </c>
      <c r="BX2096" s="2" t="s">
        <v>5237</v>
      </c>
      <c r="BY2096" s="2" t="s">
        <v>112</v>
      </c>
      <c r="BZ2096" s="2" t="s">
        <v>100</v>
      </c>
    </row>
    <row r="2097">
      <c r="A2097" s="2" t="s">
        <v>5995</v>
      </c>
      <c r="B2097" s="2" t="s">
        <v>87</v>
      </c>
      <c r="C2097" s="2" t="s">
        <v>5945</v>
      </c>
      <c r="D2097" s="2" t="s">
        <v>2230</v>
      </c>
      <c r="E2097" s="2" t="s">
        <v>3064</v>
      </c>
      <c r="F2097" s="2" t="s">
        <v>5989</v>
      </c>
      <c r="G2097" s="2" t="s">
        <v>5989</v>
      </c>
      <c r="H2097" s="2" t="s">
        <v>5989</v>
      </c>
      <c r="I2097" s="2" t="s">
        <v>5994</v>
      </c>
      <c r="J2097" s="2" t="s">
        <v>120</v>
      </c>
      <c r="K2097" s="2" t="s">
        <v>146</v>
      </c>
      <c r="L2097" s="3">
        <v>102.14</v>
      </c>
      <c r="M2097" s="3">
        <v>107.25</v>
      </c>
      <c r="N2097" s="3">
        <v>299.99</v>
      </c>
      <c r="O2097" s="2" t="s">
        <v>97</v>
      </c>
      <c r="P2097" s="2" t="s">
        <v>4334</v>
      </c>
      <c r="Q2097" s="2" t="s">
        <v>99</v>
      </c>
      <c r="R2097" s="2" t="s">
        <v>100</v>
      </c>
      <c r="S2097" s="2" t="s">
        <v>100</v>
      </c>
      <c r="T2097" s="2" t="s">
        <v>100</v>
      </c>
      <c r="U2097" s="2" t="s">
        <v>1508</v>
      </c>
      <c r="V2097" s="2" t="s">
        <v>645</v>
      </c>
      <c r="W2097" s="2" t="s">
        <v>244</v>
      </c>
      <c r="X2097" s="2" t="s">
        <v>100</v>
      </c>
      <c r="Y2097" s="2" t="s">
        <v>5957</v>
      </c>
      <c r="Z2097" s="4">
        <v>192</v>
      </c>
      <c r="AA2097" s="4">
        <f>=ROUNDDOWN(73.8461538461539,0)</f>
      </c>
      <c r="AB2097" s="5">
        <v>2.6</v>
      </c>
      <c r="AC2097" s="2" t="s">
        <v>100</v>
      </c>
      <c r="AD2097" s="4"/>
      <c r="AE2097" s="4"/>
      <c r="AF2097" s="6">
        <v>65</v>
      </c>
      <c r="AG2097" s="6"/>
      <c r="AH2097" s="7">
        <v>1</v>
      </c>
      <c r="AI2097" s="4"/>
      <c r="AJ2097" s="4">
        <f>=ROUNDDOWN({0},0)</f>
      </c>
      <c r="AK2097" s="5"/>
      <c r="AL2097" s="2" t="s">
        <v>100</v>
      </c>
      <c r="AM2097" s="4"/>
      <c r="AN2097" s="4"/>
      <c r="AO2097" s="7">
        <v>0</v>
      </c>
      <c r="AP2097" s="4"/>
      <c r="AQ2097" s="8"/>
      <c r="AR2097" s="4"/>
      <c r="AS2097" s="8"/>
      <c r="AT2097" s="7"/>
      <c r="AU2097" s="7"/>
      <c r="AV2097" s="4" t="s">
        <v>100</v>
      </c>
      <c r="AW2097" s="8" t="s">
        <v>100</v>
      </c>
      <c r="AX2097" s="4" t="s">
        <v>100</v>
      </c>
      <c r="AY2097" s="8" t="s">
        <v>100</v>
      </c>
      <c r="AZ2097" s="7" t="s">
        <v>100</v>
      </c>
      <c r="BA2097" s="7" t="s">
        <v>100</v>
      </c>
      <c r="BB2097" s="7"/>
      <c r="BC2097" s="4" t="s">
        <v>100</v>
      </c>
      <c r="BD2097" s="8" t="s">
        <v>100</v>
      </c>
      <c r="BE2097" s="4" t="s">
        <v>100</v>
      </c>
      <c r="BF2097" s="8" t="s">
        <v>100</v>
      </c>
      <c r="BG2097" s="7" t="s">
        <v>100</v>
      </c>
      <c r="BH2097" s="7" t="s">
        <v>100</v>
      </c>
      <c r="BI2097" s="7"/>
      <c r="BJ2097" s="4">
        <v>4</v>
      </c>
      <c r="BK2097" s="8">
        <v>600.89</v>
      </c>
      <c r="BL2097" s="2" t="s">
        <v>5996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109</v>
      </c>
      <c r="BV2097" s="2" t="s">
        <v>97</v>
      </c>
      <c r="BW2097" s="2" t="s">
        <v>2358</v>
      </c>
      <c r="BX2097" s="2" t="s">
        <v>5992</v>
      </c>
      <c r="BY2097" s="2" t="s">
        <v>112</v>
      </c>
      <c r="BZ2097" s="2" t="s">
        <v>100</v>
      </c>
    </row>
    <row r="2098">
      <c r="A2098" s="2" t="s">
        <v>5997</v>
      </c>
      <c r="B2098" s="2" t="s">
        <v>87</v>
      </c>
      <c r="C2098" s="2" t="s">
        <v>5945</v>
      </c>
      <c r="D2098" s="2" t="s">
        <v>4554</v>
      </c>
      <c r="E2098" s="2" t="s">
        <v>5940</v>
      </c>
      <c r="F2098" s="2" t="s">
        <v>5998</v>
      </c>
      <c r="G2098" s="2" t="s">
        <v>5998</v>
      </c>
      <c r="H2098" s="2" t="s">
        <v>5998</v>
      </c>
      <c r="I2098" s="2" t="s">
        <v>5999</v>
      </c>
      <c r="J2098" s="2" t="s">
        <v>6000</v>
      </c>
      <c r="K2098" s="2" t="s">
        <v>763</v>
      </c>
      <c r="L2098" s="3">
        <v>30.95</v>
      </c>
      <c r="M2098" s="3">
        <v>32.5</v>
      </c>
      <c r="N2098" s="3">
        <v>99.99</v>
      </c>
      <c r="O2098" s="2" t="s">
        <v>97</v>
      </c>
      <c r="P2098" s="2" t="s">
        <v>4334</v>
      </c>
      <c r="Q2098" s="2" t="s">
        <v>99</v>
      </c>
      <c r="R2098" s="2" t="s">
        <v>100</v>
      </c>
      <c r="S2098" s="2" t="s">
        <v>100</v>
      </c>
      <c r="T2098" s="2" t="s">
        <v>100</v>
      </c>
      <c r="U2098" s="2" t="s">
        <v>3325</v>
      </c>
      <c r="V2098" s="2" t="s">
        <v>5952</v>
      </c>
      <c r="W2098" s="2" t="s">
        <v>244</v>
      </c>
      <c r="X2098" s="2" t="s">
        <v>100</v>
      </c>
      <c r="Y2098" s="2" t="s">
        <v>1967</v>
      </c>
      <c r="Z2098" s="4">
        <v>183</v>
      </c>
      <c r="AA2098" s="4">
        <f>=ROUNDDOWN(91.5,0)</f>
      </c>
      <c r="AB2098" s="5">
        <v>2</v>
      </c>
      <c r="AC2098" s="2" t="s">
        <v>100</v>
      </c>
      <c r="AD2098" s="4"/>
      <c r="AE2098" s="4"/>
      <c r="AF2098" s="6">
        <v>65</v>
      </c>
      <c r="AG2098" s="6"/>
      <c r="AH2098" s="7">
        <v>1</v>
      </c>
      <c r="AI2098" s="4"/>
      <c r="AJ2098" s="4">
        <f>=ROUNDDOWN({0},0)</f>
      </c>
      <c r="AK2098" s="5"/>
      <c r="AL2098" s="2" t="s">
        <v>100</v>
      </c>
      <c r="AM2098" s="4"/>
      <c r="AN2098" s="4"/>
      <c r="AO2098" s="7">
        <v>0</v>
      </c>
      <c r="AP2098" s="4"/>
      <c r="AQ2098" s="8"/>
      <c r="AR2098" s="4"/>
      <c r="AS2098" s="8"/>
      <c r="AT2098" s="7"/>
      <c r="AU2098" s="7"/>
      <c r="AV2098" s="4"/>
      <c r="AW2098" s="8"/>
      <c r="AX2098" s="4"/>
      <c r="AY2098" s="8"/>
      <c r="AZ2098" s="7"/>
      <c r="BA2098" s="7"/>
      <c r="BB2098" s="7"/>
      <c r="BC2098" s="4" t="s">
        <v>100</v>
      </c>
      <c r="BD2098" s="8" t="s">
        <v>100</v>
      </c>
      <c r="BE2098" s="4" t="s">
        <v>100</v>
      </c>
      <c r="BF2098" s="8" t="s">
        <v>100</v>
      </c>
      <c r="BG2098" s="7" t="s">
        <v>100</v>
      </c>
      <c r="BH2098" s="7" t="s">
        <v>100</v>
      </c>
      <c r="BI2098" s="7"/>
      <c r="BJ2098" s="4">
        <v>1</v>
      </c>
      <c r="BK2098" s="8">
        <v>84.99</v>
      </c>
      <c r="BL2098" s="2" t="s">
        <v>6001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109</v>
      </c>
      <c r="BV2098" s="2" t="s">
        <v>97</v>
      </c>
      <c r="BW2098" s="2" t="s">
        <v>4714</v>
      </c>
      <c r="BX2098" s="2" t="s">
        <v>100</v>
      </c>
      <c r="BY2098" s="2" t="s">
        <v>112</v>
      </c>
      <c r="BZ2098" s="2" t="s">
        <v>100</v>
      </c>
    </row>
    <row r="2099">
      <c r="A2099" s="2" t="s">
        <v>6002</v>
      </c>
      <c r="B2099" s="2" t="s">
        <v>87</v>
      </c>
      <c r="C2099" s="2" t="s">
        <v>5945</v>
      </c>
      <c r="D2099" s="2" t="s">
        <v>4554</v>
      </c>
      <c r="E2099" s="2" t="s">
        <v>5940</v>
      </c>
      <c r="F2099" s="2" t="s">
        <v>5998</v>
      </c>
      <c r="G2099" s="2" t="s">
        <v>5998</v>
      </c>
      <c r="H2099" s="2" t="s">
        <v>5998</v>
      </c>
      <c r="I2099" s="2" t="s">
        <v>5999</v>
      </c>
      <c r="J2099" s="2" t="s">
        <v>6000</v>
      </c>
      <c r="K2099" s="2" t="s">
        <v>2356</v>
      </c>
      <c r="L2099" s="3">
        <v>30.95</v>
      </c>
      <c r="M2099" s="3">
        <v>32.5</v>
      </c>
      <c r="N2099" s="3">
        <v>99.99</v>
      </c>
      <c r="O2099" s="2" t="s">
        <v>97</v>
      </c>
      <c r="P2099" s="2" t="s">
        <v>4334</v>
      </c>
      <c r="Q2099" s="2" t="s">
        <v>99</v>
      </c>
      <c r="R2099" s="2" t="s">
        <v>100</v>
      </c>
      <c r="S2099" s="2" t="s">
        <v>100</v>
      </c>
      <c r="T2099" s="2" t="s">
        <v>100</v>
      </c>
      <c r="U2099" s="2" t="s">
        <v>3325</v>
      </c>
      <c r="V2099" s="2" t="s">
        <v>5952</v>
      </c>
      <c r="W2099" s="2" t="s">
        <v>244</v>
      </c>
      <c r="X2099" s="2" t="s">
        <v>100</v>
      </c>
      <c r="Y2099" s="2" t="s">
        <v>2843</v>
      </c>
      <c r="Z2099" s="4">
        <v>56</v>
      </c>
      <c r="AA2099" s="4">
        <f>=ROUNDDOWN(40,0)</f>
      </c>
      <c r="AB2099" s="5">
        <v>1.4</v>
      </c>
      <c r="AC2099" s="2" t="s">
        <v>100</v>
      </c>
      <c r="AD2099" s="4"/>
      <c r="AE2099" s="4"/>
      <c r="AF2099" s="6">
        <v>65</v>
      </c>
      <c r="AG2099" s="6"/>
      <c r="AH2099" s="7">
        <v>1</v>
      </c>
      <c r="AI2099" s="4"/>
      <c r="AJ2099" s="4">
        <f>=ROUNDDOWN({0},0)</f>
      </c>
      <c r="AK2099" s="5"/>
      <c r="AL2099" s="2" t="s">
        <v>100</v>
      </c>
      <c r="AM2099" s="4"/>
      <c r="AN2099" s="4"/>
      <c r="AO2099" s="7">
        <v>0</v>
      </c>
      <c r="AP2099" s="4"/>
      <c r="AQ2099" s="8"/>
      <c r="AR2099" s="4"/>
      <c r="AS2099" s="8"/>
      <c r="AT2099" s="7"/>
      <c r="AU2099" s="7"/>
      <c r="AV2099" s="4"/>
      <c r="AW2099" s="8"/>
      <c r="AX2099" s="4"/>
      <c r="AY2099" s="8"/>
      <c r="AZ2099" s="7"/>
      <c r="BA2099" s="7"/>
      <c r="BB2099" s="7"/>
      <c r="BC2099" s="4" t="s">
        <v>100</v>
      </c>
      <c r="BD2099" s="8" t="s">
        <v>100</v>
      </c>
      <c r="BE2099" s="4" t="s">
        <v>100</v>
      </c>
      <c r="BF2099" s="8" t="s">
        <v>100</v>
      </c>
      <c r="BG2099" s="7" t="s">
        <v>100</v>
      </c>
      <c r="BH2099" s="7" t="s">
        <v>100</v>
      </c>
      <c r="BI2099" s="7"/>
      <c r="BJ2099" s="4">
        <v>3</v>
      </c>
      <c r="BK2099" s="8">
        <v>102.36</v>
      </c>
      <c r="BL2099" s="2" t="s">
        <v>210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109</v>
      </c>
      <c r="BV2099" s="2" t="s">
        <v>97</v>
      </c>
      <c r="BW2099" s="2" t="s">
        <v>4714</v>
      </c>
      <c r="BX2099" s="2" t="s">
        <v>100</v>
      </c>
      <c r="BY2099" s="2" t="s">
        <v>112</v>
      </c>
      <c r="BZ2099" s="2" t="s">
        <v>100</v>
      </c>
    </row>
    <row r="2100">
      <c r="A2100" s="2" t="s">
        <v>6003</v>
      </c>
      <c r="B2100" s="2" t="s">
        <v>87</v>
      </c>
      <c r="C2100" s="2" t="s">
        <v>5945</v>
      </c>
      <c r="D2100" s="2" t="s">
        <v>4554</v>
      </c>
      <c r="E2100" s="2" t="s">
        <v>5940</v>
      </c>
      <c r="F2100" s="2" t="s">
        <v>5998</v>
      </c>
      <c r="G2100" s="2" t="s">
        <v>5998</v>
      </c>
      <c r="H2100" s="2" t="s">
        <v>5998</v>
      </c>
      <c r="I2100" s="2" t="s">
        <v>5999</v>
      </c>
      <c r="J2100" s="2" t="s">
        <v>6000</v>
      </c>
      <c r="K2100" s="2" t="s">
        <v>2020</v>
      </c>
      <c r="L2100" s="3">
        <v>30.95</v>
      </c>
      <c r="M2100" s="3">
        <v>32.5</v>
      </c>
      <c r="N2100" s="3">
        <v>99.99</v>
      </c>
      <c r="O2100" s="2" t="s">
        <v>97</v>
      </c>
      <c r="P2100" s="2" t="s">
        <v>587</v>
      </c>
      <c r="Q2100" s="2" t="s">
        <v>99</v>
      </c>
      <c r="R2100" s="2" t="s">
        <v>100</v>
      </c>
      <c r="S2100" s="2" t="s">
        <v>100</v>
      </c>
      <c r="T2100" s="2" t="s">
        <v>100</v>
      </c>
      <c r="U2100" s="2" t="s">
        <v>3325</v>
      </c>
      <c r="V2100" s="2" t="s">
        <v>5952</v>
      </c>
      <c r="W2100" s="2" t="s">
        <v>244</v>
      </c>
      <c r="X2100" s="2" t="s">
        <v>100</v>
      </c>
      <c r="Y2100" s="2" t="s">
        <v>2843</v>
      </c>
      <c r="Z2100" s="4">
        <v>170</v>
      </c>
      <c r="AA2100" s="4">
        <f>=ROUNDDOWN(85,0)</f>
      </c>
      <c r="AB2100" s="5">
        <v>2</v>
      </c>
      <c r="AC2100" s="2" t="s">
        <v>100</v>
      </c>
      <c r="AD2100" s="4"/>
      <c r="AE2100" s="4"/>
      <c r="AF2100" s="6">
        <v>65</v>
      </c>
      <c r="AG2100" s="6"/>
      <c r="AH2100" s="7">
        <v>1</v>
      </c>
      <c r="AI2100" s="4"/>
      <c r="AJ2100" s="4">
        <f>=ROUNDDOWN({0},0)</f>
      </c>
      <c r="AK2100" s="5"/>
      <c r="AL2100" s="2" t="s">
        <v>100</v>
      </c>
      <c r="AM2100" s="4"/>
      <c r="AN2100" s="4"/>
      <c r="AO2100" s="7">
        <v>0</v>
      </c>
      <c r="AP2100" s="4"/>
      <c r="AQ2100" s="8"/>
      <c r="AR2100" s="4"/>
      <c r="AS2100" s="8"/>
      <c r="AT2100" s="7"/>
      <c r="AU2100" s="7"/>
      <c r="AV2100" s="4"/>
      <c r="AW2100" s="8"/>
      <c r="AX2100" s="4"/>
      <c r="AY2100" s="8"/>
      <c r="AZ2100" s="7"/>
      <c r="BA2100" s="7"/>
      <c r="BB2100" s="7"/>
      <c r="BC2100" s="4" t="s">
        <v>100</v>
      </c>
      <c r="BD2100" s="8" t="s">
        <v>100</v>
      </c>
      <c r="BE2100" s="4" t="s">
        <v>100</v>
      </c>
      <c r="BF2100" s="8" t="s">
        <v>100</v>
      </c>
      <c r="BG2100" s="7" t="s">
        <v>100</v>
      </c>
      <c r="BH2100" s="7" t="s">
        <v>100</v>
      </c>
      <c r="BI2100" s="7"/>
      <c r="BJ2100" s="4">
        <v>6</v>
      </c>
      <c r="BK2100" s="8">
        <v>215.16</v>
      </c>
      <c r="BL2100" s="2" t="s">
        <v>776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109</v>
      </c>
      <c r="BV2100" s="2" t="s">
        <v>97</v>
      </c>
      <c r="BW2100" s="2" t="s">
        <v>4714</v>
      </c>
      <c r="BX2100" s="2" t="s">
        <v>100</v>
      </c>
      <c r="BY2100" s="2" t="s">
        <v>112</v>
      </c>
      <c r="BZ2100" s="2" t="s">
        <v>100</v>
      </c>
    </row>
    <row r="2101">
      <c r="A2101" s="2" t="s">
        <v>6004</v>
      </c>
      <c r="B2101" s="2" t="s">
        <v>87</v>
      </c>
      <c r="C2101" s="2" t="s">
        <v>5945</v>
      </c>
      <c r="D2101" s="2" t="s">
        <v>4554</v>
      </c>
      <c r="E2101" s="2" t="s">
        <v>5940</v>
      </c>
      <c r="F2101" s="2" t="s">
        <v>5998</v>
      </c>
      <c r="G2101" s="2" t="s">
        <v>5998</v>
      </c>
      <c r="H2101" s="2" t="s">
        <v>5998</v>
      </c>
      <c r="I2101" s="2" t="s">
        <v>5999</v>
      </c>
      <c r="J2101" s="2" t="s">
        <v>6000</v>
      </c>
      <c r="K2101" s="2" t="s">
        <v>163</v>
      </c>
      <c r="L2101" s="3">
        <v>30.95</v>
      </c>
      <c r="M2101" s="3">
        <v>32.5</v>
      </c>
      <c r="N2101" s="3">
        <v>99.99</v>
      </c>
      <c r="O2101" s="2" t="s">
        <v>97</v>
      </c>
      <c r="P2101" s="2" t="s">
        <v>98</v>
      </c>
      <c r="Q2101" s="2" t="s">
        <v>99</v>
      </c>
      <c r="R2101" s="2" t="s">
        <v>100</v>
      </c>
      <c r="S2101" s="2" t="s">
        <v>100</v>
      </c>
      <c r="T2101" s="2" t="s">
        <v>100</v>
      </c>
      <c r="U2101" s="2" t="s">
        <v>3325</v>
      </c>
      <c r="V2101" s="2" t="s">
        <v>5952</v>
      </c>
      <c r="W2101" s="2" t="s">
        <v>244</v>
      </c>
      <c r="X2101" s="2" t="s">
        <v>100</v>
      </c>
      <c r="Y2101" s="2" t="s">
        <v>1967</v>
      </c>
      <c r="Z2101" s="4">
        <v>6</v>
      </c>
      <c r="AA2101" s="4">
        <f>=ROUNDDOWN(1.5,0)</f>
      </c>
      <c r="AB2101" s="5">
        <v>4</v>
      </c>
      <c r="AC2101" s="2" t="s">
        <v>400</v>
      </c>
      <c r="AD2101" s="4">
        <v>270</v>
      </c>
      <c r="AE2101" s="4">
        <v>270</v>
      </c>
      <c r="AF2101" s="6">
        <v>65</v>
      </c>
      <c r="AG2101" s="6"/>
      <c r="AH2101" s="7">
        <v>1</v>
      </c>
      <c r="AI2101" s="4"/>
      <c r="AJ2101" s="4">
        <f>=ROUNDDOWN({0},0)</f>
      </c>
      <c r="AK2101" s="5"/>
      <c r="AL2101" s="2" t="s">
        <v>100</v>
      </c>
      <c r="AM2101" s="4"/>
      <c r="AN2101" s="4"/>
      <c r="AO2101" s="7">
        <v>0</v>
      </c>
      <c r="AP2101" s="4"/>
      <c r="AQ2101" s="8"/>
      <c r="AR2101" s="4"/>
      <c r="AS2101" s="8"/>
      <c r="AT2101" s="7"/>
      <c r="AU2101" s="7"/>
      <c r="AV2101" s="4"/>
      <c r="AW2101" s="8"/>
      <c r="AX2101" s="4"/>
      <c r="AY2101" s="8"/>
      <c r="AZ2101" s="7"/>
      <c r="BA2101" s="7"/>
      <c r="BB2101" s="7"/>
      <c r="BC2101" s="4" t="s">
        <v>100</v>
      </c>
      <c r="BD2101" s="8" t="s">
        <v>100</v>
      </c>
      <c r="BE2101" s="4" t="s">
        <v>100</v>
      </c>
      <c r="BF2101" s="8" t="s">
        <v>100</v>
      </c>
      <c r="BG2101" s="7" t="s">
        <v>100</v>
      </c>
      <c r="BH2101" s="7" t="s">
        <v>100</v>
      </c>
      <c r="BI2101" s="7"/>
      <c r="BJ2101" s="4">
        <v>2</v>
      </c>
      <c r="BK2101" s="8">
        <v>67.6</v>
      </c>
      <c r="BL2101" s="2" t="s">
        <v>887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109</v>
      </c>
      <c r="BV2101" s="2" t="s">
        <v>97</v>
      </c>
      <c r="BW2101" s="2" t="s">
        <v>4714</v>
      </c>
      <c r="BX2101" s="2" t="s">
        <v>100</v>
      </c>
      <c r="BY2101" s="2" t="s">
        <v>112</v>
      </c>
      <c r="BZ2101" s="2" t="s">
        <v>100</v>
      </c>
    </row>
    <row r="2102">
      <c r="A2102" s="2" t="s">
        <v>6005</v>
      </c>
      <c r="B2102" s="2" t="s">
        <v>87</v>
      </c>
      <c r="C2102" s="2" t="s">
        <v>5945</v>
      </c>
      <c r="D2102" s="2" t="s">
        <v>4554</v>
      </c>
      <c r="E2102" s="2" t="s">
        <v>5940</v>
      </c>
      <c r="F2102" s="2" t="s">
        <v>5998</v>
      </c>
      <c r="G2102" s="2" t="s">
        <v>5998</v>
      </c>
      <c r="H2102" s="2" t="s">
        <v>5998</v>
      </c>
      <c r="I2102" s="2" t="s">
        <v>5999</v>
      </c>
      <c r="J2102" s="2" t="s">
        <v>6000</v>
      </c>
      <c r="K2102" s="2" t="s">
        <v>1572</v>
      </c>
      <c r="L2102" s="3">
        <v>30.95</v>
      </c>
      <c r="M2102" s="3">
        <v>32.5</v>
      </c>
      <c r="N2102" s="3">
        <v>99.99</v>
      </c>
      <c r="O2102" s="2" t="s">
        <v>97</v>
      </c>
      <c r="P2102" s="2" t="s">
        <v>587</v>
      </c>
      <c r="Q2102" s="2" t="s">
        <v>99</v>
      </c>
      <c r="R2102" s="2" t="s">
        <v>100</v>
      </c>
      <c r="S2102" s="2" t="s">
        <v>100</v>
      </c>
      <c r="T2102" s="2" t="s">
        <v>100</v>
      </c>
      <c r="U2102" s="2" t="s">
        <v>3325</v>
      </c>
      <c r="V2102" s="2" t="s">
        <v>5952</v>
      </c>
      <c r="W2102" s="2" t="s">
        <v>244</v>
      </c>
      <c r="X2102" s="2" t="s">
        <v>100</v>
      </c>
      <c r="Y2102" s="2" t="s">
        <v>2843</v>
      </c>
      <c r="Z2102" s="4">
        <v>194</v>
      </c>
      <c r="AA2102" s="4">
        <f>=ROUNDDOWN(97,0)</f>
      </c>
      <c r="AB2102" s="5">
        <v>2</v>
      </c>
      <c r="AC2102" s="2" t="s">
        <v>100</v>
      </c>
      <c r="AD2102" s="4"/>
      <c r="AE2102" s="4"/>
      <c r="AF2102" s="6">
        <v>65</v>
      </c>
      <c r="AG2102" s="6"/>
      <c r="AH2102" s="7">
        <v>1</v>
      </c>
      <c r="AI2102" s="4"/>
      <c r="AJ2102" s="4">
        <f>=ROUNDDOWN({0},0)</f>
      </c>
      <c r="AK2102" s="5"/>
      <c r="AL2102" s="2" t="s">
        <v>100</v>
      </c>
      <c r="AM2102" s="4"/>
      <c r="AN2102" s="4"/>
      <c r="AO2102" s="7">
        <v>0</v>
      </c>
      <c r="AP2102" s="4"/>
      <c r="AQ2102" s="8"/>
      <c r="AR2102" s="4"/>
      <c r="AS2102" s="8"/>
      <c r="AT2102" s="7"/>
      <c r="AU2102" s="7"/>
      <c r="AV2102" s="4"/>
      <c r="AW2102" s="8"/>
      <c r="AX2102" s="4"/>
      <c r="AY2102" s="8"/>
      <c r="AZ2102" s="7"/>
      <c r="BA2102" s="7"/>
      <c r="BB2102" s="7"/>
      <c r="BC2102" s="4" t="s">
        <v>100</v>
      </c>
      <c r="BD2102" s="8" t="s">
        <v>100</v>
      </c>
      <c r="BE2102" s="4" t="s">
        <v>100</v>
      </c>
      <c r="BF2102" s="8" t="s">
        <v>100</v>
      </c>
      <c r="BG2102" s="7" t="s">
        <v>100</v>
      </c>
      <c r="BH2102" s="7" t="s">
        <v>100</v>
      </c>
      <c r="BI2102" s="7"/>
      <c r="BJ2102" s="4">
        <v>2</v>
      </c>
      <c r="BK2102" s="8">
        <v>71.18</v>
      </c>
      <c r="BL2102" s="2" t="s">
        <v>625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109</v>
      </c>
      <c r="BV2102" s="2" t="s">
        <v>97</v>
      </c>
      <c r="BW2102" s="2" t="s">
        <v>4714</v>
      </c>
      <c r="BX2102" s="2" t="s">
        <v>100</v>
      </c>
      <c r="BY2102" s="2" t="s">
        <v>112</v>
      </c>
      <c r="BZ2102" s="2" t="s">
        <v>100</v>
      </c>
    </row>
    <row r="2103">
      <c r="A2103" s="2" t="s">
        <v>6006</v>
      </c>
      <c r="B2103" s="2" t="s">
        <v>87</v>
      </c>
      <c r="C2103" s="2" t="s">
        <v>5945</v>
      </c>
      <c r="D2103" s="2" t="s">
        <v>4554</v>
      </c>
      <c r="E2103" s="2" t="s">
        <v>5940</v>
      </c>
      <c r="F2103" s="2" t="s">
        <v>6007</v>
      </c>
      <c r="G2103" s="2" t="s">
        <v>6007</v>
      </c>
      <c r="H2103" s="2" t="s">
        <v>6007</v>
      </c>
      <c r="I2103" s="2" t="s">
        <v>6008</v>
      </c>
      <c r="J2103" s="2" t="s">
        <v>4578</v>
      </c>
      <c r="K2103" s="2" t="s">
        <v>763</v>
      </c>
      <c r="L2103" s="3">
        <v>24.76</v>
      </c>
      <c r="M2103" s="3">
        <v>26</v>
      </c>
      <c r="N2103" s="3">
        <v>79.99</v>
      </c>
      <c r="O2103" s="2" t="s">
        <v>97</v>
      </c>
      <c r="P2103" s="2" t="s">
        <v>4334</v>
      </c>
      <c r="Q2103" s="2" t="s">
        <v>99</v>
      </c>
      <c r="R2103" s="2" t="s">
        <v>100</v>
      </c>
      <c r="S2103" s="2" t="s">
        <v>100</v>
      </c>
      <c r="T2103" s="2" t="s">
        <v>100</v>
      </c>
      <c r="U2103" s="2" t="s">
        <v>3325</v>
      </c>
      <c r="V2103" s="2" t="s">
        <v>5952</v>
      </c>
      <c r="W2103" s="2" t="s">
        <v>244</v>
      </c>
      <c r="X2103" s="2" t="s">
        <v>100</v>
      </c>
      <c r="Y2103" s="2" t="s">
        <v>1967</v>
      </c>
      <c r="Z2103" s="4">
        <v>71</v>
      </c>
      <c r="AA2103" s="4">
        <f>=ROUNDDOWN(23.6666666666667,0)</f>
      </c>
      <c r="AB2103" s="5">
        <v>3</v>
      </c>
      <c r="AC2103" s="2" t="s">
        <v>100</v>
      </c>
      <c r="AD2103" s="4"/>
      <c r="AE2103" s="4"/>
      <c r="AF2103" s="6">
        <v>65</v>
      </c>
      <c r="AG2103" s="6"/>
      <c r="AH2103" s="7">
        <v>1</v>
      </c>
      <c r="AI2103" s="4"/>
      <c r="AJ2103" s="4">
        <f>=ROUNDDOWN({0},0)</f>
      </c>
      <c r="AK2103" s="5"/>
      <c r="AL2103" s="2" t="s">
        <v>100</v>
      </c>
      <c r="AM2103" s="4"/>
      <c r="AN2103" s="4"/>
      <c r="AO2103" s="7">
        <v>0</v>
      </c>
      <c r="AP2103" s="4"/>
      <c r="AQ2103" s="8"/>
      <c r="AR2103" s="4"/>
      <c r="AS2103" s="8"/>
      <c r="AT2103" s="7"/>
      <c r="AU2103" s="7"/>
      <c r="AV2103" s="4"/>
      <c r="AW2103" s="8"/>
      <c r="AX2103" s="4"/>
      <c r="AY2103" s="8"/>
      <c r="AZ2103" s="7"/>
      <c r="BA2103" s="7"/>
      <c r="BB2103" s="7"/>
      <c r="BC2103" s="4" t="s">
        <v>100</v>
      </c>
      <c r="BD2103" s="8" t="s">
        <v>100</v>
      </c>
      <c r="BE2103" s="4" t="s">
        <v>100</v>
      </c>
      <c r="BF2103" s="8" t="s">
        <v>100</v>
      </c>
      <c r="BG2103" s="7" t="s">
        <v>100</v>
      </c>
      <c r="BH2103" s="7" t="s">
        <v>100</v>
      </c>
      <c r="BI2103" s="7"/>
      <c r="BJ2103" s="4">
        <v>6</v>
      </c>
      <c r="BK2103" s="8">
        <v>163.8</v>
      </c>
      <c r="BL2103" s="2" t="s">
        <v>210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109</v>
      </c>
      <c r="BV2103" s="2" t="s">
        <v>97</v>
      </c>
      <c r="BW2103" s="2" t="s">
        <v>4714</v>
      </c>
      <c r="BX2103" s="2" t="s">
        <v>100</v>
      </c>
      <c r="BY2103" s="2" t="s">
        <v>112</v>
      </c>
      <c r="BZ2103" s="2" t="s">
        <v>100</v>
      </c>
    </row>
    <row r="2104">
      <c r="A2104" s="2" t="s">
        <v>6009</v>
      </c>
      <c r="B2104" s="2" t="s">
        <v>87</v>
      </c>
      <c r="C2104" s="2" t="s">
        <v>5945</v>
      </c>
      <c r="D2104" s="2" t="s">
        <v>4554</v>
      </c>
      <c r="E2104" s="2" t="s">
        <v>5940</v>
      </c>
      <c r="F2104" s="2" t="s">
        <v>6007</v>
      </c>
      <c r="G2104" s="2" t="s">
        <v>6007</v>
      </c>
      <c r="H2104" s="2" t="s">
        <v>6007</v>
      </c>
      <c r="I2104" s="2" t="s">
        <v>6008</v>
      </c>
      <c r="J2104" s="2" t="s">
        <v>4578</v>
      </c>
      <c r="K2104" s="2" t="s">
        <v>2356</v>
      </c>
      <c r="L2104" s="3">
        <v>24.76</v>
      </c>
      <c r="M2104" s="3">
        <v>26</v>
      </c>
      <c r="N2104" s="3">
        <v>79.99</v>
      </c>
      <c r="O2104" s="2" t="s">
        <v>97</v>
      </c>
      <c r="P2104" s="2" t="s">
        <v>4334</v>
      </c>
      <c r="Q2104" s="2" t="s">
        <v>99</v>
      </c>
      <c r="R2104" s="2" t="s">
        <v>100</v>
      </c>
      <c r="S2104" s="2" t="s">
        <v>100</v>
      </c>
      <c r="T2104" s="2" t="s">
        <v>100</v>
      </c>
      <c r="U2104" s="2" t="s">
        <v>3325</v>
      </c>
      <c r="V2104" s="2" t="s">
        <v>5952</v>
      </c>
      <c r="W2104" s="2" t="s">
        <v>244</v>
      </c>
      <c r="X2104" s="2" t="s">
        <v>100</v>
      </c>
      <c r="Y2104" s="2" t="s">
        <v>1967</v>
      </c>
      <c r="Z2104" s="4">
        <v>32</v>
      </c>
      <c r="AA2104" s="4">
        <f>=ROUNDDOWN(32,0)</f>
      </c>
      <c r="AB2104" s="5">
        <v>1</v>
      </c>
      <c r="AC2104" s="2" t="s">
        <v>100</v>
      </c>
      <c r="AD2104" s="4"/>
      <c r="AE2104" s="4"/>
      <c r="AF2104" s="6">
        <v>65</v>
      </c>
      <c r="AG2104" s="6"/>
      <c r="AH2104" s="7">
        <v>1</v>
      </c>
      <c r="AI2104" s="4"/>
      <c r="AJ2104" s="4">
        <f>=ROUNDDOWN({0},0)</f>
      </c>
      <c r="AK2104" s="5"/>
      <c r="AL2104" s="2" t="s">
        <v>100</v>
      </c>
      <c r="AM2104" s="4"/>
      <c r="AN2104" s="4"/>
      <c r="AO2104" s="7">
        <v>0</v>
      </c>
      <c r="AP2104" s="4"/>
      <c r="AQ2104" s="8"/>
      <c r="AR2104" s="4"/>
      <c r="AS2104" s="8"/>
      <c r="AT2104" s="7"/>
      <c r="AU2104" s="7"/>
      <c r="AV2104" s="4"/>
      <c r="AW2104" s="8"/>
      <c r="AX2104" s="4"/>
      <c r="AY2104" s="8"/>
      <c r="AZ2104" s="7"/>
      <c r="BA2104" s="7"/>
      <c r="BB2104" s="7"/>
      <c r="BC2104" s="4" t="s">
        <v>100</v>
      </c>
      <c r="BD2104" s="8" t="s">
        <v>100</v>
      </c>
      <c r="BE2104" s="4" t="s">
        <v>100</v>
      </c>
      <c r="BF2104" s="8" t="s">
        <v>100</v>
      </c>
      <c r="BG2104" s="7" t="s">
        <v>100</v>
      </c>
      <c r="BH2104" s="7" t="s">
        <v>100</v>
      </c>
      <c r="BI2104" s="7"/>
      <c r="BJ2104" s="4">
        <v>3</v>
      </c>
      <c r="BK2104" s="8">
        <v>81.9</v>
      </c>
      <c r="BL2104" s="2" t="s">
        <v>210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109</v>
      </c>
      <c r="BV2104" s="2" t="s">
        <v>97</v>
      </c>
      <c r="BW2104" s="2" t="s">
        <v>4714</v>
      </c>
      <c r="BX2104" s="2" t="s">
        <v>100</v>
      </c>
      <c r="BY2104" s="2" t="s">
        <v>112</v>
      </c>
      <c r="BZ2104" s="2" t="s">
        <v>100</v>
      </c>
    </row>
    <row r="2105">
      <c r="A2105" s="2" t="s">
        <v>6010</v>
      </c>
      <c r="B2105" s="2" t="s">
        <v>87</v>
      </c>
      <c r="C2105" s="2" t="s">
        <v>5945</v>
      </c>
      <c r="D2105" s="2" t="s">
        <v>4554</v>
      </c>
      <c r="E2105" s="2" t="s">
        <v>5940</v>
      </c>
      <c r="F2105" s="2" t="s">
        <v>6007</v>
      </c>
      <c r="G2105" s="2" t="s">
        <v>6007</v>
      </c>
      <c r="H2105" s="2" t="s">
        <v>6007</v>
      </c>
      <c r="I2105" s="2" t="s">
        <v>6008</v>
      </c>
      <c r="J2105" s="2" t="s">
        <v>4578</v>
      </c>
      <c r="K2105" s="2" t="s">
        <v>2020</v>
      </c>
      <c r="L2105" s="3">
        <v>24.76</v>
      </c>
      <c r="M2105" s="3">
        <v>26</v>
      </c>
      <c r="N2105" s="3">
        <v>79.99</v>
      </c>
      <c r="O2105" s="2" t="s">
        <v>97</v>
      </c>
      <c r="P2105" s="2" t="s">
        <v>587</v>
      </c>
      <c r="Q2105" s="2" t="s">
        <v>99</v>
      </c>
      <c r="R2105" s="2" t="s">
        <v>100</v>
      </c>
      <c r="S2105" s="2" t="s">
        <v>100</v>
      </c>
      <c r="T2105" s="2" t="s">
        <v>100</v>
      </c>
      <c r="U2105" s="2" t="s">
        <v>3325</v>
      </c>
      <c r="V2105" s="2" t="s">
        <v>5952</v>
      </c>
      <c r="W2105" s="2" t="s">
        <v>244</v>
      </c>
      <c r="X2105" s="2" t="s">
        <v>100</v>
      </c>
      <c r="Y2105" s="2" t="s">
        <v>1967</v>
      </c>
      <c r="Z2105" s="4">
        <v>170</v>
      </c>
      <c r="AA2105" s="4">
        <f>=ROUNDDOWN(85,0)</f>
      </c>
      <c r="AB2105" s="5">
        <v>2</v>
      </c>
      <c r="AC2105" s="2" t="s">
        <v>100</v>
      </c>
      <c r="AD2105" s="4"/>
      <c r="AE2105" s="4"/>
      <c r="AF2105" s="6">
        <v>65</v>
      </c>
      <c r="AG2105" s="6"/>
      <c r="AH2105" s="7">
        <v>1</v>
      </c>
      <c r="AI2105" s="4"/>
      <c r="AJ2105" s="4">
        <f>=ROUNDDOWN({0},0)</f>
      </c>
      <c r="AK2105" s="5"/>
      <c r="AL2105" s="2" t="s">
        <v>100</v>
      </c>
      <c r="AM2105" s="4"/>
      <c r="AN2105" s="4"/>
      <c r="AO2105" s="7">
        <v>0</v>
      </c>
      <c r="AP2105" s="4"/>
      <c r="AQ2105" s="8"/>
      <c r="AR2105" s="4"/>
      <c r="AS2105" s="8"/>
      <c r="AT2105" s="7"/>
      <c r="AU2105" s="7"/>
      <c r="AV2105" s="4"/>
      <c r="AW2105" s="8"/>
      <c r="AX2105" s="4"/>
      <c r="AY2105" s="8"/>
      <c r="AZ2105" s="7"/>
      <c r="BA2105" s="7"/>
      <c r="BB2105" s="7"/>
      <c r="BC2105" s="4" t="s">
        <v>100</v>
      </c>
      <c r="BD2105" s="8" t="s">
        <v>100</v>
      </c>
      <c r="BE2105" s="4" t="s">
        <v>100</v>
      </c>
      <c r="BF2105" s="8" t="s">
        <v>100</v>
      </c>
      <c r="BG2105" s="7" t="s">
        <v>100</v>
      </c>
      <c r="BH2105" s="7" t="s">
        <v>100</v>
      </c>
      <c r="BI2105" s="7"/>
      <c r="BJ2105" s="4">
        <v>1</v>
      </c>
      <c r="BK2105" s="8">
        <v>67.99</v>
      </c>
      <c r="BL2105" s="2" t="s">
        <v>6001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109</v>
      </c>
      <c r="BV2105" s="2" t="s">
        <v>97</v>
      </c>
      <c r="BW2105" s="2" t="s">
        <v>4714</v>
      </c>
      <c r="BX2105" s="2" t="s">
        <v>100</v>
      </c>
      <c r="BY2105" s="2" t="s">
        <v>112</v>
      </c>
      <c r="BZ2105" s="2" t="s">
        <v>100</v>
      </c>
    </row>
    <row r="2106">
      <c r="A2106" s="2" t="s">
        <v>6011</v>
      </c>
      <c r="B2106" s="2" t="s">
        <v>87</v>
      </c>
      <c r="C2106" s="2" t="s">
        <v>5945</v>
      </c>
      <c r="D2106" s="2" t="s">
        <v>4554</v>
      </c>
      <c r="E2106" s="2" t="s">
        <v>5940</v>
      </c>
      <c r="F2106" s="2" t="s">
        <v>6007</v>
      </c>
      <c r="G2106" s="2" t="s">
        <v>6007</v>
      </c>
      <c r="H2106" s="2" t="s">
        <v>6007</v>
      </c>
      <c r="I2106" s="2" t="s">
        <v>6008</v>
      </c>
      <c r="J2106" s="2" t="s">
        <v>4578</v>
      </c>
      <c r="K2106" s="2" t="s">
        <v>1572</v>
      </c>
      <c r="L2106" s="3">
        <v>24.76</v>
      </c>
      <c r="M2106" s="3">
        <v>26</v>
      </c>
      <c r="N2106" s="3">
        <v>79.99</v>
      </c>
      <c r="O2106" s="2" t="s">
        <v>97</v>
      </c>
      <c r="P2106" s="2" t="s">
        <v>587</v>
      </c>
      <c r="Q2106" s="2" t="s">
        <v>99</v>
      </c>
      <c r="R2106" s="2" t="s">
        <v>100</v>
      </c>
      <c r="S2106" s="2" t="s">
        <v>100</v>
      </c>
      <c r="T2106" s="2" t="s">
        <v>100</v>
      </c>
      <c r="U2106" s="2" t="s">
        <v>3325</v>
      </c>
      <c r="V2106" s="2" t="s">
        <v>5952</v>
      </c>
      <c r="W2106" s="2" t="s">
        <v>244</v>
      </c>
      <c r="X2106" s="2" t="s">
        <v>100</v>
      </c>
      <c r="Y2106" s="2" t="s">
        <v>1967</v>
      </c>
      <c r="Z2106" s="4">
        <v>180</v>
      </c>
      <c r="AA2106" s="4">
        <f>=ROUNDDOWN(90,0)</f>
      </c>
      <c r="AB2106" s="5">
        <v>2</v>
      </c>
      <c r="AC2106" s="2" t="s">
        <v>100</v>
      </c>
      <c r="AD2106" s="4"/>
      <c r="AE2106" s="4"/>
      <c r="AF2106" s="6">
        <v>65</v>
      </c>
      <c r="AG2106" s="6"/>
      <c r="AH2106" s="7">
        <v>1</v>
      </c>
      <c r="AI2106" s="4"/>
      <c r="AJ2106" s="4">
        <f>=ROUNDDOWN({0},0)</f>
      </c>
      <c r="AK2106" s="5"/>
      <c r="AL2106" s="2" t="s">
        <v>100</v>
      </c>
      <c r="AM2106" s="4"/>
      <c r="AN2106" s="4"/>
      <c r="AO2106" s="7">
        <v>0</v>
      </c>
      <c r="AP2106" s="4"/>
      <c r="AQ2106" s="8"/>
      <c r="AR2106" s="4"/>
      <c r="AS2106" s="8"/>
      <c r="AT2106" s="7"/>
      <c r="AU2106" s="7"/>
      <c r="AV2106" s="4"/>
      <c r="AW2106" s="8"/>
      <c r="AX2106" s="4"/>
      <c r="AY2106" s="8"/>
      <c r="AZ2106" s="7"/>
      <c r="BA2106" s="7"/>
      <c r="BB2106" s="7"/>
      <c r="BC2106" s="4" t="s">
        <v>100</v>
      </c>
      <c r="BD2106" s="8" t="s">
        <v>100</v>
      </c>
      <c r="BE2106" s="4" t="s">
        <v>100</v>
      </c>
      <c r="BF2106" s="8" t="s">
        <v>100</v>
      </c>
      <c r="BG2106" s="7" t="s">
        <v>100</v>
      </c>
      <c r="BH2106" s="7" t="s">
        <v>100</v>
      </c>
      <c r="BI2106" s="7"/>
      <c r="BJ2106" s="4">
        <v>2</v>
      </c>
      <c r="BK2106" s="8">
        <v>58.24</v>
      </c>
      <c r="BL2106" s="2" t="s">
        <v>1310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109</v>
      </c>
      <c r="BV2106" s="2" t="s">
        <v>97</v>
      </c>
      <c r="BW2106" s="2" t="s">
        <v>4714</v>
      </c>
      <c r="BX2106" s="2" t="s">
        <v>100</v>
      </c>
      <c r="BY2106" s="2" t="s">
        <v>112</v>
      </c>
      <c r="BZ2106" s="2" t="s">
        <v>100</v>
      </c>
    </row>
    <row r="2107">
      <c r="A2107" s="2" t="s">
        <v>6012</v>
      </c>
      <c r="B2107" s="2" t="s">
        <v>87</v>
      </c>
      <c r="C2107" s="2" t="s">
        <v>5945</v>
      </c>
      <c r="D2107" s="2" t="s">
        <v>4554</v>
      </c>
      <c r="E2107" s="2" t="s">
        <v>5940</v>
      </c>
      <c r="F2107" s="2" t="s">
        <v>6013</v>
      </c>
      <c r="G2107" s="2" t="s">
        <v>6013</v>
      </c>
      <c r="H2107" s="2" t="s">
        <v>6013</v>
      </c>
      <c r="I2107" s="2" t="s">
        <v>6008</v>
      </c>
      <c r="J2107" s="2" t="s">
        <v>4558</v>
      </c>
      <c r="K2107" s="2" t="s">
        <v>763</v>
      </c>
      <c r="L2107" s="3">
        <v>34.04</v>
      </c>
      <c r="M2107" s="3">
        <v>35.74</v>
      </c>
      <c r="N2107" s="3">
        <v>109.99</v>
      </c>
      <c r="O2107" s="2" t="s">
        <v>97</v>
      </c>
      <c r="P2107" s="2" t="s">
        <v>4334</v>
      </c>
      <c r="Q2107" s="2" t="s">
        <v>99</v>
      </c>
      <c r="R2107" s="2" t="s">
        <v>100</v>
      </c>
      <c r="S2107" s="2" t="s">
        <v>100</v>
      </c>
      <c r="T2107" s="2" t="s">
        <v>100</v>
      </c>
      <c r="U2107" s="2" t="s">
        <v>3325</v>
      </c>
      <c r="V2107" s="2" t="s">
        <v>645</v>
      </c>
      <c r="W2107" s="2" t="s">
        <v>244</v>
      </c>
      <c r="X2107" s="2" t="s">
        <v>100</v>
      </c>
      <c r="Y2107" s="2" t="s">
        <v>1967</v>
      </c>
      <c r="Z2107" s="4">
        <v>201</v>
      </c>
      <c r="AA2107" s="4">
        <f>=ROUNDDOWN(100.5,0)</f>
      </c>
      <c r="AB2107" s="5">
        <v>2</v>
      </c>
      <c r="AC2107" s="2" t="s">
        <v>100</v>
      </c>
      <c r="AD2107" s="4"/>
      <c r="AE2107" s="4"/>
      <c r="AF2107" s="6">
        <v>65</v>
      </c>
      <c r="AG2107" s="6"/>
      <c r="AH2107" s="7">
        <v>1</v>
      </c>
      <c r="AI2107" s="4"/>
      <c r="AJ2107" s="4">
        <f>=ROUNDDOWN({0},0)</f>
      </c>
      <c r="AK2107" s="5"/>
      <c r="AL2107" s="2" t="s">
        <v>100</v>
      </c>
      <c r="AM2107" s="4"/>
      <c r="AN2107" s="4"/>
      <c r="AO2107" s="7">
        <v>0</v>
      </c>
      <c r="AP2107" s="4"/>
      <c r="AQ2107" s="8"/>
      <c r="AR2107" s="4"/>
      <c r="AS2107" s="8"/>
      <c r="AT2107" s="7"/>
      <c r="AU2107" s="7"/>
      <c r="AV2107" s="4"/>
      <c r="AW2107" s="8"/>
      <c r="AX2107" s="4"/>
      <c r="AY2107" s="8"/>
      <c r="AZ2107" s="7"/>
      <c r="BA2107" s="7"/>
      <c r="BB2107" s="7"/>
      <c r="BC2107" s="4" t="s">
        <v>100</v>
      </c>
      <c r="BD2107" s="8" t="s">
        <v>100</v>
      </c>
      <c r="BE2107" s="4" t="s">
        <v>100</v>
      </c>
      <c r="BF2107" s="8" t="s">
        <v>100</v>
      </c>
      <c r="BG2107" s="7" t="s">
        <v>100</v>
      </c>
      <c r="BH2107" s="7" t="s">
        <v>100</v>
      </c>
      <c r="BI2107" s="7"/>
      <c r="BJ2107" s="4"/>
      <c r="BK2107" s="8"/>
      <c r="BL2107" s="2" t="s">
        <v>100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109</v>
      </c>
      <c r="BV2107" s="2" t="s">
        <v>97</v>
      </c>
      <c r="BW2107" s="2" t="s">
        <v>4714</v>
      </c>
      <c r="BX2107" s="2" t="s">
        <v>100</v>
      </c>
      <c r="BY2107" s="2" t="s">
        <v>112</v>
      </c>
      <c r="BZ2107" s="2" t="s">
        <v>100</v>
      </c>
    </row>
    <row r="2108">
      <c r="A2108" s="2" t="s">
        <v>6014</v>
      </c>
      <c r="B2108" s="2" t="s">
        <v>87</v>
      </c>
      <c r="C2108" s="2" t="s">
        <v>5945</v>
      </c>
      <c r="D2108" s="2" t="s">
        <v>4554</v>
      </c>
      <c r="E2108" s="2" t="s">
        <v>5940</v>
      </c>
      <c r="F2108" s="2" t="s">
        <v>6013</v>
      </c>
      <c r="G2108" s="2" t="s">
        <v>6013</v>
      </c>
      <c r="H2108" s="2" t="s">
        <v>6013</v>
      </c>
      <c r="I2108" s="2" t="s">
        <v>6008</v>
      </c>
      <c r="J2108" s="2" t="s">
        <v>4558</v>
      </c>
      <c r="K2108" s="2" t="s">
        <v>2356</v>
      </c>
      <c r="L2108" s="3">
        <v>34.04</v>
      </c>
      <c r="M2108" s="3">
        <v>35.74</v>
      </c>
      <c r="N2108" s="3">
        <v>109.99</v>
      </c>
      <c r="O2108" s="2" t="s">
        <v>97</v>
      </c>
      <c r="P2108" s="2" t="s">
        <v>4334</v>
      </c>
      <c r="Q2108" s="2" t="s">
        <v>99</v>
      </c>
      <c r="R2108" s="2" t="s">
        <v>100</v>
      </c>
      <c r="S2108" s="2" t="s">
        <v>100</v>
      </c>
      <c r="T2108" s="2" t="s">
        <v>100</v>
      </c>
      <c r="U2108" s="2" t="s">
        <v>3325</v>
      </c>
      <c r="V2108" s="2" t="s">
        <v>645</v>
      </c>
      <c r="W2108" s="2" t="s">
        <v>244</v>
      </c>
      <c r="X2108" s="2" t="s">
        <v>100</v>
      </c>
      <c r="Y2108" s="2" t="s">
        <v>1967</v>
      </c>
      <c r="Z2108" s="4">
        <v>93</v>
      </c>
      <c r="AA2108" s="4">
        <f>=ROUNDDOWN(46.5,0)</f>
      </c>
      <c r="AB2108" s="5">
        <v>2</v>
      </c>
      <c r="AC2108" s="2" t="s">
        <v>100</v>
      </c>
      <c r="AD2108" s="4"/>
      <c r="AE2108" s="4"/>
      <c r="AF2108" s="6">
        <v>65</v>
      </c>
      <c r="AG2108" s="6"/>
      <c r="AH2108" s="7">
        <v>1</v>
      </c>
      <c r="AI2108" s="4"/>
      <c r="AJ2108" s="4">
        <f>=ROUNDDOWN({0},0)</f>
      </c>
      <c r="AK2108" s="5"/>
      <c r="AL2108" s="2" t="s">
        <v>100</v>
      </c>
      <c r="AM2108" s="4"/>
      <c r="AN2108" s="4"/>
      <c r="AO2108" s="7">
        <v>0</v>
      </c>
      <c r="AP2108" s="4"/>
      <c r="AQ2108" s="8"/>
      <c r="AR2108" s="4"/>
      <c r="AS2108" s="8"/>
      <c r="AT2108" s="7"/>
      <c r="AU2108" s="7"/>
      <c r="AV2108" s="4"/>
      <c r="AW2108" s="8"/>
      <c r="AX2108" s="4"/>
      <c r="AY2108" s="8"/>
      <c r="AZ2108" s="7"/>
      <c r="BA2108" s="7"/>
      <c r="BB2108" s="7"/>
      <c r="BC2108" s="4" t="s">
        <v>100</v>
      </c>
      <c r="BD2108" s="8" t="s">
        <v>100</v>
      </c>
      <c r="BE2108" s="4" t="s">
        <v>100</v>
      </c>
      <c r="BF2108" s="8" t="s">
        <v>100</v>
      </c>
      <c r="BG2108" s="7" t="s">
        <v>100</v>
      </c>
      <c r="BH2108" s="7" t="s">
        <v>100</v>
      </c>
      <c r="BI2108" s="7"/>
      <c r="BJ2108" s="4">
        <v>2</v>
      </c>
      <c r="BK2108" s="8">
        <v>75.06</v>
      </c>
      <c r="BL2108" s="2" t="s">
        <v>210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109</v>
      </c>
      <c r="BV2108" s="2" t="s">
        <v>97</v>
      </c>
      <c r="BW2108" s="2" t="s">
        <v>4714</v>
      </c>
      <c r="BX2108" s="2" t="s">
        <v>100</v>
      </c>
      <c r="BY2108" s="2" t="s">
        <v>112</v>
      </c>
      <c r="BZ2108" s="2" t="s">
        <v>100</v>
      </c>
    </row>
    <row r="2109">
      <c r="A2109" s="2" t="s">
        <v>6015</v>
      </c>
      <c r="B2109" s="2" t="s">
        <v>87</v>
      </c>
      <c r="C2109" s="2" t="s">
        <v>5945</v>
      </c>
      <c r="D2109" s="2" t="s">
        <v>4554</v>
      </c>
      <c r="E2109" s="2" t="s">
        <v>5940</v>
      </c>
      <c r="F2109" s="2" t="s">
        <v>6013</v>
      </c>
      <c r="G2109" s="2" t="s">
        <v>6013</v>
      </c>
      <c r="H2109" s="2" t="s">
        <v>6013</v>
      </c>
      <c r="I2109" s="2" t="s">
        <v>6008</v>
      </c>
      <c r="J2109" s="2" t="s">
        <v>4558</v>
      </c>
      <c r="K2109" s="2" t="s">
        <v>2020</v>
      </c>
      <c r="L2109" s="3">
        <v>34.04</v>
      </c>
      <c r="M2109" s="3">
        <v>35.74</v>
      </c>
      <c r="N2109" s="3">
        <v>109.99</v>
      </c>
      <c r="O2109" s="2" t="s">
        <v>97</v>
      </c>
      <c r="P2109" s="2" t="s">
        <v>587</v>
      </c>
      <c r="Q2109" s="2" t="s">
        <v>99</v>
      </c>
      <c r="R2109" s="2" t="s">
        <v>100</v>
      </c>
      <c r="S2109" s="2" t="s">
        <v>100</v>
      </c>
      <c r="T2109" s="2" t="s">
        <v>100</v>
      </c>
      <c r="U2109" s="2" t="s">
        <v>3325</v>
      </c>
      <c r="V2109" s="2" t="s">
        <v>645</v>
      </c>
      <c r="W2109" s="2" t="s">
        <v>244</v>
      </c>
      <c r="X2109" s="2" t="s">
        <v>100</v>
      </c>
      <c r="Y2109" s="2" t="s">
        <v>1967</v>
      </c>
      <c r="Z2109" s="4">
        <v>159</v>
      </c>
      <c r="AA2109" s="4">
        <f>=ROUNDDOWN(79.5,0)</f>
      </c>
      <c r="AB2109" s="5">
        <v>2</v>
      </c>
      <c r="AC2109" s="2" t="s">
        <v>100</v>
      </c>
      <c r="AD2109" s="4"/>
      <c r="AE2109" s="4"/>
      <c r="AF2109" s="6">
        <v>65</v>
      </c>
      <c r="AG2109" s="6"/>
      <c r="AH2109" s="7">
        <v>1</v>
      </c>
      <c r="AI2109" s="4"/>
      <c r="AJ2109" s="4">
        <f>=ROUNDDOWN({0},0)</f>
      </c>
      <c r="AK2109" s="5"/>
      <c r="AL2109" s="2" t="s">
        <v>100</v>
      </c>
      <c r="AM2109" s="4"/>
      <c r="AN2109" s="4"/>
      <c r="AO2109" s="7">
        <v>0</v>
      </c>
      <c r="AP2109" s="4"/>
      <c r="AQ2109" s="8"/>
      <c r="AR2109" s="4"/>
      <c r="AS2109" s="8"/>
      <c r="AT2109" s="7"/>
      <c r="AU2109" s="7"/>
      <c r="AV2109" s="4"/>
      <c r="AW2109" s="8"/>
      <c r="AX2109" s="4"/>
      <c r="AY2109" s="8"/>
      <c r="AZ2109" s="7"/>
      <c r="BA2109" s="7"/>
      <c r="BB2109" s="7"/>
      <c r="BC2109" s="4" t="s">
        <v>100</v>
      </c>
      <c r="BD2109" s="8" t="s">
        <v>100</v>
      </c>
      <c r="BE2109" s="4" t="s">
        <v>100</v>
      </c>
      <c r="BF2109" s="8" t="s">
        <v>100</v>
      </c>
      <c r="BG2109" s="7" t="s">
        <v>100</v>
      </c>
      <c r="BH2109" s="7" t="s">
        <v>100</v>
      </c>
      <c r="BI2109" s="7"/>
      <c r="BJ2109" s="4">
        <v>4</v>
      </c>
      <c r="BK2109" s="8">
        <v>150.12</v>
      </c>
      <c r="BL2109" s="2" t="s">
        <v>210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109</v>
      </c>
      <c r="BV2109" s="2" t="s">
        <v>97</v>
      </c>
      <c r="BW2109" s="2" t="s">
        <v>4714</v>
      </c>
      <c r="BX2109" s="2" t="s">
        <v>100</v>
      </c>
      <c r="BY2109" s="2" t="s">
        <v>112</v>
      </c>
      <c r="BZ2109" s="2" t="s">
        <v>100</v>
      </c>
    </row>
    <row r="2110">
      <c r="A2110" s="2" t="s">
        <v>6016</v>
      </c>
      <c r="B2110" s="2" t="s">
        <v>87</v>
      </c>
      <c r="C2110" s="2" t="s">
        <v>5945</v>
      </c>
      <c r="D2110" s="2" t="s">
        <v>4554</v>
      </c>
      <c r="E2110" s="2" t="s">
        <v>5940</v>
      </c>
      <c r="F2110" s="2" t="s">
        <v>6013</v>
      </c>
      <c r="G2110" s="2" t="s">
        <v>6013</v>
      </c>
      <c r="H2110" s="2" t="s">
        <v>6013</v>
      </c>
      <c r="I2110" s="2" t="s">
        <v>6008</v>
      </c>
      <c r="J2110" s="2" t="s">
        <v>4558</v>
      </c>
      <c r="K2110" s="2" t="s">
        <v>163</v>
      </c>
      <c r="L2110" s="3">
        <v>34.04</v>
      </c>
      <c r="M2110" s="3">
        <v>35.74</v>
      </c>
      <c r="N2110" s="3">
        <v>109.99</v>
      </c>
      <c r="O2110" s="2" t="s">
        <v>97</v>
      </c>
      <c r="P2110" s="2" t="s">
        <v>98</v>
      </c>
      <c r="Q2110" s="2" t="s">
        <v>99</v>
      </c>
      <c r="R2110" s="2" t="s">
        <v>100</v>
      </c>
      <c r="S2110" s="2" t="s">
        <v>100</v>
      </c>
      <c r="T2110" s="2" t="s">
        <v>100</v>
      </c>
      <c r="U2110" s="2" t="s">
        <v>3325</v>
      </c>
      <c r="V2110" s="2" t="s">
        <v>645</v>
      </c>
      <c r="W2110" s="2" t="s">
        <v>244</v>
      </c>
      <c r="X2110" s="2" t="s">
        <v>100</v>
      </c>
      <c r="Y2110" s="2" t="s">
        <v>1967</v>
      </c>
      <c r="Z2110" s="4">
        <v>56</v>
      </c>
      <c r="AA2110" s="4">
        <f>=ROUNDDOWN(18.6666666666667,0)</f>
      </c>
      <c r="AB2110" s="5">
        <v>3</v>
      </c>
      <c r="AC2110" s="2" t="s">
        <v>400</v>
      </c>
      <c r="AD2110" s="4">
        <v>130</v>
      </c>
      <c r="AE2110" s="4">
        <v>130</v>
      </c>
      <c r="AF2110" s="6">
        <v>65</v>
      </c>
      <c r="AG2110" s="6"/>
      <c r="AH2110" s="7">
        <v>1</v>
      </c>
      <c r="AI2110" s="4"/>
      <c r="AJ2110" s="4">
        <f>=ROUNDDOWN({0},0)</f>
      </c>
      <c r="AK2110" s="5"/>
      <c r="AL2110" s="2" t="s">
        <v>100</v>
      </c>
      <c r="AM2110" s="4"/>
      <c r="AN2110" s="4"/>
      <c r="AO2110" s="7">
        <v>0</v>
      </c>
      <c r="AP2110" s="4"/>
      <c r="AQ2110" s="8"/>
      <c r="AR2110" s="4"/>
      <c r="AS2110" s="8"/>
      <c r="AT2110" s="7"/>
      <c r="AU2110" s="7"/>
      <c r="AV2110" s="4"/>
      <c r="AW2110" s="8"/>
      <c r="AX2110" s="4"/>
      <c r="AY2110" s="8"/>
      <c r="AZ2110" s="7"/>
      <c r="BA2110" s="7"/>
      <c r="BB2110" s="7"/>
      <c r="BC2110" s="4" t="s">
        <v>100</v>
      </c>
      <c r="BD2110" s="8" t="s">
        <v>100</v>
      </c>
      <c r="BE2110" s="4" t="s">
        <v>100</v>
      </c>
      <c r="BF2110" s="8" t="s">
        <v>100</v>
      </c>
      <c r="BG2110" s="7" t="s">
        <v>100</v>
      </c>
      <c r="BH2110" s="7" t="s">
        <v>100</v>
      </c>
      <c r="BI2110" s="7"/>
      <c r="BJ2110" s="4">
        <v>1</v>
      </c>
      <c r="BK2110" s="8">
        <v>30.38</v>
      </c>
      <c r="BL2110" s="2" t="s">
        <v>133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109</v>
      </c>
      <c r="BV2110" s="2" t="s">
        <v>97</v>
      </c>
      <c r="BW2110" s="2" t="s">
        <v>4714</v>
      </c>
      <c r="BX2110" s="2" t="s">
        <v>100</v>
      </c>
      <c r="BY2110" s="2" t="s">
        <v>112</v>
      </c>
      <c r="BZ2110" s="2" t="s">
        <v>100</v>
      </c>
    </row>
    <row r="2111">
      <c r="A2111" s="2" t="s">
        <v>6017</v>
      </c>
      <c r="B2111" s="2" t="s">
        <v>87</v>
      </c>
      <c r="C2111" s="2" t="s">
        <v>5945</v>
      </c>
      <c r="D2111" s="2" t="s">
        <v>4554</v>
      </c>
      <c r="E2111" s="2" t="s">
        <v>5940</v>
      </c>
      <c r="F2111" s="2" t="s">
        <v>6013</v>
      </c>
      <c r="G2111" s="2" t="s">
        <v>6013</v>
      </c>
      <c r="H2111" s="2" t="s">
        <v>6013</v>
      </c>
      <c r="I2111" s="2" t="s">
        <v>6008</v>
      </c>
      <c r="J2111" s="2" t="s">
        <v>4558</v>
      </c>
      <c r="K2111" s="2" t="s">
        <v>1572</v>
      </c>
      <c r="L2111" s="3">
        <v>34.04</v>
      </c>
      <c r="M2111" s="3">
        <v>35.74</v>
      </c>
      <c r="N2111" s="3">
        <v>109.99</v>
      </c>
      <c r="O2111" s="2" t="s">
        <v>97</v>
      </c>
      <c r="P2111" s="2" t="s">
        <v>587</v>
      </c>
      <c r="Q2111" s="2" t="s">
        <v>99</v>
      </c>
      <c r="R2111" s="2" t="s">
        <v>100</v>
      </c>
      <c r="S2111" s="2" t="s">
        <v>100</v>
      </c>
      <c r="T2111" s="2" t="s">
        <v>100</v>
      </c>
      <c r="U2111" s="2" t="s">
        <v>3325</v>
      </c>
      <c r="V2111" s="2" t="s">
        <v>645</v>
      </c>
      <c r="W2111" s="2" t="s">
        <v>244</v>
      </c>
      <c r="X2111" s="2" t="s">
        <v>100</v>
      </c>
      <c r="Y2111" s="2" t="s">
        <v>1967</v>
      </c>
      <c r="Z2111" s="4">
        <v>145</v>
      </c>
      <c r="AA2111" s="4">
        <f>=ROUNDDOWN(72.5,0)</f>
      </c>
      <c r="AB2111" s="5">
        <v>2</v>
      </c>
      <c r="AC2111" s="2" t="s">
        <v>100</v>
      </c>
      <c r="AD2111" s="4"/>
      <c r="AE2111" s="4"/>
      <c r="AF2111" s="6">
        <v>65</v>
      </c>
      <c r="AG2111" s="6"/>
      <c r="AH2111" s="7">
        <v>1</v>
      </c>
      <c r="AI2111" s="4"/>
      <c r="AJ2111" s="4">
        <f>=ROUNDDOWN({0},0)</f>
      </c>
      <c r="AK2111" s="5"/>
      <c r="AL2111" s="2" t="s">
        <v>100</v>
      </c>
      <c r="AM2111" s="4"/>
      <c r="AN2111" s="4"/>
      <c r="AO2111" s="7">
        <v>0</v>
      </c>
      <c r="AP2111" s="4"/>
      <c r="AQ2111" s="8"/>
      <c r="AR2111" s="4"/>
      <c r="AS2111" s="8"/>
      <c r="AT2111" s="7"/>
      <c r="AU2111" s="7"/>
      <c r="AV2111" s="4"/>
      <c r="AW2111" s="8"/>
      <c r="AX2111" s="4"/>
      <c r="AY2111" s="8"/>
      <c r="AZ2111" s="7"/>
      <c r="BA2111" s="7"/>
      <c r="BB2111" s="7"/>
      <c r="BC2111" s="4" t="s">
        <v>100</v>
      </c>
      <c r="BD2111" s="8" t="s">
        <v>100</v>
      </c>
      <c r="BE2111" s="4" t="s">
        <v>100</v>
      </c>
      <c r="BF2111" s="8" t="s">
        <v>100</v>
      </c>
      <c r="BG2111" s="7" t="s">
        <v>100</v>
      </c>
      <c r="BH2111" s="7" t="s">
        <v>100</v>
      </c>
      <c r="BI2111" s="7"/>
      <c r="BJ2111" s="4">
        <v>1</v>
      </c>
      <c r="BK2111" s="8">
        <v>30.38</v>
      </c>
      <c r="BL2111" s="2" t="s">
        <v>133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109</v>
      </c>
      <c r="BV2111" s="2" t="s">
        <v>97</v>
      </c>
      <c r="BW2111" s="2" t="s">
        <v>4714</v>
      </c>
      <c r="BX2111" s="2" t="s">
        <v>100</v>
      </c>
      <c r="BY2111" s="2" t="s">
        <v>112</v>
      </c>
      <c r="BZ2111" s="2" t="s">
        <v>100</v>
      </c>
    </row>
    <row r="2112">
      <c r="A2112" s="2" t="s">
        <v>6018</v>
      </c>
      <c r="B2112" s="2" t="s">
        <v>87</v>
      </c>
      <c r="C2112" s="2" t="s">
        <v>6019</v>
      </c>
      <c r="D2112" s="2" t="s">
        <v>3365</v>
      </c>
      <c r="E2112" s="2" t="s">
        <v>5914</v>
      </c>
      <c r="F2112" s="2" t="s">
        <v>6020</v>
      </c>
      <c r="G2112" s="2" t="s">
        <v>6020</v>
      </c>
      <c r="H2112" s="2" t="s">
        <v>6020</v>
      </c>
      <c r="I2112" s="2" t="s">
        <v>5916</v>
      </c>
      <c r="J2112" s="2" t="s">
        <v>5917</v>
      </c>
      <c r="K2112" s="2" t="s">
        <v>146</v>
      </c>
      <c r="L2112" s="3">
        <v>21.66</v>
      </c>
      <c r="M2112" s="3">
        <v>22.74</v>
      </c>
      <c r="N2112" s="3">
        <v>69.99</v>
      </c>
      <c r="O2112" s="2" t="s">
        <v>97</v>
      </c>
      <c r="P2112" s="2" t="s">
        <v>447</v>
      </c>
      <c r="Q2112" s="2" t="s">
        <v>99</v>
      </c>
      <c r="R2112" s="2" t="s">
        <v>100</v>
      </c>
      <c r="S2112" s="2" t="s">
        <v>100</v>
      </c>
      <c r="T2112" s="2" t="s">
        <v>5621</v>
      </c>
      <c r="U2112" s="2" t="s">
        <v>100</v>
      </c>
      <c r="V2112" s="2" t="s">
        <v>344</v>
      </c>
      <c r="W2112" s="2" t="s">
        <v>105</v>
      </c>
      <c r="X2112" s="2" t="s">
        <v>100</v>
      </c>
      <c r="Y2112" s="2" t="s">
        <v>5933</v>
      </c>
      <c r="Z2112" s="4">
        <v>189</v>
      </c>
      <c r="AA2112" s="4">
        <f>=ROUNDDOWN(189,0)</f>
      </c>
      <c r="AB2112" s="5">
        <v>1</v>
      </c>
      <c r="AC2112" s="2" t="s">
        <v>100</v>
      </c>
      <c r="AD2112" s="4"/>
      <c r="AE2112" s="4"/>
      <c r="AF2112" s="6">
        <v>65</v>
      </c>
      <c r="AG2112" s="6"/>
      <c r="AH2112" s="7">
        <v>1</v>
      </c>
      <c r="AI2112" s="4"/>
      <c r="AJ2112" s="4">
        <f>=ROUNDDOWN({0},0)</f>
      </c>
      <c r="AK2112" s="5"/>
      <c r="AL2112" s="2" t="s">
        <v>100</v>
      </c>
      <c r="AM2112" s="4"/>
      <c r="AN2112" s="4"/>
      <c r="AO2112" s="7">
        <v>0</v>
      </c>
      <c r="AP2112" s="4"/>
      <c r="AQ2112" s="8"/>
      <c r="AR2112" s="4"/>
      <c r="AS2112" s="8"/>
      <c r="AT2112" s="7"/>
      <c r="AU2112" s="7"/>
      <c r="AV2112" s="4"/>
      <c r="AW2112" s="8"/>
      <c r="AX2112" s="4"/>
      <c r="AY2112" s="8"/>
      <c r="AZ2112" s="7"/>
      <c r="BA2112" s="7"/>
      <c r="BB2112" s="7"/>
      <c r="BC2112" s="4" t="s">
        <v>100</v>
      </c>
      <c r="BD2112" s="8" t="s">
        <v>100</v>
      </c>
      <c r="BE2112" s="4" t="s">
        <v>100</v>
      </c>
      <c r="BF2112" s="8" t="s">
        <v>100</v>
      </c>
      <c r="BG2112" s="7" t="s">
        <v>100</v>
      </c>
      <c r="BH2112" s="7" t="s">
        <v>100</v>
      </c>
      <c r="BI2112" s="7"/>
      <c r="BJ2112" s="4">
        <v>2</v>
      </c>
      <c r="BK2112" s="8">
        <v>47.76</v>
      </c>
      <c r="BL2112" s="2" t="s">
        <v>210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1338</v>
      </c>
      <c r="BV2112" s="2" t="s">
        <v>97</v>
      </c>
      <c r="BW2112" s="2" t="s">
        <v>100</v>
      </c>
      <c r="BX2112" s="2" t="s">
        <v>100</v>
      </c>
      <c r="BY2112" s="2" t="s">
        <v>112</v>
      </c>
      <c r="BZ2112" s="2" t="s">
        <v>100</v>
      </c>
    </row>
    <row r="2113">
      <c r="A2113" s="2" t="s">
        <v>6021</v>
      </c>
      <c r="B2113" s="2" t="s">
        <v>87</v>
      </c>
      <c r="C2113" s="2" t="s">
        <v>6019</v>
      </c>
      <c r="D2113" s="2" t="s">
        <v>3365</v>
      </c>
      <c r="E2113" s="2" t="s">
        <v>5914</v>
      </c>
      <c r="F2113" s="2" t="s">
        <v>6020</v>
      </c>
      <c r="G2113" s="2" t="s">
        <v>6020</v>
      </c>
      <c r="H2113" s="2" t="s">
        <v>6020</v>
      </c>
      <c r="I2113" s="2" t="s">
        <v>5916</v>
      </c>
      <c r="J2113" s="2" t="s">
        <v>5917</v>
      </c>
      <c r="K2113" s="2" t="s">
        <v>771</v>
      </c>
      <c r="L2113" s="3">
        <v>21.66</v>
      </c>
      <c r="M2113" s="3">
        <v>22.74</v>
      </c>
      <c r="N2113" s="3">
        <v>69.99</v>
      </c>
      <c r="O2113" s="2" t="s">
        <v>97</v>
      </c>
      <c r="P2113" s="2" t="s">
        <v>447</v>
      </c>
      <c r="Q2113" s="2" t="s">
        <v>99</v>
      </c>
      <c r="R2113" s="2" t="s">
        <v>100</v>
      </c>
      <c r="S2113" s="2" t="s">
        <v>100</v>
      </c>
      <c r="T2113" s="2" t="s">
        <v>5621</v>
      </c>
      <c r="U2113" s="2" t="s">
        <v>100</v>
      </c>
      <c r="V2113" s="2" t="s">
        <v>344</v>
      </c>
      <c r="W2113" s="2" t="s">
        <v>105</v>
      </c>
      <c r="X2113" s="2" t="s">
        <v>100</v>
      </c>
      <c r="Y2113" s="2" t="s">
        <v>5933</v>
      </c>
      <c r="Z2113" s="4">
        <v>22</v>
      </c>
      <c r="AA2113" s="4">
        <f>=ROUNDDOWN(7.33333333333333,0)</f>
      </c>
      <c r="AB2113" s="5">
        <v>3</v>
      </c>
      <c r="AC2113" s="2" t="s">
        <v>100</v>
      </c>
      <c r="AD2113" s="4"/>
      <c r="AE2113" s="4"/>
      <c r="AF2113" s="6">
        <v>65</v>
      </c>
      <c r="AG2113" s="6"/>
      <c r="AH2113" s="7">
        <v>1</v>
      </c>
      <c r="AI2113" s="4"/>
      <c r="AJ2113" s="4">
        <f>=ROUNDDOWN({0},0)</f>
      </c>
      <c r="AK2113" s="5"/>
      <c r="AL2113" s="2" t="s">
        <v>100</v>
      </c>
      <c r="AM2113" s="4"/>
      <c r="AN2113" s="4"/>
      <c r="AO2113" s="7">
        <v>0</v>
      </c>
      <c r="AP2113" s="4"/>
      <c r="AQ2113" s="8"/>
      <c r="AR2113" s="4"/>
      <c r="AS2113" s="8"/>
      <c r="AT2113" s="7"/>
      <c r="AU2113" s="7"/>
      <c r="AV2113" s="4"/>
      <c r="AW2113" s="8"/>
      <c r="AX2113" s="4"/>
      <c r="AY2113" s="8"/>
      <c r="AZ2113" s="7"/>
      <c r="BA2113" s="7"/>
      <c r="BB2113" s="7"/>
      <c r="BC2113" s="4" t="s">
        <v>100</v>
      </c>
      <c r="BD2113" s="8" t="s">
        <v>100</v>
      </c>
      <c r="BE2113" s="4" t="s">
        <v>100</v>
      </c>
      <c r="BF2113" s="8" t="s">
        <v>100</v>
      </c>
      <c r="BG2113" s="7" t="s">
        <v>100</v>
      </c>
      <c r="BH2113" s="7" t="s">
        <v>100</v>
      </c>
      <c r="BI2113" s="7"/>
      <c r="BJ2113" s="4">
        <v>7</v>
      </c>
      <c r="BK2113" s="8">
        <v>168.52</v>
      </c>
      <c r="BL2113" s="2" t="s">
        <v>1550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1338</v>
      </c>
      <c r="BV2113" s="2" t="s">
        <v>97</v>
      </c>
      <c r="BW2113" s="2" t="s">
        <v>100</v>
      </c>
      <c r="BX2113" s="2" t="s">
        <v>100</v>
      </c>
      <c r="BY2113" s="2" t="s">
        <v>112</v>
      </c>
      <c r="BZ2113" s="2" t="s">
        <v>100</v>
      </c>
    </row>
    <row r="2114">
      <c r="A2114" s="2" t="s">
        <v>6022</v>
      </c>
      <c r="B2114" s="2" t="s">
        <v>87</v>
      </c>
      <c r="C2114" s="2" t="s">
        <v>6019</v>
      </c>
      <c r="D2114" s="2" t="s">
        <v>2230</v>
      </c>
      <c r="E2114" s="2" t="s">
        <v>3064</v>
      </c>
      <c r="F2114" s="2" t="s">
        <v>6023</v>
      </c>
      <c r="G2114" s="2" t="s">
        <v>6023</v>
      </c>
      <c r="H2114" s="2" t="s">
        <v>6023</v>
      </c>
      <c r="I2114" s="2" t="s">
        <v>6024</v>
      </c>
      <c r="J2114" s="2" t="s">
        <v>785</v>
      </c>
      <c r="K2114" s="2" t="s">
        <v>6025</v>
      </c>
      <c r="L2114" s="3">
        <v>102.14</v>
      </c>
      <c r="M2114" s="3">
        <v>107.25</v>
      </c>
      <c r="N2114" s="3">
        <v>299.99</v>
      </c>
      <c r="O2114" s="2" t="s">
        <v>97</v>
      </c>
      <c r="P2114" s="2" t="s">
        <v>447</v>
      </c>
      <c r="Q2114" s="2" t="s">
        <v>99</v>
      </c>
      <c r="R2114" s="2" t="s">
        <v>100</v>
      </c>
      <c r="S2114" s="2" t="s">
        <v>100</v>
      </c>
      <c r="T2114" s="2" t="s">
        <v>359</v>
      </c>
      <c r="U2114" s="2" t="s">
        <v>100</v>
      </c>
      <c r="V2114" s="2" t="s">
        <v>645</v>
      </c>
      <c r="W2114" s="2" t="s">
        <v>104</v>
      </c>
      <c r="X2114" s="2" t="s">
        <v>100</v>
      </c>
      <c r="Y2114" s="2" t="s">
        <v>2612</v>
      </c>
      <c r="Z2114" s="4">
        <v>13</v>
      </c>
      <c r="AA2114" s="4">
        <f>=ROUNDDOWN(16.25,0)</f>
      </c>
      <c r="AB2114" s="5">
        <v>0.8</v>
      </c>
      <c r="AC2114" s="2" t="s">
        <v>400</v>
      </c>
      <c r="AD2114" s="4">
        <v>44</v>
      </c>
      <c r="AE2114" s="4">
        <v>104</v>
      </c>
      <c r="AF2114" s="6">
        <v>65</v>
      </c>
      <c r="AG2114" s="6"/>
      <c r="AH2114" s="7">
        <v>1</v>
      </c>
      <c r="AI2114" s="4"/>
      <c r="AJ2114" s="4">
        <f>=ROUNDDOWN({0},0)</f>
      </c>
      <c r="AK2114" s="5"/>
      <c r="AL2114" s="2" t="s">
        <v>100</v>
      </c>
      <c r="AM2114" s="4"/>
      <c r="AN2114" s="4"/>
      <c r="AO2114" s="7">
        <v>0</v>
      </c>
      <c r="AP2114" s="4"/>
      <c r="AQ2114" s="8"/>
      <c r="AR2114" s="4"/>
      <c r="AS2114" s="8"/>
      <c r="AT2114" s="7"/>
      <c r="AU2114" s="7"/>
      <c r="AV2114" s="4" t="s">
        <v>100</v>
      </c>
      <c r="AW2114" s="8" t="s">
        <v>100</v>
      </c>
      <c r="AX2114" s="4" t="s">
        <v>100</v>
      </c>
      <c r="AY2114" s="8" t="s">
        <v>100</v>
      </c>
      <c r="AZ2114" s="7" t="s">
        <v>100</v>
      </c>
      <c r="BA2114" s="7" t="s">
        <v>100</v>
      </c>
      <c r="BB2114" s="7"/>
      <c r="BC2114" s="4" t="s">
        <v>100</v>
      </c>
      <c r="BD2114" s="8" t="s">
        <v>100</v>
      </c>
      <c r="BE2114" s="4" t="s">
        <v>100</v>
      </c>
      <c r="BF2114" s="8" t="s">
        <v>100</v>
      </c>
      <c r="BG2114" s="7" t="s">
        <v>100</v>
      </c>
      <c r="BH2114" s="7" t="s">
        <v>100</v>
      </c>
      <c r="BI2114" s="7"/>
      <c r="BJ2114" s="4">
        <v>2</v>
      </c>
      <c r="BK2114" s="8">
        <v>211.28</v>
      </c>
      <c r="BL2114" s="2" t="s">
        <v>224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1338</v>
      </c>
      <c r="BV2114" s="2" t="s">
        <v>97</v>
      </c>
      <c r="BW2114" s="2" t="s">
        <v>100</v>
      </c>
      <c r="BX2114" s="2" t="s">
        <v>100</v>
      </c>
      <c r="BY2114" s="2" t="s">
        <v>112</v>
      </c>
      <c r="BZ2114" s="2" t="s">
        <v>100</v>
      </c>
    </row>
    <row r="2115">
      <c r="A2115" s="2" t="s">
        <v>6026</v>
      </c>
      <c r="B2115" s="2" t="s">
        <v>87</v>
      </c>
      <c r="C2115" s="2" t="s">
        <v>6019</v>
      </c>
      <c r="D2115" s="2" t="s">
        <v>2230</v>
      </c>
      <c r="E2115" s="2" t="s">
        <v>3064</v>
      </c>
      <c r="F2115" s="2" t="s">
        <v>6023</v>
      </c>
      <c r="G2115" s="2" t="s">
        <v>6023</v>
      </c>
      <c r="H2115" s="2" t="s">
        <v>6023</v>
      </c>
      <c r="I2115" s="2" t="s">
        <v>6024</v>
      </c>
      <c r="J2115" s="2" t="s">
        <v>795</v>
      </c>
      <c r="K2115" s="2" t="s">
        <v>6025</v>
      </c>
      <c r="L2115" s="3">
        <v>136.19</v>
      </c>
      <c r="M2115" s="3">
        <v>143</v>
      </c>
      <c r="N2115" s="3">
        <v>399.99</v>
      </c>
      <c r="O2115" s="2" t="s">
        <v>97</v>
      </c>
      <c r="P2115" s="2" t="s">
        <v>447</v>
      </c>
      <c r="Q2115" s="2" t="s">
        <v>99</v>
      </c>
      <c r="R2115" s="2" t="s">
        <v>100</v>
      </c>
      <c r="S2115" s="2" t="s">
        <v>100</v>
      </c>
      <c r="T2115" s="2" t="s">
        <v>359</v>
      </c>
      <c r="U2115" s="2" t="s">
        <v>100</v>
      </c>
      <c r="V2115" s="2" t="s">
        <v>645</v>
      </c>
      <c r="W2115" s="2" t="s">
        <v>104</v>
      </c>
      <c r="X2115" s="2" t="s">
        <v>100</v>
      </c>
      <c r="Y2115" s="2" t="s">
        <v>2612</v>
      </c>
      <c r="Z2115" s="4">
        <v>3</v>
      </c>
      <c r="AA2115" s="4">
        <f>=ROUNDDOWN(0.769230769230769,0)</f>
      </c>
      <c r="AB2115" s="5">
        <v>3.9</v>
      </c>
      <c r="AC2115" s="2" t="s">
        <v>400</v>
      </c>
      <c r="AD2115" s="4">
        <v>63</v>
      </c>
      <c r="AE2115" s="4">
        <v>173</v>
      </c>
      <c r="AF2115" s="6">
        <v>65</v>
      </c>
      <c r="AG2115" s="6"/>
      <c r="AH2115" s="7">
        <v>0</v>
      </c>
      <c r="AI2115" s="4"/>
      <c r="AJ2115" s="4">
        <f>=ROUNDDOWN({0},0)</f>
      </c>
      <c r="AK2115" s="5"/>
      <c r="AL2115" s="2" t="s">
        <v>100</v>
      </c>
      <c r="AM2115" s="4"/>
      <c r="AN2115" s="4"/>
      <c r="AO2115" s="7">
        <v>0</v>
      </c>
      <c r="AP2115" s="4"/>
      <c r="AQ2115" s="8"/>
      <c r="AR2115" s="4"/>
      <c r="AS2115" s="8"/>
      <c r="AT2115" s="7"/>
      <c r="AU2115" s="7"/>
      <c r="AV2115" s="4" t="s">
        <v>100</v>
      </c>
      <c r="AW2115" s="8" t="s">
        <v>100</v>
      </c>
      <c r="AX2115" s="4" t="s">
        <v>100</v>
      </c>
      <c r="AY2115" s="8" t="s">
        <v>100</v>
      </c>
      <c r="AZ2115" s="7" t="s">
        <v>100</v>
      </c>
      <c r="BA2115" s="7" t="s">
        <v>100</v>
      </c>
      <c r="BB2115" s="7"/>
      <c r="BC2115" s="4" t="s">
        <v>100</v>
      </c>
      <c r="BD2115" s="8" t="s">
        <v>100</v>
      </c>
      <c r="BE2115" s="4" t="s">
        <v>100</v>
      </c>
      <c r="BF2115" s="8" t="s">
        <v>100</v>
      </c>
      <c r="BG2115" s="7" t="s">
        <v>100</v>
      </c>
      <c r="BH2115" s="7" t="s">
        <v>100</v>
      </c>
      <c r="BI2115" s="7"/>
      <c r="BJ2115" s="4"/>
      <c r="BK2115" s="8"/>
      <c r="BL2115" s="2" t="s">
        <v>100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1338</v>
      </c>
      <c r="BV2115" s="2" t="s">
        <v>97</v>
      </c>
      <c r="BW2115" s="2" t="s">
        <v>100</v>
      </c>
      <c r="BX2115" s="2" t="s">
        <v>100</v>
      </c>
      <c r="BY2115" s="2" t="s">
        <v>112</v>
      </c>
      <c r="BZ2115" s="2" t="s">
        <v>100</v>
      </c>
    </row>
    <row r="2116">
      <c r="A2116" s="2" t="s">
        <v>6027</v>
      </c>
      <c r="B2116" s="2" t="s">
        <v>87</v>
      </c>
      <c r="C2116" s="2" t="s">
        <v>6019</v>
      </c>
      <c r="D2116" s="2" t="s">
        <v>3079</v>
      </c>
      <c r="E2116" s="2" t="s">
        <v>3080</v>
      </c>
      <c r="F2116" s="2" t="s">
        <v>6028</v>
      </c>
      <c r="G2116" s="2" t="s">
        <v>6028</v>
      </c>
      <c r="H2116" s="2" t="s">
        <v>6028</v>
      </c>
      <c r="I2116" s="2" t="s">
        <v>5929</v>
      </c>
      <c r="J2116" s="2" t="s">
        <v>785</v>
      </c>
      <c r="K2116" s="2" t="s">
        <v>1263</v>
      </c>
      <c r="L2116" s="3">
        <v>102.14</v>
      </c>
      <c r="M2116" s="3">
        <v>107.25</v>
      </c>
      <c r="N2116" s="3">
        <v>299.99</v>
      </c>
      <c r="O2116" s="2" t="s">
        <v>97</v>
      </c>
      <c r="P2116" s="2" t="s">
        <v>4334</v>
      </c>
      <c r="Q2116" s="2" t="s">
        <v>99</v>
      </c>
      <c r="R2116" s="2" t="s">
        <v>100</v>
      </c>
      <c r="S2116" s="2" t="s">
        <v>100</v>
      </c>
      <c r="T2116" s="2" t="s">
        <v>359</v>
      </c>
      <c r="U2116" s="2" t="s">
        <v>100</v>
      </c>
      <c r="V2116" s="2" t="s">
        <v>284</v>
      </c>
      <c r="W2116" s="2" t="s">
        <v>104</v>
      </c>
      <c r="X2116" s="2" t="s">
        <v>100</v>
      </c>
      <c r="Y2116" s="2" t="s">
        <v>5957</v>
      </c>
      <c r="Z2116" s="4">
        <v>17</v>
      </c>
      <c r="AA2116" s="4">
        <f>=ROUNDDOWN(17,0)</f>
      </c>
      <c r="AB2116" s="5">
        <v>1</v>
      </c>
      <c r="AC2116" s="2" t="s">
        <v>100</v>
      </c>
      <c r="AD2116" s="4"/>
      <c r="AE2116" s="4"/>
      <c r="AF2116" s="6">
        <v>65</v>
      </c>
      <c r="AG2116" s="6"/>
      <c r="AH2116" s="7">
        <v>1</v>
      </c>
      <c r="AI2116" s="4"/>
      <c r="AJ2116" s="4">
        <f>=ROUNDDOWN({0},0)</f>
      </c>
      <c r="AK2116" s="5"/>
      <c r="AL2116" s="2" t="s">
        <v>100</v>
      </c>
      <c r="AM2116" s="4"/>
      <c r="AN2116" s="4"/>
      <c r="AO2116" s="7">
        <v>0</v>
      </c>
      <c r="AP2116" s="4"/>
      <c r="AQ2116" s="8"/>
      <c r="AR2116" s="4"/>
      <c r="AS2116" s="8"/>
      <c r="AT2116" s="7"/>
      <c r="AU2116" s="7"/>
      <c r="AV2116" s="4" t="s">
        <v>100</v>
      </c>
      <c r="AW2116" s="8" t="s">
        <v>100</v>
      </c>
      <c r="AX2116" s="4" t="s">
        <v>100</v>
      </c>
      <c r="AY2116" s="8" t="s">
        <v>100</v>
      </c>
      <c r="AZ2116" s="7" t="s">
        <v>100</v>
      </c>
      <c r="BA2116" s="7" t="s">
        <v>100</v>
      </c>
      <c r="BB2116" s="7"/>
      <c r="BC2116" s="4" t="s">
        <v>100</v>
      </c>
      <c r="BD2116" s="8" t="s">
        <v>100</v>
      </c>
      <c r="BE2116" s="4" t="s">
        <v>100</v>
      </c>
      <c r="BF2116" s="8" t="s">
        <v>100</v>
      </c>
      <c r="BG2116" s="7" t="s">
        <v>100</v>
      </c>
      <c r="BH2116" s="7" t="s">
        <v>100</v>
      </c>
      <c r="BI2116" s="7"/>
      <c r="BJ2116" s="4">
        <v>2</v>
      </c>
      <c r="BK2116" s="8">
        <v>113.69</v>
      </c>
      <c r="BL2116" s="2" t="s">
        <v>224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1338</v>
      </c>
      <c r="BV2116" s="2" t="s">
        <v>97</v>
      </c>
      <c r="BW2116" s="2" t="s">
        <v>100</v>
      </c>
      <c r="BX2116" s="2" t="s">
        <v>100</v>
      </c>
      <c r="BY2116" s="2" t="s">
        <v>112</v>
      </c>
      <c r="BZ2116" s="2" t="s">
        <v>100</v>
      </c>
    </row>
    <row r="2117">
      <c r="A2117" s="2" t="s">
        <v>6029</v>
      </c>
      <c r="B2117" s="2" t="s">
        <v>87</v>
      </c>
      <c r="C2117" s="2" t="s">
        <v>6019</v>
      </c>
      <c r="D2117" s="2" t="s">
        <v>3079</v>
      </c>
      <c r="E2117" s="2" t="s">
        <v>3080</v>
      </c>
      <c r="F2117" s="2" t="s">
        <v>6028</v>
      </c>
      <c r="G2117" s="2" t="s">
        <v>6028</v>
      </c>
      <c r="H2117" s="2" t="s">
        <v>6028</v>
      </c>
      <c r="I2117" s="2" t="s">
        <v>5929</v>
      </c>
      <c r="J2117" s="2" t="s">
        <v>795</v>
      </c>
      <c r="K2117" s="2" t="s">
        <v>1263</v>
      </c>
      <c r="L2117" s="3">
        <v>136.19</v>
      </c>
      <c r="M2117" s="3">
        <v>143</v>
      </c>
      <c r="N2117" s="3">
        <v>399.99</v>
      </c>
      <c r="O2117" s="2" t="s">
        <v>97</v>
      </c>
      <c r="P2117" s="2" t="s">
        <v>4334</v>
      </c>
      <c r="Q2117" s="2" t="s">
        <v>99</v>
      </c>
      <c r="R2117" s="2" t="s">
        <v>100</v>
      </c>
      <c r="S2117" s="2" t="s">
        <v>100</v>
      </c>
      <c r="T2117" s="2" t="s">
        <v>359</v>
      </c>
      <c r="U2117" s="2" t="s">
        <v>100</v>
      </c>
      <c r="V2117" s="2" t="s">
        <v>284</v>
      </c>
      <c r="W2117" s="2" t="s">
        <v>104</v>
      </c>
      <c r="X2117" s="2" t="s">
        <v>100</v>
      </c>
      <c r="Y2117" s="2" t="s">
        <v>5957</v>
      </c>
      <c r="Z2117" s="4">
        <v>21</v>
      </c>
      <c r="AA2117" s="4">
        <f>=ROUNDDOWN(10.5,0)</f>
      </c>
      <c r="AB2117" s="5">
        <v>2</v>
      </c>
      <c r="AC2117" s="2" t="s">
        <v>100</v>
      </c>
      <c r="AD2117" s="4"/>
      <c r="AE2117" s="4"/>
      <c r="AF2117" s="6">
        <v>65</v>
      </c>
      <c r="AG2117" s="6"/>
      <c r="AH2117" s="7">
        <v>1</v>
      </c>
      <c r="AI2117" s="4"/>
      <c r="AJ2117" s="4">
        <f>=ROUNDDOWN({0},0)</f>
      </c>
      <c r="AK2117" s="5"/>
      <c r="AL2117" s="2" t="s">
        <v>100</v>
      </c>
      <c r="AM2117" s="4"/>
      <c r="AN2117" s="4"/>
      <c r="AO2117" s="7">
        <v>0</v>
      </c>
      <c r="AP2117" s="4"/>
      <c r="AQ2117" s="8"/>
      <c r="AR2117" s="4"/>
      <c r="AS2117" s="8"/>
      <c r="AT2117" s="7"/>
      <c r="AU2117" s="7"/>
      <c r="AV2117" s="4" t="s">
        <v>100</v>
      </c>
      <c r="AW2117" s="8" t="s">
        <v>100</v>
      </c>
      <c r="AX2117" s="4" t="s">
        <v>100</v>
      </c>
      <c r="AY2117" s="8" t="s">
        <v>100</v>
      </c>
      <c r="AZ2117" s="7" t="s">
        <v>100</v>
      </c>
      <c r="BA2117" s="7" t="s">
        <v>100</v>
      </c>
      <c r="BB2117" s="7"/>
      <c r="BC2117" s="4" t="s">
        <v>100</v>
      </c>
      <c r="BD2117" s="8" t="s">
        <v>100</v>
      </c>
      <c r="BE2117" s="4" t="s">
        <v>100</v>
      </c>
      <c r="BF2117" s="8" t="s">
        <v>100</v>
      </c>
      <c r="BG2117" s="7" t="s">
        <v>100</v>
      </c>
      <c r="BH2117" s="7" t="s">
        <v>100</v>
      </c>
      <c r="BI2117" s="7"/>
      <c r="BJ2117" s="4">
        <v>3</v>
      </c>
      <c r="BK2117" s="8">
        <v>364.65</v>
      </c>
      <c r="BL2117" s="2" t="s">
        <v>741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1338</v>
      </c>
      <c r="BV2117" s="2" t="s">
        <v>97</v>
      </c>
      <c r="BW2117" s="2" t="s">
        <v>100</v>
      </c>
      <c r="BX2117" s="2" t="s">
        <v>100</v>
      </c>
      <c r="BY2117" s="2" t="s">
        <v>112</v>
      </c>
      <c r="BZ2117" s="2" t="s">
        <v>100</v>
      </c>
    </row>
    <row r="2118">
      <c r="A2118" s="2" t="s">
        <v>6030</v>
      </c>
      <c r="B2118" s="2" t="s">
        <v>87</v>
      </c>
      <c r="C2118" s="2" t="s">
        <v>6019</v>
      </c>
      <c r="D2118" s="2" t="s">
        <v>3079</v>
      </c>
      <c r="E2118" s="2" t="s">
        <v>3080</v>
      </c>
      <c r="F2118" s="2" t="s">
        <v>6031</v>
      </c>
      <c r="G2118" s="2" t="s">
        <v>6031</v>
      </c>
      <c r="H2118" s="2" t="s">
        <v>6031</v>
      </c>
      <c r="I2118" s="2" t="s">
        <v>6032</v>
      </c>
      <c r="J2118" s="2" t="s">
        <v>785</v>
      </c>
      <c r="K2118" s="2" t="s">
        <v>6033</v>
      </c>
      <c r="L2118" s="3">
        <v>102.14</v>
      </c>
      <c r="M2118" s="3">
        <v>107.25</v>
      </c>
      <c r="N2118" s="3">
        <v>299.99</v>
      </c>
      <c r="O2118" s="2" t="s">
        <v>97</v>
      </c>
      <c r="P2118" s="2" t="s">
        <v>447</v>
      </c>
      <c r="Q2118" s="2" t="s">
        <v>99</v>
      </c>
      <c r="R2118" s="2" t="s">
        <v>100</v>
      </c>
      <c r="S2118" s="2" t="s">
        <v>100</v>
      </c>
      <c r="T2118" s="2" t="s">
        <v>6034</v>
      </c>
      <c r="U2118" s="2" t="s">
        <v>100</v>
      </c>
      <c r="V2118" s="2" t="s">
        <v>645</v>
      </c>
      <c r="W2118" s="2" t="s">
        <v>105</v>
      </c>
      <c r="X2118" s="2" t="s">
        <v>100</v>
      </c>
      <c r="Y2118" s="2" t="s">
        <v>5933</v>
      </c>
      <c r="Z2118" s="4">
        <v>55</v>
      </c>
      <c r="AA2118" s="4">
        <f>=ROUNDDOWN(55,0)</f>
      </c>
      <c r="AB2118" s="5">
        <v>1</v>
      </c>
      <c r="AC2118" s="2" t="s">
        <v>100</v>
      </c>
      <c r="AD2118" s="4"/>
      <c r="AE2118" s="4"/>
      <c r="AF2118" s="6">
        <v>65</v>
      </c>
      <c r="AG2118" s="6"/>
      <c r="AH2118" s="7">
        <v>1</v>
      </c>
      <c r="AI2118" s="4"/>
      <c r="AJ2118" s="4">
        <f>=ROUNDDOWN({0},0)</f>
      </c>
      <c r="AK2118" s="5"/>
      <c r="AL2118" s="2" t="s">
        <v>100</v>
      </c>
      <c r="AM2118" s="4"/>
      <c r="AN2118" s="4"/>
      <c r="AO2118" s="7">
        <v>0</v>
      </c>
      <c r="AP2118" s="4"/>
      <c r="AQ2118" s="8"/>
      <c r="AR2118" s="4"/>
      <c r="AS2118" s="8"/>
      <c r="AT2118" s="7"/>
      <c r="AU2118" s="7"/>
      <c r="AV2118" s="4" t="s">
        <v>100</v>
      </c>
      <c r="AW2118" s="8" t="s">
        <v>100</v>
      </c>
      <c r="AX2118" s="4" t="s">
        <v>100</v>
      </c>
      <c r="AY2118" s="8" t="s">
        <v>100</v>
      </c>
      <c r="AZ2118" s="7" t="s">
        <v>100</v>
      </c>
      <c r="BA2118" s="7" t="s">
        <v>100</v>
      </c>
      <c r="BB2118" s="7"/>
      <c r="BC2118" s="4" t="s">
        <v>100</v>
      </c>
      <c r="BD2118" s="8" t="s">
        <v>100</v>
      </c>
      <c r="BE2118" s="4" t="s">
        <v>100</v>
      </c>
      <c r="BF2118" s="8" t="s">
        <v>100</v>
      </c>
      <c r="BG2118" s="7" t="s">
        <v>100</v>
      </c>
      <c r="BH2118" s="7" t="s">
        <v>100</v>
      </c>
      <c r="BI2118" s="7"/>
      <c r="BJ2118" s="4">
        <v>1</v>
      </c>
      <c r="BK2118" s="8">
        <v>60.06</v>
      </c>
      <c r="BL2118" s="2" t="s">
        <v>1310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1338</v>
      </c>
      <c r="BV2118" s="2" t="s">
        <v>97</v>
      </c>
      <c r="BW2118" s="2" t="s">
        <v>100</v>
      </c>
      <c r="BX2118" s="2" t="s">
        <v>100</v>
      </c>
      <c r="BY2118" s="2" t="s">
        <v>112</v>
      </c>
      <c r="BZ2118" s="2" t="s">
        <v>100</v>
      </c>
    </row>
    <row r="2119">
      <c r="A2119" s="2" t="s">
        <v>6035</v>
      </c>
      <c r="B2119" s="2" t="s">
        <v>87</v>
      </c>
      <c r="C2119" s="2" t="s">
        <v>6019</v>
      </c>
      <c r="D2119" s="2" t="s">
        <v>3079</v>
      </c>
      <c r="E2119" s="2" t="s">
        <v>3080</v>
      </c>
      <c r="F2119" s="2" t="s">
        <v>6031</v>
      </c>
      <c r="G2119" s="2" t="s">
        <v>6031</v>
      </c>
      <c r="H2119" s="2" t="s">
        <v>6031</v>
      </c>
      <c r="I2119" s="2" t="s">
        <v>6032</v>
      </c>
      <c r="J2119" s="2" t="s">
        <v>795</v>
      </c>
      <c r="K2119" s="2" t="s">
        <v>6033</v>
      </c>
      <c r="L2119" s="3">
        <v>136.19</v>
      </c>
      <c r="M2119" s="3">
        <v>143</v>
      </c>
      <c r="N2119" s="3">
        <v>399.99</v>
      </c>
      <c r="O2119" s="2" t="s">
        <v>97</v>
      </c>
      <c r="P2119" s="2" t="s">
        <v>447</v>
      </c>
      <c r="Q2119" s="2" t="s">
        <v>99</v>
      </c>
      <c r="R2119" s="2" t="s">
        <v>100</v>
      </c>
      <c r="S2119" s="2" t="s">
        <v>100</v>
      </c>
      <c r="T2119" s="2" t="s">
        <v>6034</v>
      </c>
      <c r="U2119" s="2" t="s">
        <v>100</v>
      </c>
      <c r="V2119" s="2" t="s">
        <v>645</v>
      </c>
      <c r="W2119" s="2" t="s">
        <v>105</v>
      </c>
      <c r="X2119" s="2" t="s">
        <v>100</v>
      </c>
      <c r="Y2119" s="2" t="s">
        <v>5933</v>
      </c>
      <c r="Z2119" s="4">
        <v>102</v>
      </c>
      <c r="AA2119" s="4">
        <f>=ROUNDDOWN(102,0)</f>
      </c>
      <c r="AB2119" s="5">
        <v>1</v>
      </c>
      <c r="AC2119" s="2" t="s">
        <v>100</v>
      </c>
      <c r="AD2119" s="4"/>
      <c r="AE2119" s="4"/>
      <c r="AF2119" s="6">
        <v>65</v>
      </c>
      <c r="AG2119" s="6"/>
      <c r="AH2119" s="7">
        <v>1</v>
      </c>
      <c r="AI2119" s="4"/>
      <c r="AJ2119" s="4">
        <f>=ROUNDDOWN({0},0)</f>
      </c>
      <c r="AK2119" s="5"/>
      <c r="AL2119" s="2" t="s">
        <v>100</v>
      </c>
      <c r="AM2119" s="4"/>
      <c r="AN2119" s="4"/>
      <c r="AO2119" s="7">
        <v>0</v>
      </c>
      <c r="AP2119" s="4"/>
      <c r="AQ2119" s="8"/>
      <c r="AR2119" s="4"/>
      <c r="AS2119" s="8"/>
      <c r="AT2119" s="7"/>
      <c r="AU2119" s="7"/>
      <c r="AV2119" s="4" t="s">
        <v>100</v>
      </c>
      <c r="AW2119" s="8" t="s">
        <v>100</v>
      </c>
      <c r="AX2119" s="4" t="s">
        <v>100</v>
      </c>
      <c r="AY2119" s="8" t="s">
        <v>100</v>
      </c>
      <c r="AZ2119" s="7" t="s">
        <v>100</v>
      </c>
      <c r="BA2119" s="7" t="s">
        <v>100</v>
      </c>
      <c r="BB2119" s="7"/>
      <c r="BC2119" s="4" t="s">
        <v>100</v>
      </c>
      <c r="BD2119" s="8" t="s">
        <v>100</v>
      </c>
      <c r="BE2119" s="4" t="s">
        <v>100</v>
      </c>
      <c r="BF2119" s="8" t="s">
        <v>100</v>
      </c>
      <c r="BG2119" s="7" t="s">
        <v>100</v>
      </c>
      <c r="BH2119" s="7" t="s">
        <v>100</v>
      </c>
      <c r="BI2119" s="7"/>
      <c r="BJ2119" s="4">
        <v>1</v>
      </c>
      <c r="BK2119" s="8">
        <v>80.08</v>
      </c>
      <c r="BL2119" s="2" t="s">
        <v>1310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1338</v>
      </c>
      <c r="BV2119" s="2" t="s">
        <v>97</v>
      </c>
      <c r="BW2119" s="2" t="s">
        <v>100</v>
      </c>
      <c r="BX2119" s="2" t="s">
        <v>100</v>
      </c>
      <c r="BY2119" s="2" t="s">
        <v>112</v>
      </c>
      <c r="BZ2119" s="2" t="s">
        <v>100</v>
      </c>
    </row>
    <row r="2120">
      <c r="A2120" s="2" t="s">
        <v>6036</v>
      </c>
      <c r="B2120" s="2" t="s">
        <v>87</v>
      </c>
      <c r="C2120" s="2" t="s">
        <v>6019</v>
      </c>
      <c r="D2120" s="2" t="s">
        <v>3079</v>
      </c>
      <c r="E2120" s="2" t="s">
        <v>3080</v>
      </c>
      <c r="F2120" s="2" t="s">
        <v>6031</v>
      </c>
      <c r="G2120" s="2" t="s">
        <v>6031</v>
      </c>
      <c r="H2120" s="2" t="s">
        <v>6031</v>
      </c>
      <c r="I2120" s="2" t="s">
        <v>6037</v>
      </c>
      <c r="J2120" s="2" t="s">
        <v>795</v>
      </c>
      <c r="K2120" s="2" t="s">
        <v>771</v>
      </c>
      <c r="L2120" s="3">
        <v>136.19</v>
      </c>
      <c r="M2120" s="3">
        <v>143</v>
      </c>
      <c r="N2120" s="3">
        <v>399.99</v>
      </c>
      <c r="O2120" s="2" t="s">
        <v>97</v>
      </c>
      <c r="P2120" s="2" t="s">
        <v>447</v>
      </c>
      <c r="Q2120" s="2" t="s">
        <v>99</v>
      </c>
      <c r="R2120" s="2" t="s">
        <v>100</v>
      </c>
      <c r="S2120" s="2" t="s">
        <v>100</v>
      </c>
      <c r="T2120" s="2" t="s">
        <v>6034</v>
      </c>
      <c r="U2120" s="2" t="s">
        <v>100</v>
      </c>
      <c r="V2120" s="2" t="s">
        <v>645</v>
      </c>
      <c r="W2120" s="2" t="s">
        <v>105</v>
      </c>
      <c r="X2120" s="2" t="s">
        <v>100</v>
      </c>
      <c r="Y2120" s="2" t="s">
        <v>5933</v>
      </c>
      <c r="Z2120" s="4">
        <v>9</v>
      </c>
      <c r="AA2120" s="4">
        <f>=ROUNDDOWN(4.5,0)</f>
      </c>
      <c r="AB2120" s="5">
        <v>2</v>
      </c>
      <c r="AC2120" s="2" t="s">
        <v>100</v>
      </c>
      <c r="AD2120" s="4"/>
      <c r="AE2120" s="4"/>
      <c r="AF2120" s="6">
        <v>65</v>
      </c>
      <c r="AG2120" s="6"/>
      <c r="AH2120" s="7">
        <v>1</v>
      </c>
      <c r="AI2120" s="4"/>
      <c r="AJ2120" s="4">
        <f>=ROUNDDOWN({0},0)</f>
      </c>
      <c r="AK2120" s="5"/>
      <c r="AL2120" s="2" t="s">
        <v>100</v>
      </c>
      <c r="AM2120" s="4"/>
      <c r="AN2120" s="4"/>
      <c r="AO2120" s="7">
        <v>0</v>
      </c>
      <c r="AP2120" s="4"/>
      <c r="AQ2120" s="8"/>
      <c r="AR2120" s="4"/>
      <c r="AS2120" s="8"/>
      <c r="AT2120" s="7"/>
      <c r="AU2120" s="7"/>
      <c r="AV2120" s="4"/>
      <c r="AW2120" s="8"/>
      <c r="AX2120" s="4"/>
      <c r="AY2120" s="8"/>
      <c r="AZ2120" s="7"/>
      <c r="BA2120" s="7"/>
      <c r="BB2120" s="7"/>
      <c r="BC2120" s="4" t="s">
        <v>100</v>
      </c>
      <c r="BD2120" s="8" t="s">
        <v>100</v>
      </c>
      <c r="BE2120" s="4" t="s">
        <v>100</v>
      </c>
      <c r="BF2120" s="8" t="s">
        <v>100</v>
      </c>
      <c r="BG2120" s="7" t="s">
        <v>100</v>
      </c>
      <c r="BH2120" s="7" t="s">
        <v>100</v>
      </c>
      <c r="BI2120" s="7"/>
      <c r="BJ2120" s="4">
        <v>3</v>
      </c>
      <c r="BK2120" s="8">
        <v>310.31</v>
      </c>
      <c r="BL2120" s="2" t="s">
        <v>200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1338</v>
      </c>
      <c r="BV2120" s="2" t="s">
        <v>97</v>
      </c>
      <c r="BW2120" s="2" t="s">
        <v>100</v>
      </c>
      <c r="BX2120" s="2" t="s">
        <v>100</v>
      </c>
      <c r="BY2120" s="2" t="s">
        <v>112</v>
      </c>
      <c r="BZ2120" s="2" t="s">
        <v>100</v>
      </c>
    </row>
    <row r="2121">
      <c r="A2121" s="2" t="s">
        <v>6038</v>
      </c>
      <c r="B2121" s="2" t="s">
        <v>87</v>
      </c>
      <c r="C2121" s="2" t="s">
        <v>6019</v>
      </c>
      <c r="D2121" s="2" t="s">
        <v>4554</v>
      </c>
      <c r="E2121" s="2" t="s">
        <v>5940</v>
      </c>
      <c r="F2121" s="2" t="s">
        <v>6039</v>
      </c>
      <c r="G2121" s="2" t="s">
        <v>6039</v>
      </c>
      <c r="H2121" s="2" t="s">
        <v>6039</v>
      </c>
      <c r="I2121" s="2" t="s">
        <v>5999</v>
      </c>
      <c r="J2121" s="2" t="s">
        <v>5943</v>
      </c>
      <c r="K2121" s="2" t="s">
        <v>213</v>
      </c>
      <c r="L2121" s="3">
        <v>24.76</v>
      </c>
      <c r="M2121" s="3">
        <v>26</v>
      </c>
      <c r="N2121" s="3">
        <v>79.99</v>
      </c>
      <c r="O2121" s="2" t="s">
        <v>97</v>
      </c>
      <c r="P2121" s="2" t="s">
        <v>447</v>
      </c>
      <c r="Q2121" s="2" t="s">
        <v>99</v>
      </c>
      <c r="R2121" s="2" t="s">
        <v>100</v>
      </c>
      <c r="S2121" s="2" t="s">
        <v>100</v>
      </c>
      <c r="T2121" s="2" t="s">
        <v>359</v>
      </c>
      <c r="U2121" s="2" t="s">
        <v>100</v>
      </c>
      <c r="V2121" s="2" t="s">
        <v>645</v>
      </c>
      <c r="W2121" s="2" t="s">
        <v>104</v>
      </c>
      <c r="X2121" s="2" t="s">
        <v>100</v>
      </c>
      <c r="Y2121" s="2" t="s">
        <v>5933</v>
      </c>
      <c r="Z2121" s="4">
        <v>162</v>
      </c>
      <c r="AA2121" s="4">
        <f>=ROUNDDOWN(162,0)</f>
      </c>
      <c r="AB2121" s="5">
        <v>1</v>
      </c>
      <c r="AC2121" s="2" t="s">
        <v>100</v>
      </c>
      <c r="AD2121" s="4"/>
      <c r="AE2121" s="4"/>
      <c r="AF2121" s="6">
        <v>65</v>
      </c>
      <c r="AG2121" s="6"/>
      <c r="AH2121" s="7">
        <v>1</v>
      </c>
      <c r="AI2121" s="4"/>
      <c r="AJ2121" s="4">
        <f>=ROUNDDOWN({0},0)</f>
      </c>
      <c r="AK2121" s="5"/>
      <c r="AL2121" s="2" t="s">
        <v>100</v>
      </c>
      <c r="AM2121" s="4"/>
      <c r="AN2121" s="4"/>
      <c r="AO2121" s="7">
        <v>0</v>
      </c>
      <c r="AP2121" s="4"/>
      <c r="AQ2121" s="8"/>
      <c r="AR2121" s="4"/>
      <c r="AS2121" s="8"/>
      <c r="AT2121" s="7"/>
      <c r="AU2121" s="7"/>
      <c r="AV2121" s="4"/>
      <c r="AW2121" s="8"/>
      <c r="AX2121" s="4"/>
      <c r="AY2121" s="8"/>
      <c r="AZ2121" s="7"/>
      <c r="BA2121" s="7"/>
      <c r="BB2121" s="7"/>
      <c r="BC2121" s="4"/>
      <c r="BD2121" s="8"/>
      <c r="BE2121" s="4"/>
      <c r="BF2121" s="8"/>
      <c r="BG2121" s="7"/>
      <c r="BH2121" s="7"/>
      <c r="BI2121" s="7"/>
      <c r="BJ2121" s="4">
        <v>4</v>
      </c>
      <c r="BK2121" s="8">
        <v>147.29</v>
      </c>
      <c r="BL2121" s="2" t="s">
        <v>6040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1338</v>
      </c>
      <c r="BV2121" s="2" t="s">
        <v>97</v>
      </c>
      <c r="BW2121" s="2" t="s">
        <v>100</v>
      </c>
      <c r="BX2121" s="2" t="s">
        <v>100</v>
      </c>
      <c r="BY2121" s="2" t="s">
        <v>112</v>
      </c>
      <c r="BZ2121" s="2" t="s">
        <v>100</v>
      </c>
    </row>
    <row r="2122">
      <c r="A2122" s="2" t="s">
        <v>6041</v>
      </c>
      <c r="B2122" s="2" t="s">
        <v>87</v>
      </c>
      <c r="C2122" s="2" t="s">
        <v>6019</v>
      </c>
      <c r="D2122" s="2" t="s">
        <v>4554</v>
      </c>
      <c r="E2122" s="2" t="s">
        <v>5940</v>
      </c>
      <c r="F2122" s="2" t="s">
        <v>6042</v>
      </c>
      <c r="G2122" s="2" t="s">
        <v>6042</v>
      </c>
      <c r="H2122" s="2" t="s">
        <v>6042</v>
      </c>
      <c r="I2122" s="2" t="s">
        <v>6008</v>
      </c>
      <c r="J2122" s="2" t="s">
        <v>4578</v>
      </c>
      <c r="K2122" s="2" t="s">
        <v>213</v>
      </c>
      <c r="L2122" s="3">
        <v>21.66</v>
      </c>
      <c r="M2122" s="3">
        <v>22.74</v>
      </c>
      <c r="N2122" s="3">
        <v>69.99</v>
      </c>
      <c r="O2122" s="2" t="s">
        <v>97</v>
      </c>
      <c r="P2122" s="2" t="s">
        <v>447</v>
      </c>
      <c r="Q2122" s="2" t="s">
        <v>99</v>
      </c>
      <c r="R2122" s="2" t="s">
        <v>100</v>
      </c>
      <c r="S2122" s="2" t="s">
        <v>100</v>
      </c>
      <c r="T2122" s="2" t="s">
        <v>5621</v>
      </c>
      <c r="U2122" s="2" t="s">
        <v>100</v>
      </c>
      <c r="V2122" s="2" t="s">
        <v>6043</v>
      </c>
      <c r="W2122" s="2" t="s">
        <v>104</v>
      </c>
      <c r="X2122" s="2" t="s">
        <v>100</v>
      </c>
      <c r="Y2122" s="2" t="s">
        <v>5194</v>
      </c>
      <c r="Z2122" s="4">
        <v>114</v>
      </c>
      <c r="AA2122" s="4">
        <f>=ROUNDDOWN(57,0)</f>
      </c>
      <c r="AB2122" s="5">
        <v>2</v>
      </c>
      <c r="AC2122" s="2" t="s">
        <v>100</v>
      </c>
      <c r="AD2122" s="4"/>
      <c r="AE2122" s="4"/>
      <c r="AF2122" s="6">
        <v>65</v>
      </c>
      <c r="AG2122" s="6"/>
      <c r="AH2122" s="7">
        <v>1</v>
      </c>
      <c r="AI2122" s="4"/>
      <c r="AJ2122" s="4">
        <f>=ROUNDDOWN({0},0)</f>
      </c>
      <c r="AK2122" s="5"/>
      <c r="AL2122" s="2" t="s">
        <v>100</v>
      </c>
      <c r="AM2122" s="4"/>
      <c r="AN2122" s="4"/>
      <c r="AO2122" s="7">
        <v>0</v>
      </c>
      <c r="AP2122" s="4"/>
      <c r="AQ2122" s="8"/>
      <c r="AR2122" s="4"/>
      <c r="AS2122" s="8"/>
      <c r="AT2122" s="7"/>
      <c r="AU2122" s="7"/>
      <c r="AV2122" s="4"/>
      <c r="AW2122" s="8"/>
      <c r="AX2122" s="4"/>
      <c r="AY2122" s="8"/>
      <c r="AZ2122" s="7"/>
      <c r="BA2122" s="7"/>
      <c r="BB2122" s="7"/>
      <c r="BC2122" s="4"/>
      <c r="BD2122" s="8"/>
      <c r="BE2122" s="4"/>
      <c r="BF2122" s="8"/>
      <c r="BG2122" s="7"/>
      <c r="BH2122" s="7"/>
      <c r="BI2122" s="7"/>
      <c r="BJ2122" s="4">
        <v>4</v>
      </c>
      <c r="BK2122" s="8">
        <v>68.9</v>
      </c>
      <c r="BL2122" s="2" t="s">
        <v>599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1338</v>
      </c>
      <c r="BV2122" s="2" t="s">
        <v>97</v>
      </c>
      <c r="BW2122" s="2" t="s">
        <v>100</v>
      </c>
      <c r="BX2122" s="2" t="s">
        <v>100</v>
      </c>
      <c r="BY2122" s="2" t="s">
        <v>112</v>
      </c>
      <c r="BZ2122" s="2" t="s">
        <v>100</v>
      </c>
    </row>
    <row r="2123">
      <c r="A2123" s="2" t="s">
        <v>6044</v>
      </c>
      <c r="B2123" s="2" t="s">
        <v>87</v>
      </c>
      <c r="C2123" s="2" t="s">
        <v>6019</v>
      </c>
      <c r="D2123" s="2" t="s">
        <v>4554</v>
      </c>
      <c r="E2123" s="2" t="s">
        <v>5940</v>
      </c>
      <c r="F2123" s="2" t="s">
        <v>6045</v>
      </c>
      <c r="G2123" s="2" t="s">
        <v>6045</v>
      </c>
      <c r="H2123" s="2" t="s">
        <v>6045</v>
      </c>
      <c r="I2123" s="2" t="s">
        <v>6008</v>
      </c>
      <c r="J2123" s="2" t="s">
        <v>4558</v>
      </c>
      <c r="K2123" s="2" t="s">
        <v>146</v>
      </c>
      <c r="L2123" s="3">
        <v>24.76</v>
      </c>
      <c r="M2123" s="3">
        <v>26</v>
      </c>
      <c r="N2123" s="3">
        <v>79.99</v>
      </c>
      <c r="O2123" s="2" t="s">
        <v>97</v>
      </c>
      <c r="P2123" s="2" t="s">
        <v>447</v>
      </c>
      <c r="Q2123" s="2" t="s">
        <v>99</v>
      </c>
      <c r="R2123" s="2" t="s">
        <v>100</v>
      </c>
      <c r="S2123" s="2" t="s">
        <v>100</v>
      </c>
      <c r="T2123" s="2" t="s">
        <v>5621</v>
      </c>
      <c r="U2123" s="2" t="s">
        <v>100</v>
      </c>
      <c r="V2123" s="2" t="s">
        <v>663</v>
      </c>
      <c r="W2123" s="2" t="s">
        <v>104</v>
      </c>
      <c r="X2123" s="2" t="s">
        <v>100</v>
      </c>
      <c r="Y2123" s="2" t="s">
        <v>5194</v>
      </c>
      <c r="Z2123" s="4">
        <v>195</v>
      </c>
      <c r="AA2123" s="4">
        <f>=ROUNDDOWN(195,0)</f>
      </c>
      <c r="AB2123" s="5">
        <v>1</v>
      </c>
      <c r="AC2123" s="2" t="s">
        <v>100</v>
      </c>
      <c r="AD2123" s="4"/>
      <c r="AE2123" s="4"/>
      <c r="AF2123" s="6">
        <v>65</v>
      </c>
      <c r="AG2123" s="6"/>
      <c r="AH2123" s="7">
        <v>1</v>
      </c>
      <c r="AI2123" s="4"/>
      <c r="AJ2123" s="4">
        <f>=ROUNDDOWN({0},0)</f>
      </c>
      <c r="AK2123" s="5"/>
      <c r="AL2123" s="2" t="s">
        <v>100</v>
      </c>
      <c r="AM2123" s="4"/>
      <c r="AN2123" s="4"/>
      <c r="AO2123" s="7">
        <v>0</v>
      </c>
      <c r="AP2123" s="4"/>
      <c r="AQ2123" s="8"/>
      <c r="AR2123" s="4"/>
      <c r="AS2123" s="8"/>
      <c r="AT2123" s="7"/>
      <c r="AU2123" s="7"/>
      <c r="AV2123" s="4"/>
      <c r="AW2123" s="8"/>
      <c r="AX2123" s="4"/>
      <c r="AY2123" s="8"/>
      <c r="AZ2123" s="7"/>
      <c r="BA2123" s="7"/>
      <c r="BB2123" s="7"/>
      <c r="BC2123" s="4" t="s">
        <v>100</v>
      </c>
      <c r="BD2123" s="8" t="s">
        <v>100</v>
      </c>
      <c r="BE2123" s="4" t="s">
        <v>100</v>
      </c>
      <c r="BF2123" s="8" t="s">
        <v>100</v>
      </c>
      <c r="BG2123" s="7" t="s">
        <v>100</v>
      </c>
      <c r="BH2123" s="7" t="s">
        <v>100</v>
      </c>
      <c r="BI2123" s="7"/>
      <c r="BJ2123" s="4">
        <v>2</v>
      </c>
      <c r="BK2123" s="8">
        <v>54.6</v>
      </c>
      <c r="BL2123" s="2" t="s">
        <v>210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1338</v>
      </c>
      <c r="BV2123" s="2" t="s">
        <v>97</v>
      </c>
      <c r="BW2123" s="2" t="s">
        <v>100</v>
      </c>
      <c r="BX2123" s="2" t="s">
        <v>100</v>
      </c>
      <c r="BY2123" s="2" t="s">
        <v>112</v>
      </c>
      <c r="BZ2123" s="2" t="s">
        <v>100</v>
      </c>
    </row>
    <row r="2124">
      <c r="A2124" s="2" t="s">
        <v>6046</v>
      </c>
      <c r="B2124" s="2" t="s">
        <v>87</v>
      </c>
      <c r="C2124" s="2" t="s">
        <v>6019</v>
      </c>
      <c r="D2124" s="2" t="s">
        <v>4554</v>
      </c>
      <c r="E2124" s="2" t="s">
        <v>5940</v>
      </c>
      <c r="F2124" s="2" t="s">
        <v>6045</v>
      </c>
      <c r="G2124" s="2" t="s">
        <v>6045</v>
      </c>
      <c r="H2124" s="2" t="s">
        <v>6045</v>
      </c>
      <c r="I2124" s="2" t="s">
        <v>6008</v>
      </c>
      <c r="J2124" s="2" t="s">
        <v>4558</v>
      </c>
      <c r="K2124" s="2" t="s">
        <v>771</v>
      </c>
      <c r="L2124" s="3">
        <v>24.76</v>
      </c>
      <c r="M2124" s="3">
        <v>26</v>
      </c>
      <c r="N2124" s="3">
        <v>79.99</v>
      </c>
      <c r="O2124" s="2" t="s">
        <v>97</v>
      </c>
      <c r="P2124" s="2" t="s">
        <v>447</v>
      </c>
      <c r="Q2124" s="2" t="s">
        <v>99</v>
      </c>
      <c r="R2124" s="2" t="s">
        <v>100</v>
      </c>
      <c r="S2124" s="2" t="s">
        <v>100</v>
      </c>
      <c r="T2124" s="2" t="s">
        <v>100</v>
      </c>
      <c r="U2124" s="2" t="s">
        <v>100</v>
      </c>
      <c r="V2124" s="2" t="s">
        <v>663</v>
      </c>
      <c r="W2124" s="2" t="s">
        <v>104</v>
      </c>
      <c r="X2124" s="2" t="s">
        <v>100</v>
      </c>
      <c r="Y2124" s="2" t="s">
        <v>5194</v>
      </c>
      <c r="Z2124" s="4">
        <v>163</v>
      </c>
      <c r="AA2124" s="4">
        <f>=ROUNDDOWN(81.5,0)</f>
      </c>
      <c r="AB2124" s="5">
        <v>2</v>
      </c>
      <c r="AC2124" s="2" t="s">
        <v>100</v>
      </c>
      <c r="AD2124" s="4"/>
      <c r="AE2124" s="4"/>
      <c r="AF2124" s="6">
        <v>65</v>
      </c>
      <c r="AG2124" s="6"/>
      <c r="AH2124" s="7">
        <v>1</v>
      </c>
      <c r="AI2124" s="4"/>
      <c r="AJ2124" s="4">
        <f>=ROUNDDOWN({0},0)</f>
      </c>
      <c r="AK2124" s="5"/>
      <c r="AL2124" s="2" t="s">
        <v>100</v>
      </c>
      <c r="AM2124" s="4"/>
      <c r="AN2124" s="4"/>
      <c r="AO2124" s="7">
        <v>0</v>
      </c>
      <c r="AP2124" s="4"/>
      <c r="AQ2124" s="8"/>
      <c r="AR2124" s="4"/>
      <c r="AS2124" s="8"/>
      <c r="AT2124" s="7"/>
      <c r="AU2124" s="7"/>
      <c r="AV2124" s="4"/>
      <c r="AW2124" s="8"/>
      <c r="AX2124" s="4"/>
      <c r="AY2124" s="8"/>
      <c r="AZ2124" s="7"/>
      <c r="BA2124" s="7"/>
      <c r="BB2124" s="7"/>
      <c r="BC2124" s="4" t="s">
        <v>100</v>
      </c>
      <c r="BD2124" s="8" t="s">
        <v>100</v>
      </c>
      <c r="BE2124" s="4" t="s">
        <v>100</v>
      </c>
      <c r="BF2124" s="8" t="s">
        <v>100</v>
      </c>
      <c r="BG2124" s="7" t="s">
        <v>100</v>
      </c>
      <c r="BH2124" s="7" t="s">
        <v>100</v>
      </c>
      <c r="BI2124" s="7"/>
      <c r="BJ2124" s="4">
        <v>2</v>
      </c>
      <c r="BK2124" s="8">
        <v>54.6</v>
      </c>
      <c r="BL2124" s="2" t="s">
        <v>210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1338</v>
      </c>
      <c r="BV2124" s="2" t="s">
        <v>97</v>
      </c>
      <c r="BW2124" s="2" t="s">
        <v>100</v>
      </c>
      <c r="BX2124" s="2" t="s">
        <v>100</v>
      </c>
      <c r="BY2124" s="2" t="s">
        <v>112</v>
      </c>
      <c r="BZ2124" s="2" t="s">
        <v>100</v>
      </c>
    </row>
    <row r="2125">
      <c r="A2125" s="2" t="s">
        <v>6047</v>
      </c>
      <c r="B2125" s="2" t="s">
        <v>87</v>
      </c>
      <c r="C2125" s="2" t="s">
        <v>6048</v>
      </c>
      <c r="D2125" s="2" t="s">
        <v>89</v>
      </c>
      <c r="E2125" s="2" t="s">
        <v>90</v>
      </c>
      <c r="F2125" s="2" t="s">
        <v>6049</v>
      </c>
      <c r="G2125" s="2" t="s">
        <v>100</v>
      </c>
      <c r="H2125" s="2" t="s">
        <v>100</v>
      </c>
      <c r="I2125" s="2" t="s">
        <v>6050</v>
      </c>
      <c r="J2125" s="2" t="s">
        <v>114</v>
      </c>
      <c r="K2125" s="2" t="s">
        <v>763</v>
      </c>
      <c r="L2125" s="3">
        <v>186.9</v>
      </c>
      <c r="M2125" s="3">
        <v>196.24</v>
      </c>
      <c r="N2125" s="3">
        <v>534</v>
      </c>
      <c r="O2125" s="2" t="s">
        <v>97</v>
      </c>
      <c r="P2125" s="2" t="s">
        <v>383</v>
      </c>
      <c r="Q2125" s="2" t="s">
        <v>99</v>
      </c>
      <c r="R2125" s="2" t="s">
        <v>100</v>
      </c>
      <c r="S2125" s="2" t="s">
        <v>6051</v>
      </c>
      <c r="T2125" s="2" t="s">
        <v>100</v>
      </c>
      <c r="U2125" s="2" t="s">
        <v>343</v>
      </c>
      <c r="V2125" s="2" t="s">
        <v>284</v>
      </c>
      <c r="W2125" s="2" t="s">
        <v>244</v>
      </c>
      <c r="X2125" s="2" t="s">
        <v>3448</v>
      </c>
      <c r="Y2125" s="2" t="s">
        <v>131</v>
      </c>
      <c r="Z2125" s="4">
        <v>192</v>
      </c>
      <c r="AA2125" s="4">
        <f>=ROUNDDOWN(38.4,0)</f>
      </c>
      <c r="AB2125" s="5">
        <v>5</v>
      </c>
      <c r="AC2125" s="2" t="s">
        <v>860</v>
      </c>
      <c r="AD2125" s="4">
        <v>40</v>
      </c>
      <c r="AE2125" s="4">
        <v>40</v>
      </c>
      <c r="AF2125" s="6">
        <v>67</v>
      </c>
      <c r="AG2125" s="6"/>
      <c r="AH2125" s="7">
        <v>1</v>
      </c>
      <c r="AI2125" s="4"/>
      <c r="AJ2125" s="4">
        <f>=ROUNDDOWN({0},0)</f>
      </c>
      <c r="AK2125" s="5"/>
      <c r="AL2125" s="2" t="s">
        <v>100</v>
      </c>
      <c r="AM2125" s="4"/>
      <c r="AN2125" s="4"/>
      <c r="AO2125" s="7">
        <v>0</v>
      </c>
      <c r="AP2125" s="4"/>
      <c r="AQ2125" s="8"/>
      <c r="AR2125" s="4"/>
      <c r="AS2125" s="8"/>
      <c r="AT2125" s="7"/>
      <c r="AU2125" s="7"/>
      <c r="AV2125" s="4" t="s">
        <v>100</v>
      </c>
      <c r="AW2125" s="8" t="s">
        <v>100</v>
      </c>
      <c r="AX2125" s="4" t="s">
        <v>100</v>
      </c>
      <c r="AY2125" s="8" t="s">
        <v>100</v>
      </c>
      <c r="AZ2125" s="7" t="s">
        <v>100</v>
      </c>
      <c r="BA2125" s="7" t="s">
        <v>100</v>
      </c>
      <c r="BB2125" s="7"/>
      <c r="BC2125" s="4" t="s">
        <v>100</v>
      </c>
      <c r="BD2125" s="8" t="s">
        <v>100</v>
      </c>
      <c r="BE2125" s="4" t="s">
        <v>100</v>
      </c>
      <c r="BF2125" s="8" t="s">
        <v>100</v>
      </c>
      <c r="BG2125" s="7" t="s">
        <v>100</v>
      </c>
      <c r="BH2125" s="7" t="s">
        <v>100</v>
      </c>
      <c r="BI2125" s="7"/>
      <c r="BJ2125" s="4">
        <v>1</v>
      </c>
      <c r="BK2125" s="8">
        <v>131.42</v>
      </c>
      <c r="BL2125" s="2" t="s">
        <v>133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109</v>
      </c>
      <c r="BV2125" s="2" t="s">
        <v>97</v>
      </c>
      <c r="BW2125" s="2" t="s">
        <v>1248</v>
      </c>
      <c r="BX2125" s="2" t="s">
        <v>4584</v>
      </c>
      <c r="BY2125" s="2" t="s">
        <v>112</v>
      </c>
      <c r="BZ2125" s="2" t="s">
        <v>100</v>
      </c>
    </row>
    <row r="2126">
      <c r="A2126" s="2" t="s">
        <v>6052</v>
      </c>
      <c r="B2126" s="2" t="s">
        <v>87</v>
      </c>
      <c r="C2126" s="2" t="s">
        <v>6048</v>
      </c>
      <c r="D2126" s="2" t="s">
        <v>89</v>
      </c>
      <c r="E2126" s="2" t="s">
        <v>90</v>
      </c>
      <c r="F2126" s="2" t="s">
        <v>6049</v>
      </c>
      <c r="G2126" s="2" t="s">
        <v>100</v>
      </c>
      <c r="H2126" s="2" t="s">
        <v>100</v>
      </c>
      <c r="I2126" s="2" t="s">
        <v>6053</v>
      </c>
      <c r="J2126" s="2" t="s">
        <v>120</v>
      </c>
      <c r="K2126" s="2" t="s">
        <v>763</v>
      </c>
      <c r="L2126" s="3">
        <v>210</v>
      </c>
      <c r="M2126" s="3">
        <v>220.5</v>
      </c>
      <c r="N2126" s="3">
        <v>600</v>
      </c>
      <c r="O2126" s="2" t="s">
        <v>97</v>
      </c>
      <c r="P2126" s="2" t="s">
        <v>383</v>
      </c>
      <c r="Q2126" s="2" t="s">
        <v>99</v>
      </c>
      <c r="R2126" s="2" t="s">
        <v>100</v>
      </c>
      <c r="S2126" s="2" t="s">
        <v>6051</v>
      </c>
      <c r="T2126" s="2" t="s">
        <v>100</v>
      </c>
      <c r="U2126" s="2" t="s">
        <v>5763</v>
      </c>
      <c r="V2126" s="2" t="s">
        <v>284</v>
      </c>
      <c r="W2126" s="2" t="s">
        <v>244</v>
      </c>
      <c r="X2126" s="2" t="s">
        <v>3448</v>
      </c>
      <c r="Y2126" s="2" t="s">
        <v>959</v>
      </c>
      <c r="Z2126" s="4">
        <v>205</v>
      </c>
      <c r="AA2126" s="4">
        <f>=ROUNDDOWN(29.2857142857143,0)</f>
      </c>
      <c r="AB2126" s="5">
        <v>7</v>
      </c>
      <c r="AC2126" s="2" t="s">
        <v>860</v>
      </c>
      <c r="AD2126" s="4">
        <v>30</v>
      </c>
      <c r="AE2126" s="4">
        <v>30</v>
      </c>
      <c r="AF2126" s="6">
        <v>67</v>
      </c>
      <c r="AG2126" s="6"/>
      <c r="AH2126" s="7">
        <v>1</v>
      </c>
      <c r="AI2126" s="4"/>
      <c r="AJ2126" s="4">
        <f>=ROUNDDOWN({0},0)</f>
      </c>
      <c r="AK2126" s="5"/>
      <c r="AL2126" s="2" t="s">
        <v>100</v>
      </c>
      <c r="AM2126" s="4"/>
      <c r="AN2126" s="4"/>
      <c r="AO2126" s="7">
        <v>0</v>
      </c>
      <c r="AP2126" s="4"/>
      <c r="AQ2126" s="8"/>
      <c r="AR2126" s="4"/>
      <c r="AS2126" s="8"/>
      <c r="AT2126" s="7"/>
      <c r="AU2126" s="7"/>
      <c r="AV2126" s="4" t="s">
        <v>100</v>
      </c>
      <c r="AW2126" s="8" t="s">
        <v>100</v>
      </c>
      <c r="AX2126" s="4" t="s">
        <v>100</v>
      </c>
      <c r="AY2126" s="8" t="s">
        <v>100</v>
      </c>
      <c r="AZ2126" s="7" t="s">
        <v>100</v>
      </c>
      <c r="BA2126" s="7" t="s">
        <v>100</v>
      </c>
      <c r="BB2126" s="7"/>
      <c r="BC2126" s="4" t="s">
        <v>100</v>
      </c>
      <c r="BD2126" s="8" t="s">
        <v>100</v>
      </c>
      <c r="BE2126" s="4" t="s">
        <v>100</v>
      </c>
      <c r="BF2126" s="8" t="s">
        <v>100</v>
      </c>
      <c r="BG2126" s="7" t="s">
        <v>100</v>
      </c>
      <c r="BH2126" s="7" t="s">
        <v>100</v>
      </c>
      <c r="BI2126" s="7"/>
      <c r="BJ2126" s="4">
        <v>4</v>
      </c>
      <c r="BK2126" s="8">
        <v>843.61</v>
      </c>
      <c r="BL2126" s="2" t="s">
        <v>388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109</v>
      </c>
      <c r="BV2126" s="2" t="s">
        <v>97</v>
      </c>
      <c r="BW2126" s="2" t="s">
        <v>3940</v>
      </c>
      <c r="BX2126" s="2" t="s">
        <v>2158</v>
      </c>
      <c r="BY2126" s="2" t="s">
        <v>112</v>
      </c>
      <c r="BZ2126" s="2" t="s">
        <v>100</v>
      </c>
    </row>
    <row r="2127">
      <c r="A2127" s="2" t="s">
        <v>6054</v>
      </c>
      <c r="B2127" s="2" t="s">
        <v>87</v>
      </c>
      <c r="C2127" s="2" t="s">
        <v>6048</v>
      </c>
      <c r="D2127" s="2" t="s">
        <v>2230</v>
      </c>
      <c r="E2127" s="2" t="s">
        <v>3064</v>
      </c>
      <c r="F2127" s="2" t="s">
        <v>6055</v>
      </c>
      <c r="G2127" s="2" t="s">
        <v>6055</v>
      </c>
      <c r="H2127" s="2" t="s">
        <v>100</v>
      </c>
      <c r="I2127" s="2" t="s">
        <v>6056</v>
      </c>
      <c r="J2127" s="2" t="s">
        <v>114</v>
      </c>
      <c r="K2127" s="2" t="s">
        <v>5621</v>
      </c>
      <c r="L2127" s="3">
        <v>73.15</v>
      </c>
      <c r="M2127" s="3">
        <v>76.81</v>
      </c>
      <c r="N2127" s="3">
        <v>209</v>
      </c>
      <c r="O2127" s="2" t="s">
        <v>97</v>
      </c>
      <c r="P2127" s="2" t="s">
        <v>98</v>
      </c>
      <c r="Q2127" s="2" t="s">
        <v>99</v>
      </c>
      <c r="R2127" s="2" t="s">
        <v>100</v>
      </c>
      <c r="S2127" s="2" t="s">
        <v>6057</v>
      </c>
      <c r="T2127" s="2" t="s">
        <v>100</v>
      </c>
      <c r="U2127" s="2" t="s">
        <v>1508</v>
      </c>
      <c r="V2127" s="2" t="s">
        <v>645</v>
      </c>
      <c r="W2127" s="2" t="s">
        <v>104</v>
      </c>
      <c r="X2127" s="2" t="s">
        <v>499</v>
      </c>
      <c r="Y2127" s="2" t="s">
        <v>4168</v>
      </c>
      <c r="Z2127" s="4">
        <v>76</v>
      </c>
      <c r="AA2127" s="4">
        <f>=ROUNDDOWN(19,0)</f>
      </c>
      <c r="AB2127" s="5">
        <v>4</v>
      </c>
      <c r="AC2127" s="2" t="s">
        <v>100</v>
      </c>
      <c r="AD2127" s="4"/>
      <c r="AE2127" s="4"/>
      <c r="AF2127" s="6">
        <v>67</v>
      </c>
      <c r="AG2127" s="6"/>
      <c r="AH2127" s="7">
        <v>1</v>
      </c>
      <c r="AI2127" s="4"/>
      <c r="AJ2127" s="4">
        <f>=ROUNDDOWN({0},0)</f>
      </c>
      <c r="AK2127" s="5"/>
      <c r="AL2127" s="2" t="s">
        <v>100</v>
      </c>
      <c r="AM2127" s="4"/>
      <c r="AN2127" s="4"/>
      <c r="AO2127" s="7">
        <v>0</v>
      </c>
      <c r="AP2127" s="4"/>
      <c r="AQ2127" s="8"/>
      <c r="AR2127" s="4"/>
      <c r="AS2127" s="8"/>
      <c r="AT2127" s="7"/>
      <c r="AU2127" s="7"/>
      <c r="AV2127" s="4" t="s">
        <v>100</v>
      </c>
      <c r="AW2127" s="8" t="s">
        <v>100</v>
      </c>
      <c r="AX2127" s="4" t="s">
        <v>100</v>
      </c>
      <c r="AY2127" s="8" t="s">
        <v>100</v>
      </c>
      <c r="AZ2127" s="7" t="s">
        <v>100</v>
      </c>
      <c r="BA2127" s="7" t="s">
        <v>100</v>
      </c>
      <c r="BB2127" s="7"/>
      <c r="BC2127" s="4" t="s">
        <v>100</v>
      </c>
      <c r="BD2127" s="8" t="s">
        <v>100</v>
      </c>
      <c r="BE2127" s="4" t="s">
        <v>100</v>
      </c>
      <c r="BF2127" s="8" t="s">
        <v>100</v>
      </c>
      <c r="BG2127" s="7" t="s">
        <v>100</v>
      </c>
      <c r="BH2127" s="7" t="s">
        <v>100</v>
      </c>
      <c r="BI2127" s="7"/>
      <c r="BJ2127" s="4">
        <v>1</v>
      </c>
      <c r="BK2127" s="8">
        <v>76.81</v>
      </c>
      <c r="BL2127" s="2" t="s">
        <v>1882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109</v>
      </c>
      <c r="BV2127" s="2" t="s">
        <v>97</v>
      </c>
      <c r="BW2127" s="2" t="s">
        <v>6058</v>
      </c>
      <c r="BX2127" s="2" t="s">
        <v>6059</v>
      </c>
      <c r="BY2127" s="2" t="s">
        <v>112</v>
      </c>
      <c r="BZ2127" s="2" t="s">
        <v>100</v>
      </c>
    </row>
    <row r="2128">
      <c r="A2128" s="2" t="s">
        <v>6060</v>
      </c>
      <c r="B2128" s="2" t="s">
        <v>87</v>
      </c>
      <c r="C2128" s="2" t="s">
        <v>6048</v>
      </c>
      <c r="D2128" s="2" t="s">
        <v>2230</v>
      </c>
      <c r="E2128" s="2" t="s">
        <v>3064</v>
      </c>
      <c r="F2128" s="2" t="s">
        <v>6055</v>
      </c>
      <c r="G2128" s="2" t="s">
        <v>6055</v>
      </c>
      <c r="H2128" s="2" t="s">
        <v>100</v>
      </c>
      <c r="I2128" s="2" t="s">
        <v>6056</v>
      </c>
      <c r="J2128" s="2" t="s">
        <v>120</v>
      </c>
      <c r="K2128" s="2" t="s">
        <v>5621</v>
      </c>
      <c r="L2128" s="3">
        <v>90.65</v>
      </c>
      <c r="M2128" s="3">
        <v>95.18</v>
      </c>
      <c r="N2128" s="3">
        <v>259</v>
      </c>
      <c r="O2128" s="2" t="s">
        <v>97</v>
      </c>
      <c r="P2128" s="2" t="s">
        <v>98</v>
      </c>
      <c r="Q2128" s="2" t="s">
        <v>99</v>
      </c>
      <c r="R2128" s="2" t="s">
        <v>100</v>
      </c>
      <c r="S2128" s="2" t="s">
        <v>6057</v>
      </c>
      <c r="T2128" s="2" t="s">
        <v>100</v>
      </c>
      <c r="U2128" s="2" t="s">
        <v>1508</v>
      </c>
      <c r="V2128" s="2" t="s">
        <v>645</v>
      </c>
      <c r="W2128" s="2" t="s">
        <v>104</v>
      </c>
      <c r="X2128" s="2" t="s">
        <v>499</v>
      </c>
      <c r="Y2128" s="2" t="s">
        <v>131</v>
      </c>
      <c r="Z2128" s="4">
        <v>59</v>
      </c>
      <c r="AA2128" s="4">
        <f>=ROUNDDOWN(19.6666666666667,0)</f>
      </c>
      <c r="AB2128" s="5">
        <v>3</v>
      </c>
      <c r="AC2128" s="2" t="s">
        <v>100</v>
      </c>
      <c r="AD2128" s="4"/>
      <c r="AE2128" s="4"/>
      <c r="AF2128" s="6">
        <v>67</v>
      </c>
      <c r="AG2128" s="6"/>
      <c r="AH2128" s="7">
        <v>1</v>
      </c>
      <c r="AI2128" s="4"/>
      <c r="AJ2128" s="4">
        <f>=ROUNDDOWN({0},0)</f>
      </c>
      <c r="AK2128" s="5"/>
      <c r="AL2128" s="2" t="s">
        <v>100</v>
      </c>
      <c r="AM2128" s="4"/>
      <c r="AN2128" s="4"/>
      <c r="AO2128" s="7">
        <v>0</v>
      </c>
      <c r="AP2128" s="4"/>
      <c r="AQ2128" s="8"/>
      <c r="AR2128" s="4"/>
      <c r="AS2128" s="8"/>
      <c r="AT2128" s="7"/>
      <c r="AU2128" s="7"/>
      <c r="AV2128" s="4" t="s">
        <v>100</v>
      </c>
      <c r="AW2128" s="8" t="s">
        <v>100</v>
      </c>
      <c r="AX2128" s="4" t="s">
        <v>100</v>
      </c>
      <c r="AY2128" s="8" t="s">
        <v>100</v>
      </c>
      <c r="AZ2128" s="7" t="s">
        <v>100</v>
      </c>
      <c r="BA2128" s="7" t="s">
        <v>100</v>
      </c>
      <c r="BB2128" s="7"/>
      <c r="BC2128" s="4" t="s">
        <v>100</v>
      </c>
      <c r="BD2128" s="8" t="s">
        <v>100</v>
      </c>
      <c r="BE2128" s="4" t="s">
        <v>100</v>
      </c>
      <c r="BF2128" s="8" t="s">
        <v>100</v>
      </c>
      <c r="BG2128" s="7" t="s">
        <v>100</v>
      </c>
      <c r="BH2128" s="7" t="s">
        <v>100</v>
      </c>
      <c r="BI2128" s="7"/>
      <c r="BJ2128" s="4">
        <v>53</v>
      </c>
      <c r="BK2128" s="8">
        <v>5513.96</v>
      </c>
      <c r="BL2128" s="2" t="s">
        <v>6061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109</v>
      </c>
      <c r="BV2128" s="2" t="s">
        <v>97</v>
      </c>
      <c r="BW2128" s="2" t="s">
        <v>3940</v>
      </c>
      <c r="BX2128" s="2" t="s">
        <v>1311</v>
      </c>
      <c r="BY2128" s="2" t="s">
        <v>112</v>
      </c>
      <c r="BZ2128" s="2" t="s">
        <v>100</v>
      </c>
    </row>
    <row r="2129">
      <c r="A2129" s="2" t="s">
        <v>6062</v>
      </c>
      <c r="B2129" s="2" t="s">
        <v>87</v>
      </c>
      <c r="C2129" s="2" t="s">
        <v>6048</v>
      </c>
      <c r="D2129" s="2" t="s">
        <v>2230</v>
      </c>
      <c r="E2129" s="2" t="s">
        <v>3064</v>
      </c>
      <c r="F2129" s="2" t="s">
        <v>6055</v>
      </c>
      <c r="G2129" s="2" t="s">
        <v>6055</v>
      </c>
      <c r="H2129" s="2" t="s">
        <v>100</v>
      </c>
      <c r="I2129" s="2" t="s">
        <v>6056</v>
      </c>
      <c r="J2129" s="2" t="s">
        <v>114</v>
      </c>
      <c r="K2129" s="2" t="s">
        <v>6063</v>
      </c>
      <c r="L2129" s="3">
        <v>73.15</v>
      </c>
      <c r="M2129" s="3">
        <v>76.81</v>
      </c>
      <c r="N2129" s="3">
        <v>209</v>
      </c>
      <c r="O2129" s="2" t="s">
        <v>97</v>
      </c>
      <c r="P2129" s="2" t="s">
        <v>587</v>
      </c>
      <c r="Q2129" s="2" t="s">
        <v>99</v>
      </c>
      <c r="R2129" s="2" t="s">
        <v>100</v>
      </c>
      <c r="S2129" s="2" t="s">
        <v>6064</v>
      </c>
      <c r="T2129" s="2" t="s">
        <v>100</v>
      </c>
      <c r="U2129" s="2" t="s">
        <v>1508</v>
      </c>
      <c r="V2129" s="2" t="s">
        <v>645</v>
      </c>
      <c r="W2129" s="2" t="s">
        <v>104</v>
      </c>
      <c r="X2129" s="2" t="s">
        <v>499</v>
      </c>
      <c r="Y2129" s="2" t="s">
        <v>131</v>
      </c>
      <c r="Z2129" s="4">
        <v>104</v>
      </c>
      <c r="AA2129" s="4">
        <f>=ROUNDDOWN(34.6666666666667,0)</f>
      </c>
      <c r="AB2129" s="5">
        <v>3</v>
      </c>
      <c r="AC2129" s="2" t="s">
        <v>100</v>
      </c>
      <c r="AD2129" s="4"/>
      <c r="AE2129" s="4"/>
      <c r="AF2129" s="6">
        <v>67</v>
      </c>
      <c r="AG2129" s="6"/>
      <c r="AH2129" s="7">
        <v>1</v>
      </c>
      <c r="AI2129" s="4"/>
      <c r="AJ2129" s="4">
        <f>=ROUNDDOWN({0},0)</f>
      </c>
      <c r="AK2129" s="5"/>
      <c r="AL2129" s="2" t="s">
        <v>100</v>
      </c>
      <c r="AM2129" s="4"/>
      <c r="AN2129" s="4"/>
      <c r="AO2129" s="7">
        <v>0</v>
      </c>
      <c r="AP2129" s="4"/>
      <c r="AQ2129" s="8"/>
      <c r="AR2129" s="4"/>
      <c r="AS2129" s="8"/>
      <c r="AT2129" s="7"/>
      <c r="AU2129" s="7"/>
      <c r="AV2129" s="4" t="s">
        <v>100</v>
      </c>
      <c r="AW2129" s="8" t="s">
        <v>100</v>
      </c>
      <c r="AX2129" s="4" t="s">
        <v>100</v>
      </c>
      <c r="AY2129" s="8" t="s">
        <v>100</v>
      </c>
      <c r="AZ2129" s="7" t="s">
        <v>100</v>
      </c>
      <c r="BA2129" s="7" t="s">
        <v>100</v>
      </c>
      <c r="BB2129" s="7"/>
      <c r="BC2129" s="4" t="s">
        <v>100</v>
      </c>
      <c r="BD2129" s="8" t="s">
        <v>100</v>
      </c>
      <c r="BE2129" s="4" t="s">
        <v>100</v>
      </c>
      <c r="BF2129" s="8" t="s">
        <v>100</v>
      </c>
      <c r="BG2129" s="7" t="s">
        <v>100</v>
      </c>
      <c r="BH2129" s="7" t="s">
        <v>100</v>
      </c>
      <c r="BI2129" s="7"/>
      <c r="BJ2129" s="4">
        <v>5</v>
      </c>
      <c r="BK2129" s="8">
        <v>410.15</v>
      </c>
      <c r="BL2129" s="2" t="s">
        <v>1882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109</v>
      </c>
      <c r="BV2129" s="2" t="s">
        <v>97</v>
      </c>
      <c r="BW2129" s="2" t="s">
        <v>3940</v>
      </c>
      <c r="BX2129" s="2" t="s">
        <v>3941</v>
      </c>
      <c r="BY2129" s="2" t="s">
        <v>112</v>
      </c>
      <c r="BZ2129" s="2" t="s">
        <v>100</v>
      </c>
    </row>
    <row r="2130">
      <c r="A2130" s="2" t="s">
        <v>6065</v>
      </c>
      <c r="B2130" s="2" t="s">
        <v>87</v>
      </c>
      <c r="C2130" s="2" t="s">
        <v>6048</v>
      </c>
      <c r="D2130" s="2" t="s">
        <v>2230</v>
      </c>
      <c r="E2130" s="2" t="s">
        <v>3064</v>
      </c>
      <c r="F2130" s="2" t="s">
        <v>6055</v>
      </c>
      <c r="G2130" s="2" t="s">
        <v>6055</v>
      </c>
      <c r="H2130" s="2" t="s">
        <v>100</v>
      </c>
      <c r="I2130" s="2" t="s">
        <v>6056</v>
      </c>
      <c r="J2130" s="2" t="s">
        <v>120</v>
      </c>
      <c r="K2130" s="2" t="s">
        <v>6063</v>
      </c>
      <c r="L2130" s="3">
        <v>90.65</v>
      </c>
      <c r="M2130" s="3">
        <v>95.18</v>
      </c>
      <c r="N2130" s="3">
        <v>259</v>
      </c>
      <c r="O2130" s="2" t="s">
        <v>97</v>
      </c>
      <c r="P2130" s="2" t="s">
        <v>587</v>
      </c>
      <c r="Q2130" s="2" t="s">
        <v>99</v>
      </c>
      <c r="R2130" s="2" t="s">
        <v>100</v>
      </c>
      <c r="S2130" s="2" t="s">
        <v>6064</v>
      </c>
      <c r="T2130" s="2" t="s">
        <v>100</v>
      </c>
      <c r="U2130" s="2" t="s">
        <v>1508</v>
      </c>
      <c r="V2130" s="2" t="s">
        <v>645</v>
      </c>
      <c r="W2130" s="2" t="s">
        <v>104</v>
      </c>
      <c r="X2130" s="2" t="s">
        <v>499</v>
      </c>
      <c r="Y2130" s="2" t="s">
        <v>131</v>
      </c>
      <c r="Z2130" s="4">
        <v>85</v>
      </c>
      <c r="AA2130" s="4">
        <f>=ROUNDDOWN(21.25,0)</f>
      </c>
      <c r="AB2130" s="5">
        <v>4</v>
      </c>
      <c r="AC2130" s="2" t="s">
        <v>100</v>
      </c>
      <c r="AD2130" s="4"/>
      <c r="AE2130" s="4"/>
      <c r="AF2130" s="6">
        <v>67</v>
      </c>
      <c r="AG2130" s="6"/>
      <c r="AH2130" s="7">
        <v>1</v>
      </c>
      <c r="AI2130" s="4"/>
      <c r="AJ2130" s="4">
        <f>=ROUNDDOWN({0},0)</f>
      </c>
      <c r="AK2130" s="5"/>
      <c r="AL2130" s="2" t="s">
        <v>100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 t="s">
        <v>100</v>
      </c>
      <c r="AW2130" s="8" t="s">
        <v>100</v>
      </c>
      <c r="AX2130" s="4" t="s">
        <v>100</v>
      </c>
      <c r="AY2130" s="8" t="s">
        <v>100</v>
      </c>
      <c r="AZ2130" s="7" t="s">
        <v>100</v>
      </c>
      <c r="BA2130" s="7" t="s">
        <v>100</v>
      </c>
      <c r="BB2130" s="7"/>
      <c r="BC2130" s="4" t="s">
        <v>100</v>
      </c>
      <c r="BD2130" s="8" t="s">
        <v>100</v>
      </c>
      <c r="BE2130" s="4" t="s">
        <v>100</v>
      </c>
      <c r="BF2130" s="8" t="s">
        <v>100</v>
      </c>
      <c r="BG2130" s="7" t="s">
        <v>100</v>
      </c>
      <c r="BH2130" s="7" t="s">
        <v>100</v>
      </c>
      <c r="BI2130" s="7"/>
      <c r="BJ2130" s="4">
        <v>2</v>
      </c>
      <c r="BK2130" s="8">
        <v>197.97</v>
      </c>
      <c r="BL2130" s="2" t="s">
        <v>1882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109</v>
      </c>
      <c r="BV2130" s="2" t="s">
        <v>97</v>
      </c>
      <c r="BW2130" s="2" t="s">
        <v>5591</v>
      </c>
      <c r="BX2130" s="2" t="s">
        <v>6066</v>
      </c>
      <c r="BY2130" s="2" t="s">
        <v>112</v>
      </c>
      <c r="BZ2130" s="2" t="s">
        <v>100</v>
      </c>
    </row>
    <row r="2131">
      <c r="A2131" s="2" t="s">
        <v>6067</v>
      </c>
      <c r="B2131" s="2" t="s">
        <v>87</v>
      </c>
      <c r="C2131" s="2" t="s">
        <v>6048</v>
      </c>
      <c r="D2131" s="2" t="s">
        <v>2230</v>
      </c>
      <c r="E2131" s="2" t="s">
        <v>3064</v>
      </c>
      <c r="F2131" s="2" t="s">
        <v>6055</v>
      </c>
      <c r="G2131" s="2" t="s">
        <v>6055</v>
      </c>
      <c r="H2131" s="2" t="s">
        <v>6055</v>
      </c>
      <c r="I2131" s="2" t="s">
        <v>6056</v>
      </c>
      <c r="J2131" s="2" t="s">
        <v>114</v>
      </c>
      <c r="K2131" s="2" t="s">
        <v>175</v>
      </c>
      <c r="L2131" s="3">
        <v>73.15</v>
      </c>
      <c r="M2131" s="3">
        <v>76.81</v>
      </c>
      <c r="N2131" s="3">
        <v>209</v>
      </c>
      <c r="O2131" s="2" t="s">
        <v>97</v>
      </c>
      <c r="P2131" s="2" t="s">
        <v>98</v>
      </c>
      <c r="Q2131" s="2" t="s">
        <v>99</v>
      </c>
      <c r="R2131" s="2" t="s">
        <v>100</v>
      </c>
      <c r="S2131" s="2" t="s">
        <v>6068</v>
      </c>
      <c r="T2131" s="2" t="s">
        <v>100</v>
      </c>
      <c r="U2131" s="2" t="s">
        <v>1508</v>
      </c>
      <c r="V2131" s="2" t="s">
        <v>645</v>
      </c>
      <c r="W2131" s="2" t="s">
        <v>104</v>
      </c>
      <c r="X2131" s="2" t="s">
        <v>499</v>
      </c>
      <c r="Y2131" s="2" t="s">
        <v>131</v>
      </c>
      <c r="Z2131" s="4">
        <v>63</v>
      </c>
      <c r="AA2131" s="4">
        <f>=ROUNDDOWN(31.5,0)</f>
      </c>
      <c r="AB2131" s="5">
        <v>2</v>
      </c>
      <c r="AC2131" s="2" t="s">
        <v>615</v>
      </c>
      <c r="AD2131" s="4">
        <v>45</v>
      </c>
      <c r="AE2131" s="4">
        <v>45</v>
      </c>
      <c r="AF2131" s="6">
        <v>67</v>
      </c>
      <c r="AG2131" s="6"/>
      <c r="AH2131" s="7">
        <v>1</v>
      </c>
      <c r="AI2131" s="4"/>
      <c r="AJ2131" s="4">
        <f>=ROUNDDOWN({0},0)</f>
      </c>
      <c r="AK2131" s="5"/>
      <c r="AL2131" s="2" t="s">
        <v>100</v>
      </c>
      <c r="AM2131" s="4"/>
      <c r="AN2131" s="4"/>
      <c r="AO2131" s="7">
        <v>0</v>
      </c>
      <c r="AP2131" s="4"/>
      <c r="AQ2131" s="8"/>
      <c r="AR2131" s="4"/>
      <c r="AS2131" s="8"/>
      <c r="AT2131" s="7"/>
      <c r="AU2131" s="7"/>
      <c r="AV2131" s="4" t="s">
        <v>100</v>
      </c>
      <c r="AW2131" s="8" t="s">
        <v>100</v>
      </c>
      <c r="AX2131" s="4" t="s">
        <v>100</v>
      </c>
      <c r="AY2131" s="8" t="s">
        <v>100</v>
      </c>
      <c r="AZ2131" s="7" t="s">
        <v>100</v>
      </c>
      <c r="BA2131" s="7" t="s">
        <v>100</v>
      </c>
      <c r="BB2131" s="7"/>
      <c r="BC2131" s="4" t="s">
        <v>100</v>
      </c>
      <c r="BD2131" s="8" t="s">
        <v>100</v>
      </c>
      <c r="BE2131" s="4" t="s">
        <v>100</v>
      </c>
      <c r="BF2131" s="8" t="s">
        <v>100</v>
      </c>
      <c r="BG2131" s="7" t="s">
        <v>100</v>
      </c>
      <c r="BH2131" s="7" t="s">
        <v>100</v>
      </c>
      <c r="BI2131" s="7"/>
      <c r="BJ2131" s="4">
        <v>2</v>
      </c>
      <c r="BK2131" s="8">
        <v>157.46</v>
      </c>
      <c r="BL2131" s="2" t="s">
        <v>2863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109</v>
      </c>
      <c r="BV2131" s="2" t="s">
        <v>97</v>
      </c>
      <c r="BW2131" s="2" t="s">
        <v>3940</v>
      </c>
      <c r="BX2131" s="2" t="s">
        <v>6069</v>
      </c>
      <c r="BY2131" s="2" t="s">
        <v>112</v>
      </c>
      <c r="BZ2131" s="2" t="s">
        <v>100</v>
      </c>
    </row>
    <row r="2132">
      <c r="A2132" s="2" t="s">
        <v>6070</v>
      </c>
      <c r="B2132" s="2" t="s">
        <v>87</v>
      </c>
      <c r="C2132" s="2" t="s">
        <v>6048</v>
      </c>
      <c r="D2132" s="2" t="s">
        <v>2230</v>
      </c>
      <c r="E2132" s="2" t="s">
        <v>3064</v>
      </c>
      <c r="F2132" s="2" t="s">
        <v>6055</v>
      </c>
      <c r="G2132" s="2" t="s">
        <v>6055</v>
      </c>
      <c r="H2132" s="2" t="s">
        <v>6055</v>
      </c>
      <c r="I2132" s="2" t="s">
        <v>6056</v>
      </c>
      <c r="J2132" s="2" t="s">
        <v>120</v>
      </c>
      <c r="K2132" s="2" t="s">
        <v>175</v>
      </c>
      <c r="L2132" s="3">
        <v>90.65</v>
      </c>
      <c r="M2132" s="3">
        <v>95.18</v>
      </c>
      <c r="N2132" s="3">
        <v>259</v>
      </c>
      <c r="O2132" s="2" t="s">
        <v>97</v>
      </c>
      <c r="P2132" s="2" t="s">
        <v>98</v>
      </c>
      <c r="Q2132" s="2" t="s">
        <v>99</v>
      </c>
      <c r="R2132" s="2" t="s">
        <v>100</v>
      </c>
      <c r="S2132" s="2" t="s">
        <v>6068</v>
      </c>
      <c r="T2132" s="2" t="s">
        <v>100</v>
      </c>
      <c r="U2132" s="2" t="s">
        <v>1508</v>
      </c>
      <c r="V2132" s="2" t="s">
        <v>645</v>
      </c>
      <c r="W2132" s="2" t="s">
        <v>104</v>
      </c>
      <c r="X2132" s="2" t="s">
        <v>499</v>
      </c>
      <c r="Y2132" s="2" t="s">
        <v>131</v>
      </c>
      <c r="Z2132" s="4">
        <v>41</v>
      </c>
      <c r="AA2132" s="4">
        <f>=ROUNDDOWN(8.2,0)</f>
      </c>
      <c r="AB2132" s="5">
        <v>5</v>
      </c>
      <c r="AC2132" s="2" t="s">
        <v>615</v>
      </c>
      <c r="AD2132" s="4">
        <v>206</v>
      </c>
      <c r="AE2132" s="4">
        <v>206</v>
      </c>
      <c r="AF2132" s="6">
        <v>67</v>
      </c>
      <c r="AG2132" s="6"/>
      <c r="AH2132" s="7">
        <v>1</v>
      </c>
      <c r="AI2132" s="4"/>
      <c r="AJ2132" s="4">
        <f>=ROUNDDOWN({0},0)</f>
      </c>
      <c r="AK2132" s="5"/>
      <c r="AL2132" s="2" t="s">
        <v>100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100</v>
      </c>
      <c r="AW2132" s="8" t="s">
        <v>100</v>
      </c>
      <c r="AX2132" s="4" t="s">
        <v>100</v>
      </c>
      <c r="AY2132" s="8" t="s">
        <v>100</v>
      </c>
      <c r="AZ2132" s="7" t="s">
        <v>100</v>
      </c>
      <c r="BA2132" s="7" t="s">
        <v>100</v>
      </c>
      <c r="BB2132" s="7"/>
      <c r="BC2132" s="4" t="s">
        <v>100</v>
      </c>
      <c r="BD2132" s="8" t="s">
        <v>100</v>
      </c>
      <c r="BE2132" s="4" t="s">
        <v>100</v>
      </c>
      <c r="BF2132" s="8" t="s">
        <v>100</v>
      </c>
      <c r="BG2132" s="7" t="s">
        <v>100</v>
      </c>
      <c r="BH2132" s="7" t="s">
        <v>100</v>
      </c>
      <c r="BI2132" s="7"/>
      <c r="BJ2132" s="4">
        <v>4</v>
      </c>
      <c r="BK2132" s="8">
        <v>332.72</v>
      </c>
      <c r="BL2132" s="2" t="s">
        <v>3530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109</v>
      </c>
      <c r="BV2132" s="2" t="s">
        <v>97</v>
      </c>
      <c r="BW2132" s="2" t="s">
        <v>3940</v>
      </c>
      <c r="BX2132" s="2" t="s">
        <v>106</v>
      </c>
      <c r="BY2132" s="2" t="s">
        <v>112</v>
      </c>
      <c r="BZ2132" s="2" t="s">
        <v>100</v>
      </c>
    </row>
    <row r="2133">
      <c r="A2133" s="2" t="s">
        <v>6071</v>
      </c>
      <c r="B2133" s="2" t="s">
        <v>87</v>
      </c>
      <c r="C2133" s="2" t="s">
        <v>6048</v>
      </c>
      <c r="D2133" s="2" t="s">
        <v>6072</v>
      </c>
      <c r="E2133" s="2" t="s">
        <v>6073</v>
      </c>
      <c r="F2133" s="2" t="s">
        <v>6049</v>
      </c>
      <c r="G2133" s="2" t="s">
        <v>6049</v>
      </c>
      <c r="H2133" s="2" t="s">
        <v>6049</v>
      </c>
      <c r="I2133" s="2" t="s">
        <v>6074</v>
      </c>
      <c r="J2133" s="2" t="s">
        <v>6075</v>
      </c>
      <c r="K2133" s="2" t="s">
        <v>763</v>
      </c>
      <c r="L2133" s="3">
        <v>19.25</v>
      </c>
      <c r="M2133" s="3">
        <v>20.21</v>
      </c>
      <c r="N2133" s="3">
        <v>54.99</v>
      </c>
      <c r="O2133" s="2" t="s">
        <v>97</v>
      </c>
      <c r="P2133" s="2" t="s">
        <v>98</v>
      </c>
      <c r="Q2133" s="2" t="s">
        <v>99</v>
      </c>
      <c r="R2133" s="2" t="s">
        <v>100</v>
      </c>
      <c r="S2133" s="2" t="s">
        <v>6051</v>
      </c>
      <c r="T2133" s="2" t="s">
        <v>100</v>
      </c>
      <c r="U2133" s="2" t="s">
        <v>100</v>
      </c>
      <c r="V2133" s="2" t="s">
        <v>284</v>
      </c>
      <c r="W2133" s="2" t="s">
        <v>244</v>
      </c>
      <c r="X2133" s="2" t="s">
        <v>100</v>
      </c>
      <c r="Y2133" s="2" t="s">
        <v>6076</v>
      </c>
      <c r="Z2133" s="4">
        <v>419</v>
      </c>
      <c r="AA2133" s="4">
        <f>=ROUNDDOWN(69.8333333333333,0)</f>
      </c>
      <c r="AB2133" s="5">
        <v>6</v>
      </c>
      <c r="AC2133" s="2" t="s">
        <v>100</v>
      </c>
      <c r="AD2133" s="4"/>
      <c r="AE2133" s="4"/>
      <c r="AF2133" s="6">
        <v>67</v>
      </c>
      <c r="AG2133" s="6"/>
      <c r="AH2133" s="7">
        <v>1</v>
      </c>
      <c r="AI2133" s="4"/>
      <c r="AJ2133" s="4">
        <f>=ROUNDDOWN({0},0)</f>
      </c>
      <c r="AK2133" s="5"/>
      <c r="AL2133" s="2" t="s">
        <v>100</v>
      </c>
      <c r="AM2133" s="4"/>
      <c r="AN2133" s="4"/>
      <c r="AO2133" s="7">
        <v>0</v>
      </c>
      <c r="AP2133" s="4"/>
      <c r="AQ2133" s="8"/>
      <c r="AR2133" s="4"/>
      <c r="AS2133" s="8"/>
      <c r="AT2133" s="7"/>
      <c r="AU2133" s="7"/>
      <c r="AV2133" s="4"/>
      <c r="AW2133" s="8"/>
      <c r="AX2133" s="4"/>
      <c r="AY2133" s="8"/>
      <c r="AZ2133" s="7"/>
      <c r="BA2133" s="7"/>
      <c r="BB2133" s="7"/>
      <c r="BC2133" s="4"/>
      <c r="BD2133" s="8"/>
      <c r="BE2133" s="4"/>
      <c r="BF2133" s="8"/>
      <c r="BG2133" s="7"/>
      <c r="BH2133" s="7"/>
      <c r="BI2133" s="7"/>
      <c r="BJ2133" s="4">
        <v>2</v>
      </c>
      <c r="BK2133" s="8">
        <v>42.44</v>
      </c>
      <c r="BL2133" s="2" t="s">
        <v>210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109</v>
      </c>
      <c r="BV2133" s="2" t="s">
        <v>97</v>
      </c>
      <c r="BW2133" s="2" t="s">
        <v>137</v>
      </c>
      <c r="BX2133" s="2" t="s">
        <v>4496</v>
      </c>
      <c r="BY2133" s="2" t="s">
        <v>112</v>
      </c>
      <c r="BZ2133" s="2" t="s">
        <v>100</v>
      </c>
    </row>
    <row r="2134">
      <c r="A2134" s="2" t="s">
        <v>6077</v>
      </c>
      <c r="B2134" s="2" t="s">
        <v>87</v>
      </c>
      <c r="C2134" s="2" t="s">
        <v>6048</v>
      </c>
      <c r="D2134" s="2" t="s">
        <v>6078</v>
      </c>
      <c r="E2134" s="2" t="s">
        <v>6079</v>
      </c>
      <c r="F2134" s="2" t="s">
        <v>6049</v>
      </c>
      <c r="G2134" s="2" t="s">
        <v>6049</v>
      </c>
      <c r="H2134" s="2" t="s">
        <v>6049</v>
      </c>
      <c r="I2134" s="2" t="s">
        <v>6080</v>
      </c>
      <c r="J2134" s="2" t="s">
        <v>6081</v>
      </c>
      <c r="K2134" s="2" t="s">
        <v>763</v>
      </c>
      <c r="L2134" s="3">
        <v>43.75</v>
      </c>
      <c r="M2134" s="3">
        <v>45.93</v>
      </c>
      <c r="N2134" s="3">
        <v>124.99</v>
      </c>
      <c r="O2134" s="2" t="s">
        <v>97</v>
      </c>
      <c r="P2134" s="2" t="s">
        <v>98</v>
      </c>
      <c r="Q2134" s="2" t="s">
        <v>99</v>
      </c>
      <c r="R2134" s="2" t="s">
        <v>100</v>
      </c>
      <c r="S2134" s="2" t="s">
        <v>6051</v>
      </c>
      <c r="T2134" s="2" t="s">
        <v>100</v>
      </c>
      <c r="U2134" s="2" t="s">
        <v>100</v>
      </c>
      <c r="V2134" s="2" t="s">
        <v>284</v>
      </c>
      <c r="W2134" s="2" t="s">
        <v>244</v>
      </c>
      <c r="X2134" s="2" t="s">
        <v>100</v>
      </c>
      <c r="Y2134" s="2" t="s">
        <v>6076</v>
      </c>
      <c r="Z2134" s="4">
        <v>155</v>
      </c>
      <c r="AA2134" s="4">
        <f>=ROUNDDOWN(51.6666666666667,0)</f>
      </c>
      <c r="AB2134" s="5">
        <v>3</v>
      </c>
      <c r="AC2134" s="2" t="s">
        <v>100</v>
      </c>
      <c r="AD2134" s="4"/>
      <c r="AE2134" s="4"/>
      <c r="AF2134" s="6">
        <v>67</v>
      </c>
      <c r="AG2134" s="6"/>
      <c r="AH2134" s="7">
        <v>1</v>
      </c>
      <c r="AI2134" s="4"/>
      <c r="AJ2134" s="4">
        <f>=ROUNDDOWN({0},0)</f>
      </c>
      <c r="AK2134" s="5"/>
      <c r="AL2134" s="2" t="s">
        <v>100</v>
      </c>
      <c r="AM2134" s="4"/>
      <c r="AN2134" s="4"/>
      <c r="AO2134" s="7">
        <v>0</v>
      </c>
      <c r="AP2134" s="4"/>
      <c r="AQ2134" s="8"/>
      <c r="AR2134" s="4"/>
      <c r="AS2134" s="8"/>
      <c r="AT2134" s="7"/>
      <c r="AU2134" s="7"/>
      <c r="AV2134" s="4" t="s">
        <v>100</v>
      </c>
      <c r="AW2134" s="8" t="s">
        <v>100</v>
      </c>
      <c r="AX2134" s="4" t="s">
        <v>100</v>
      </c>
      <c r="AY2134" s="8" t="s">
        <v>100</v>
      </c>
      <c r="AZ2134" s="7" t="s">
        <v>100</v>
      </c>
      <c r="BA2134" s="7" t="s">
        <v>100</v>
      </c>
      <c r="BB2134" s="7"/>
      <c r="BC2134" s="4" t="s">
        <v>100</v>
      </c>
      <c r="BD2134" s="8" t="s">
        <v>100</v>
      </c>
      <c r="BE2134" s="4" t="s">
        <v>100</v>
      </c>
      <c r="BF2134" s="8" t="s">
        <v>100</v>
      </c>
      <c r="BG2134" s="7" t="s">
        <v>100</v>
      </c>
      <c r="BH2134" s="7" t="s">
        <v>100</v>
      </c>
      <c r="BI2134" s="7"/>
      <c r="BJ2134" s="4"/>
      <c r="BK2134" s="8"/>
      <c r="BL2134" s="2" t="s">
        <v>100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109</v>
      </c>
      <c r="BV2134" s="2" t="s">
        <v>97</v>
      </c>
      <c r="BW2134" s="2" t="s">
        <v>137</v>
      </c>
      <c r="BX2134" s="2" t="s">
        <v>6082</v>
      </c>
      <c r="BY2134" s="2" t="s">
        <v>112</v>
      </c>
      <c r="BZ2134" s="2" t="s">
        <v>100</v>
      </c>
    </row>
    <row r="2135">
      <c r="A2135" s="2" t="s">
        <v>6083</v>
      </c>
      <c r="B2135" s="2" t="s">
        <v>87</v>
      </c>
      <c r="C2135" s="2" t="s">
        <v>6048</v>
      </c>
      <c r="D2135" s="2" t="s">
        <v>6078</v>
      </c>
      <c r="E2135" s="2" t="s">
        <v>6079</v>
      </c>
      <c r="F2135" s="2" t="s">
        <v>6049</v>
      </c>
      <c r="G2135" s="2" t="s">
        <v>6049</v>
      </c>
      <c r="H2135" s="2" t="s">
        <v>6049</v>
      </c>
      <c r="I2135" s="2" t="s">
        <v>6080</v>
      </c>
      <c r="J2135" s="2" t="s">
        <v>6084</v>
      </c>
      <c r="K2135" s="2" t="s">
        <v>763</v>
      </c>
      <c r="L2135" s="3">
        <v>47.25</v>
      </c>
      <c r="M2135" s="3">
        <v>49.61</v>
      </c>
      <c r="N2135" s="3">
        <v>134.99</v>
      </c>
      <c r="O2135" s="2" t="s">
        <v>473</v>
      </c>
      <c r="P2135" s="2" t="s">
        <v>447</v>
      </c>
      <c r="Q2135" s="2" t="s">
        <v>99</v>
      </c>
      <c r="R2135" s="2" t="s">
        <v>100</v>
      </c>
      <c r="S2135" s="2" t="s">
        <v>6051</v>
      </c>
      <c r="T2135" s="2" t="s">
        <v>100</v>
      </c>
      <c r="U2135" s="2" t="s">
        <v>100</v>
      </c>
      <c r="V2135" s="2" t="s">
        <v>284</v>
      </c>
      <c r="W2135" s="2" t="s">
        <v>244</v>
      </c>
      <c r="X2135" s="2" t="s">
        <v>100</v>
      </c>
      <c r="Y2135" s="2" t="s">
        <v>131</v>
      </c>
      <c r="Z2135" s="4">
        <v>39</v>
      </c>
      <c r="AA2135" s="4">
        <f>=ROUNDDOWN(13,0)</f>
      </c>
      <c r="AB2135" s="5">
        <v>3</v>
      </c>
      <c r="AC2135" s="2" t="s">
        <v>100</v>
      </c>
      <c r="AD2135" s="4"/>
      <c r="AE2135" s="4"/>
      <c r="AF2135" s="6">
        <v>67</v>
      </c>
      <c r="AG2135" s="6"/>
      <c r="AH2135" s="7">
        <v>1</v>
      </c>
      <c r="AI2135" s="4"/>
      <c r="AJ2135" s="4">
        <f>=ROUNDDOWN({0},0)</f>
      </c>
      <c r="AK2135" s="5"/>
      <c r="AL2135" s="2" t="s">
        <v>100</v>
      </c>
      <c r="AM2135" s="4"/>
      <c r="AN2135" s="4"/>
      <c r="AO2135" s="7">
        <v>0</v>
      </c>
      <c r="AP2135" s="4"/>
      <c r="AQ2135" s="8"/>
      <c r="AR2135" s="4"/>
      <c r="AS2135" s="8"/>
      <c r="AT2135" s="7"/>
      <c r="AU2135" s="7"/>
      <c r="AV2135" s="4" t="s">
        <v>100</v>
      </c>
      <c r="AW2135" s="8" t="s">
        <v>100</v>
      </c>
      <c r="AX2135" s="4" t="s">
        <v>100</v>
      </c>
      <c r="AY2135" s="8" t="s">
        <v>100</v>
      </c>
      <c r="AZ2135" s="7" t="s">
        <v>100</v>
      </c>
      <c r="BA2135" s="7" t="s">
        <v>100</v>
      </c>
      <c r="BB2135" s="7"/>
      <c r="BC2135" s="4" t="s">
        <v>100</v>
      </c>
      <c r="BD2135" s="8" t="s">
        <v>100</v>
      </c>
      <c r="BE2135" s="4" t="s">
        <v>100</v>
      </c>
      <c r="BF2135" s="8" t="s">
        <v>100</v>
      </c>
      <c r="BG2135" s="7" t="s">
        <v>100</v>
      </c>
      <c r="BH2135" s="7" t="s">
        <v>100</v>
      </c>
      <c r="BI2135" s="7"/>
      <c r="BJ2135" s="4"/>
      <c r="BK2135" s="8"/>
      <c r="BL2135" s="2" t="s">
        <v>100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109</v>
      </c>
      <c r="BV2135" s="2" t="s">
        <v>97</v>
      </c>
      <c r="BW2135" s="2" t="s">
        <v>137</v>
      </c>
      <c r="BX2135" s="2" t="s">
        <v>5221</v>
      </c>
      <c r="BY2135" s="2" t="s">
        <v>112</v>
      </c>
      <c r="BZ2135" s="2" t="s">
        <v>100</v>
      </c>
    </row>
    <row r="2136">
      <c r="A2136" s="2" t="s">
        <v>6085</v>
      </c>
      <c r="B2136" s="2" t="s">
        <v>87</v>
      </c>
      <c r="C2136" s="2" t="s">
        <v>6086</v>
      </c>
      <c r="D2136" s="2" t="s">
        <v>89</v>
      </c>
      <c r="E2136" s="2" t="s">
        <v>90</v>
      </c>
      <c r="F2136" s="2" t="s">
        <v>6087</v>
      </c>
      <c r="G2136" s="2" t="s">
        <v>6088</v>
      </c>
      <c r="H2136" s="2" t="s">
        <v>6089</v>
      </c>
      <c r="I2136" s="2" t="s">
        <v>5259</v>
      </c>
      <c r="J2136" s="2" t="s">
        <v>785</v>
      </c>
      <c r="K2136" s="2" t="s">
        <v>253</v>
      </c>
      <c r="L2136" s="3">
        <v>54.99</v>
      </c>
      <c r="M2136" s="3">
        <v>57.74</v>
      </c>
      <c r="N2136" s="3">
        <v>109.99</v>
      </c>
      <c r="O2136" s="2" t="s">
        <v>97</v>
      </c>
      <c r="P2136" s="2" t="s">
        <v>98</v>
      </c>
      <c r="Q2136" s="2" t="s">
        <v>99</v>
      </c>
      <c r="R2136" s="2" t="s">
        <v>100</v>
      </c>
      <c r="S2136" s="2" t="s">
        <v>6090</v>
      </c>
      <c r="T2136" s="2" t="s">
        <v>100</v>
      </c>
      <c r="U2136" s="2" t="s">
        <v>644</v>
      </c>
      <c r="V2136" s="2" t="s">
        <v>632</v>
      </c>
      <c r="W2136" s="2" t="s">
        <v>104</v>
      </c>
      <c r="X2136" s="2" t="s">
        <v>6091</v>
      </c>
      <c r="Y2136" s="2" t="s">
        <v>131</v>
      </c>
      <c r="Z2136" s="4">
        <v>156</v>
      </c>
      <c r="AA2136" s="4">
        <f>=ROUNDDOWN(26,0)</f>
      </c>
      <c r="AB2136" s="5">
        <v>6</v>
      </c>
      <c r="AC2136" s="2" t="s">
        <v>1372</v>
      </c>
      <c r="AD2136" s="4">
        <v>60</v>
      </c>
      <c r="AE2136" s="4">
        <v>60</v>
      </c>
      <c r="AF2136" s="6">
        <v>65</v>
      </c>
      <c r="AG2136" s="6"/>
      <c r="AH2136" s="7">
        <v>1</v>
      </c>
      <c r="AI2136" s="4"/>
      <c r="AJ2136" s="4">
        <f>=ROUNDDOWN({0},0)</f>
      </c>
      <c r="AK2136" s="5"/>
      <c r="AL2136" s="2" t="s">
        <v>100</v>
      </c>
      <c r="AM2136" s="4"/>
      <c r="AN2136" s="4"/>
      <c r="AO2136" s="7">
        <v>0</v>
      </c>
      <c r="AP2136" s="4"/>
      <c r="AQ2136" s="8"/>
      <c r="AR2136" s="4"/>
      <c r="AS2136" s="8"/>
      <c r="AT2136" s="7"/>
      <c r="AU2136" s="7"/>
      <c r="AV2136" s="4" t="s">
        <v>100</v>
      </c>
      <c r="AW2136" s="8" t="s">
        <v>100</v>
      </c>
      <c r="AX2136" s="4" t="s">
        <v>100</v>
      </c>
      <c r="AY2136" s="8" t="s">
        <v>100</v>
      </c>
      <c r="AZ2136" s="7" t="s">
        <v>100</v>
      </c>
      <c r="BA2136" s="7" t="s">
        <v>100</v>
      </c>
      <c r="BB2136" s="7"/>
      <c r="BC2136" s="4" t="s">
        <v>100</v>
      </c>
      <c r="BD2136" s="8" t="s">
        <v>100</v>
      </c>
      <c r="BE2136" s="4" t="s">
        <v>100</v>
      </c>
      <c r="BF2136" s="8" t="s">
        <v>100</v>
      </c>
      <c r="BG2136" s="7" t="s">
        <v>100</v>
      </c>
      <c r="BH2136" s="7" t="s">
        <v>100</v>
      </c>
      <c r="BI2136" s="7"/>
      <c r="BJ2136" s="4">
        <v>2</v>
      </c>
      <c r="BK2136" s="8">
        <v>111.8</v>
      </c>
      <c r="BL2136" s="2" t="s">
        <v>210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109</v>
      </c>
      <c r="BV2136" s="2" t="s">
        <v>97</v>
      </c>
      <c r="BW2136" s="2" t="s">
        <v>3420</v>
      </c>
      <c r="BX2136" s="2" t="s">
        <v>3293</v>
      </c>
      <c r="BY2136" s="2" t="s">
        <v>112</v>
      </c>
      <c r="BZ2136" s="2" t="s">
        <v>100</v>
      </c>
    </row>
    <row r="2137">
      <c r="A2137" s="2" t="s">
        <v>6092</v>
      </c>
      <c r="B2137" s="2" t="s">
        <v>87</v>
      </c>
      <c r="C2137" s="2" t="s">
        <v>6086</v>
      </c>
      <c r="D2137" s="2" t="s">
        <v>89</v>
      </c>
      <c r="E2137" s="2" t="s">
        <v>90</v>
      </c>
      <c r="F2137" s="2" t="s">
        <v>6087</v>
      </c>
      <c r="G2137" s="2" t="s">
        <v>6088</v>
      </c>
      <c r="H2137" s="2" t="s">
        <v>6089</v>
      </c>
      <c r="I2137" s="2" t="s">
        <v>5259</v>
      </c>
      <c r="J2137" s="2" t="s">
        <v>795</v>
      </c>
      <c r="K2137" s="2" t="s">
        <v>253</v>
      </c>
      <c r="L2137" s="3">
        <v>59.99</v>
      </c>
      <c r="M2137" s="3">
        <v>62.99</v>
      </c>
      <c r="N2137" s="3">
        <v>119.99</v>
      </c>
      <c r="O2137" s="2" t="s">
        <v>97</v>
      </c>
      <c r="P2137" s="2" t="s">
        <v>98</v>
      </c>
      <c r="Q2137" s="2" t="s">
        <v>99</v>
      </c>
      <c r="R2137" s="2" t="s">
        <v>100</v>
      </c>
      <c r="S2137" s="2" t="s">
        <v>6090</v>
      </c>
      <c r="T2137" s="2" t="s">
        <v>100</v>
      </c>
      <c r="U2137" s="2" t="s">
        <v>644</v>
      </c>
      <c r="V2137" s="2" t="s">
        <v>632</v>
      </c>
      <c r="W2137" s="2" t="s">
        <v>104</v>
      </c>
      <c r="X2137" s="2" t="s">
        <v>6091</v>
      </c>
      <c r="Y2137" s="2" t="s">
        <v>131</v>
      </c>
      <c r="Z2137" s="4">
        <v>392</v>
      </c>
      <c r="AA2137" s="4">
        <f>=ROUNDDOWN(35.6363636363636,0)</f>
      </c>
      <c r="AB2137" s="5">
        <v>11</v>
      </c>
      <c r="AC2137" s="2" t="s">
        <v>1372</v>
      </c>
      <c r="AD2137" s="4">
        <v>120</v>
      </c>
      <c r="AE2137" s="4">
        <v>120</v>
      </c>
      <c r="AF2137" s="6">
        <v>65</v>
      </c>
      <c r="AG2137" s="6"/>
      <c r="AH2137" s="7">
        <v>1</v>
      </c>
      <c r="AI2137" s="4"/>
      <c r="AJ2137" s="4">
        <f>=ROUNDDOWN({0},0)</f>
      </c>
      <c r="AK2137" s="5"/>
      <c r="AL2137" s="2" t="s">
        <v>100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 t="s">
        <v>100</v>
      </c>
      <c r="AW2137" s="8" t="s">
        <v>100</v>
      </c>
      <c r="AX2137" s="4" t="s">
        <v>100</v>
      </c>
      <c r="AY2137" s="8" t="s">
        <v>100</v>
      </c>
      <c r="AZ2137" s="7" t="s">
        <v>100</v>
      </c>
      <c r="BA2137" s="7" t="s">
        <v>100</v>
      </c>
      <c r="BB2137" s="7"/>
      <c r="BC2137" s="4" t="s">
        <v>100</v>
      </c>
      <c r="BD2137" s="8" t="s">
        <v>100</v>
      </c>
      <c r="BE2137" s="4" t="s">
        <v>100</v>
      </c>
      <c r="BF2137" s="8" t="s">
        <v>100</v>
      </c>
      <c r="BG2137" s="7" t="s">
        <v>100</v>
      </c>
      <c r="BH2137" s="7" t="s">
        <v>100</v>
      </c>
      <c r="BI2137" s="7"/>
      <c r="BJ2137" s="4">
        <v>6</v>
      </c>
      <c r="BK2137" s="8">
        <v>385.35</v>
      </c>
      <c r="BL2137" s="2" t="s">
        <v>3265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109</v>
      </c>
      <c r="BV2137" s="2" t="s">
        <v>97</v>
      </c>
      <c r="BW2137" s="2" t="s">
        <v>3420</v>
      </c>
      <c r="BX2137" s="2" t="s">
        <v>3293</v>
      </c>
      <c r="BY2137" s="2" t="s">
        <v>112</v>
      </c>
      <c r="BZ2137" s="2" t="s">
        <v>100</v>
      </c>
    </row>
    <row r="2138">
      <c r="A2138" s="2" t="s">
        <v>6093</v>
      </c>
      <c r="B2138" s="2" t="s">
        <v>87</v>
      </c>
      <c r="C2138" s="2" t="s">
        <v>6086</v>
      </c>
      <c r="D2138" s="2" t="s">
        <v>2230</v>
      </c>
      <c r="E2138" s="2" t="s">
        <v>2393</v>
      </c>
      <c r="F2138" s="2" t="s">
        <v>6087</v>
      </c>
      <c r="G2138" s="2" t="s">
        <v>6088</v>
      </c>
      <c r="H2138" s="2" t="s">
        <v>6089</v>
      </c>
      <c r="I2138" s="2" t="s">
        <v>6094</v>
      </c>
      <c r="J2138" s="2" t="s">
        <v>785</v>
      </c>
      <c r="K2138" s="2" t="s">
        <v>253</v>
      </c>
      <c r="L2138" s="3">
        <v>54.99</v>
      </c>
      <c r="M2138" s="3">
        <v>57.74</v>
      </c>
      <c r="N2138" s="3">
        <v>109.99</v>
      </c>
      <c r="O2138" s="2" t="s">
        <v>97</v>
      </c>
      <c r="P2138" s="2" t="s">
        <v>98</v>
      </c>
      <c r="Q2138" s="2" t="s">
        <v>99</v>
      </c>
      <c r="R2138" s="2" t="s">
        <v>100</v>
      </c>
      <c r="S2138" s="2" t="s">
        <v>6090</v>
      </c>
      <c r="T2138" s="2" t="s">
        <v>100</v>
      </c>
      <c r="U2138" s="2" t="s">
        <v>1459</v>
      </c>
      <c r="V2138" s="2" t="s">
        <v>632</v>
      </c>
      <c r="W2138" s="2" t="s">
        <v>104</v>
      </c>
      <c r="X2138" s="2" t="s">
        <v>6091</v>
      </c>
      <c r="Y2138" s="2" t="s">
        <v>131</v>
      </c>
      <c r="Z2138" s="4">
        <v>335</v>
      </c>
      <c r="AA2138" s="4">
        <f>=ROUNDDOWN(23.9285714285714,0)</f>
      </c>
      <c r="AB2138" s="5">
        <v>14</v>
      </c>
      <c r="AC2138" s="2" t="s">
        <v>1372</v>
      </c>
      <c r="AD2138" s="4">
        <v>110</v>
      </c>
      <c r="AE2138" s="4">
        <v>110</v>
      </c>
      <c r="AF2138" s="6">
        <v>65</v>
      </c>
      <c r="AG2138" s="6"/>
      <c r="AH2138" s="7">
        <v>1</v>
      </c>
      <c r="AI2138" s="4"/>
      <c r="AJ2138" s="4">
        <f>=ROUNDDOWN({0},0)</f>
      </c>
      <c r="AK2138" s="5"/>
      <c r="AL2138" s="2" t="s">
        <v>100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100</v>
      </c>
      <c r="AW2138" s="8" t="s">
        <v>100</v>
      </c>
      <c r="AX2138" s="4" t="s">
        <v>100</v>
      </c>
      <c r="AY2138" s="8" t="s">
        <v>100</v>
      </c>
      <c r="AZ2138" s="7" t="s">
        <v>100</v>
      </c>
      <c r="BA2138" s="7" t="s">
        <v>100</v>
      </c>
      <c r="BB2138" s="7"/>
      <c r="BC2138" s="4" t="s">
        <v>100</v>
      </c>
      <c r="BD2138" s="8" t="s">
        <v>100</v>
      </c>
      <c r="BE2138" s="4" t="s">
        <v>100</v>
      </c>
      <c r="BF2138" s="8" t="s">
        <v>100</v>
      </c>
      <c r="BG2138" s="7" t="s">
        <v>100</v>
      </c>
      <c r="BH2138" s="7" t="s">
        <v>100</v>
      </c>
      <c r="BI2138" s="7"/>
      <c r="BJ2138" s="4">
        <v>16</v>
      </c>
      <c r="BK2138" s="8">
        <v>872.28</v>
      </c>
      <c r="BL2138" s="2" t="s">
        <v>6095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109</v>
      </c>
      <c r="BV2138" s="2" t="s">
        <v>97</v>
      </c>
      <c r="BW2138" s="2" t="s">
        <v>3420</v>
      </c>
      <c r="BX2138" s="2" t="s">
        <v>500</v>
      </c>
      <c r="BY2138" s="2" t="s">
        <v>112</v>
      </c>
      <c r="BZ2138" s="2" t="s">
        <v>100</v>
      </c>
    </row>
    <row r="2139">
      <c r="A2139" s="2" t="s">
        <v>6096</v>
      </c>
      <c r="B2139" s="2" t="s">
        <v>87</v>
      </c>
      <c r="C2139" s="2" t="s">
        <v>6086</v>
      </c>
      <c r="D2139" s="2" t="s">
        <v>2230</v>
      </c>
      <c r="E2139" s="2" t="s">
        <v>2393</v>
      </c>
      <c r="F2139" s="2" t="s">
        <v>6087</v>
      </c>
      <c r="G2139" s="2" t="s">
        <v>6088</v>
      </c>
      <c r="H2139" s="2" t="s">
        <v>6089</v>
      </c>
      <c r="I2139" s="2" t="s">
        <v>6097</v>
      </c>
      <c r="J2139" s="2" t="s">
        <v>795</v>
      </c>
      <c r="K2139" s="2" t="s">
        <v>253</v>
      </c>
      <c r="L2139" s="3">
        <v>59.99</v>
      </c>
      <c r="M2139" s="3">
        <v>62.99</v>
      </c>
      <c r="N2139" s="3">
        <v>119.99</v>
      </c>
      <c r="O2139" s="2" t="s">
        <v>97</v>
      </c>
      <c r="P2139" s="2" t="s">
        <v>98</v>
      </c>
      <c r="Q2139" s="2" t="s">
        <v>99</v>
      </c>
      <c r="R2139" s="2" t="s">
        <v>100</v>
      </c>
      <c r="S2139" s="2" t="s">
        <v>6090</v>
      </c>
      <c r="T2139" s="2" t="s">
        <v>100</v>
      </c>
      <c r="U2139" s="2" t="s">
        <v>1459</v>
      </c>
      <c r="V2139" s="2" t="s">
        <v>632</v>
      </c>
      <c r="W2139" s="2" t="s">
        <v>104</v>
      </c>
      <c r="X2139" s="2" t="s">
        <v>6091</v>
      </c>
      <c r="Y2139" s="2" t="s">
        <v>131</v>
      </c>
      <c r="Z2139" s="4">
        <v>589</v>
      </c>
      <c r="AA2139" s="4">
        <f>=ROUNDDOWN(25.6086956521739,0)</f>
      </c>
      <c r="AB2139" s="5">
        <v>23</v>
      </c>
      <c r="AC2139" s="2" t="s">
        <v>1372</v>
      </c>
      <c r="AD2139" s="4">
        <v>200</v>
      </c>
      <c r="AE2139" s="4">
        <v>200</v>
      </c>
      <c r="AF2139" s="6">
        <v>65</v>
      </c>
      <c r="AG2139" s="6"/>
      <c r="AH2139" s="7">
        <v>1</v>
      </c>
      <c r="AI2139" s="4"/>
      <c r="AJ2139" s="4">
        <f>=ROUNDDOWN({0},0)</f>
      </c>
      <c r="AK2139" s="5"/>
      <c r="AL2139" s="2" t="s">
        <v>100</v>
      </c>
      <c r="AM2139" s="4"/>
      <c r="AN2139" s="4"/>
      <c r="AO2139" s="7">
        <v>0</v>
      </c>
      <c r="AP2139" s="4"/>
      <c r="AQ2139" s="8"/>
      <c r="AR2139" s="4"/>
      <c r="AS2139" s="8"/>
      <c r="AT2139" s="7"/>
      <c r="AU2139" s="7"/>
      <c r="AV2139" s="4" t="s">
        <v>100</v>
      </c>
      <c r="AW2139" s="8" t="s">
        <v>100</v>
      </c>
      <c r="AX2139" s="4" t="s">
        <v>100</v>
      </c>
      <c r="AY2139" s="8" t="s">
        <v>100</v>
      </c>
      <c r="AZ2139" s="7" t="s">
        <v>100</v>
      </c>
      <c r="BA2139" s="7" t="s">
        <v>100</v>
      </c>
      <c r="BB2139" s="7"/>
      <c r="BC2139" s="4" t="s">
        <v>100</v>
      </c>
      <c r="BD2139" s="8" t="s">
        <v>100</v>
      </c>
      <c r="BE2139" s="4" t="s">
        <v>100</v>
      </c>
      <c r="BF2139" s="8" t="s">
        <v>100</v>
      </c>
      <c r="BG2139" s="7" t="s">
        <v>100</v>
      </c>
      <c r="BH2139" s="7" t="s">
        <v>100</v>
      </c>
      <c r="BI2139" s="7"/>
      <c r="BJ2139" s="4">
        <v>26</v>
      </c>
      <c r="BK2139" s="8">
        <v>1590.69</v>
      </c>
      <c r="BL2139" s="2" t="s">
        <v>2756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109</v>
      </c>
      <c r="BV2139" s="2" t="s">
        <v>97</v>
      </c>
      <c r="BW2139" s="2" t="s">
        <v>3420</v>
      </c>
      <c r="BX2139" s="2" t="s">
        <v>2072</v>
      </c>
      <c r="BY2139" s="2" t="s">
        <v>112</v>
      </c>
      <c r="BZ2139" s="2" t="s">
        <v>100</v>
      </c>
    </row>
    <row r="2140">
      <c r="A2140" s="2" t="s">
        <v>6098</v>
      </c>
      <c r="B2140" s="2" t="s">
        <v>87</v>
      </c>
      <c r="C2140" s="2" t="s">
        <v>6099</v>
      </c>
      <c r="D2140" s="2" t="s">
        <v>3365</v>
      </c>
      <c r="E2140" s="2" t="s">
        <v>5914</v>
      </c>
      <c r="F2140" s="2" t="s">
        <v>6100</v>
      </c>
      <c r="G2140" s="2" t="s">
        <v>6100</v>
      </c>
      <c r="H2140" s="2" t="s">
        <v>6100</v>
      </c>
      <c r="I2140" s="2" t="s">
        <v>6101</v>
      </c>
      <c r="J2140" s="2" t="s">
        <v>4526</v>
      </c>
      <c r="K2140" s="2" t="s">
        <v>146</v>
      </c>
      <c r="L2140" s="3">
        <v>18</v>
      </c>
      <c r="M2140" s="3">
        <v>18.9</v>
      </c>
      <c r="N2140" s="3">
        <v>39.99</v>
      </c>
      <c r="O2140" s="2" t="s">
        <v>473</v>
      </c>
      <c r="P2140" s="2" t="s">
        <v>447</v>
      </c>
      <c r="Q2140" s="2" t="s">
        <v>99</v>
      </c>
      <c r="R2140" s="2" t="s">
        <v>100</v>
      </c>
      <c r="S2140" s="2" t="s">
        <v>6102</v>
      </c>
      <c r="T2140" s="2" t="s">
        <v>787</v>
      </c>
      <c r="U2140" s="2" t="s">
        <v>3325</v>
      </c>
      <c r="V2140" s="2" t="s">
        <v>645</v>
      </c>
      <c r="W2140" s="2" t="s">
        <v>976</v>
      </c>
      <c r="X2140" s="2" t="s">
        <v>105</v>
      </c>
      <c r="Y2140" s="2" t="s">
        <v>6103</v>
      </c>
      <c r="Z2140" s="4">
        <v>285</v>
      </c>
      <c r="AA2140" s="4">
        <f>=ROUNDDOWN(285,0)</f>
      </c>
      <c r="AB2140" s="5">
        <v>1</v>
      </c>
      <c r="AC2140" s="2" t="s">
        <v>100</v>
      </c>
      <c r="AD2140" s="4"/>
      <c r="AE2140" s="4"/>
      <c r="AF2140" s="6">
        <v>65</v>
      </c>
      <c r="AG2140" s="6"/>
      <c r="AH2140" s="7">
        <v>1</v>
      </c>
      <c r="AI2140" s="4"/>
      <c r="AJ2140" s="4">
        <f>=ROUNDDOWN({0},0)</f>
      </c>
      <c r="AK2140" s="5"/>
      <c r="AL2140" s="2" t="s">
        <v>100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/>
      <c r="AW2140" s="8"/>
      <c r="AX2140" s="4"/>
      <c r="AY2140" s="8"/>
      <c r="AZ2140" s="7"/>
      <c r="BA2140" s="7"/>
      <c r="BB2140" s="7"/>
      <c r="BC2140" s="4" t="s">
        <v>100</v>
      </c>
      <c r="BD2140" s="8" t="s">
        <v>100</v>
      </c>
      <c r="BE2140" s="4" t="s">
        <v>100</v>
      </c>
      <c r="BF2140" s="8" t="s">
        <v>100</v>
      </c>
      <c r="BG2140" s="7" t="s">
        <v>100</v>
      </c>
      <c r="BH2140" s="7" t="s">
        <v>100</v>
      </c>
      <c r="BI2140" s="7"/>
      <c r="BJ2140" s="4">
        <v>2</v>
      </c>
      <c r="BK2140" s="8">
        <v>41.58</v>
      </c>
      <c r="BL2140" s="2" t="s">
        <v>1310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109</v>
      </c>
      <c r="BV2140" s="2" t="s">
        <v>97</v>
      </c>
      <c r="BW2140" s="2" t="s">
        <v>1975</v>
      </c>
      <c r="BX2140" s="2" t="s">
        <v>100</v>
      </c>
      <c r="BY2140" s="2" t="s">
        <v>112</v>
      </c>
      <c r="BZ2140" s="2" t="s">
        <v>100</v>
      </c>
    </row>
    <row r="2141">
      <c r="A2141" s="2" t="s">
        <v>6104</v>
      </c>
      <c r="B2141" s="2" t="s">
        <v>87</v>
      </c>
      <c r="C2141" s="2" t="s">
        <v>6099</v>
      </c>
      <c r="D2141" s="2" t="s">
        <v>3365</v>
      </c>
      <c r="E2141" s="2" t="s">
        <v>5914</v>
      </c>
      <c r="F2141" s="2" t="s">
        <v>6100</v>
      </c>
      <c r="G2141" s="2" t="s">
        <v>6100</v>
      </c>
      <c r="H2141" s="2" t="s">
        <v>6100</v>
      </c>
      <c r="I2141" s="2" t="s">
        <v>6101</v>
      </c>
      <c r="J2141" s="2" t="s">
        <v>4526</v>
      </c>
      <c r="K2141" s="2" t="s">
        <v>213</v>
      </c>
      <c r="L2141" s="3">
        <v>18</v>
      </c>
      <c r="M2141" s="3">
        <v>18.9</v>
      </c>
      <c r="N2141" s="3">
        <v>39.99</v>
      </c>
      <c r="O2141" s="2" t="s">
        <v>97</v>
      </c>
      <c r="P2141" s="2" t="s">
        <v>98</v>
      </c>
      <c r="Q2141" s="2" t="s">
        <v>99</v>
      </c>
      <c r="R2141" s="2" t="s">
        <v>100</v>
      </c>
      <c r="S2141" s="2" t="s">
        <v>6105</v>
      </c>
      <c r="T2141" s="2" t="s">
        <v>787</v>
      </c>
      <c r="U2141" s="2" t="s">
        <v>3325</v>
      </c>
      <c r="V2141" s="2" t="s">
        <v>645</v>
      </c>
      <c r="W2141" s="2" t="s">
        <v>976</v>
      </c>
      <c r="X2141" s="2" t="s">
        <v>105</v>
      </c>
      <c r="Y2141" s="2" t="s">
        <v>6103</v>
      </c>
      <c r="Z2141" s="4">
        <v>100</v>
      </c>
      <c r="AA2141" s="4">
        <f>=ROUNDDOWN(20,0)</f>
      </c>
      <c r="AB2141" s="5">
        <v>5</v>
      </c>
      <c r="AC2141" s="2" t="s">
        <v>406</v>
      </c>
      <c r="AD2141" s="4">
        <v>152</v>
      </c>
      <c r="AE2141" s="4">
        <v>152</v>
      </c>
      <c r="AF2141" s="6">
        <v>65</v>
      </c>
      <c r="AG2141" s="6"/>
      <c r="AH2141" s="7">
        <v>1</v>
      </c>
      <c r="AI2141" s="4"/>
      <c r="AJ2141" s="4">
        <f>=ROUNDDOWN({0},0)</f>
      </c>
      <c r="AK2141" s="5"/>
      <c r="AL2141" s="2" t="s">
        <v>100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/>
      <c r="AW2141" s="8"/>
      <c r="AX2141" s="4"/>
      <c r="AY2141" s="8"/>
      <c r="AZ2141" s="7"/>
      <c r="BA2141" s="7"/>
      <c r="BB2141" s="7"/>
      <c r="BC2141" s="4" t="s">
        <v>100</v>
      </c>
      <c r="BD2141" s="8" t="s">
        <v>100</v>
      </c>
      <c r="BE2141" s="4" t="s">
        <v>100</v>
      </c>
      <c r="BF2141" s="8" t="s">
        <v>100</v>
      </c>
      <c r="BG2141" s="7" t="s">
        <v>100</v>
      </c>
      <c r="BH2141" s="7" t="s">
        <v>100</v>
      </c>
      <c r="BI2141" s="7"/>
      <c r="BJ2141" s="4">
        <v>2</v>
      </c>
      <c r="BK2141" s="8">
        <v>37.8</v>
      </c>
      <c r="BL2141" s="2" t="s">
        <v>2544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109</v>
      </c>
      <c r="BV2141" s="2" t="s">
        <v>97</v>
      </c>
      <c r="BW2141" s="2" t="s">
        <v>1975</v>
      </c>
      <c r="BX2141" s="2" t="s">
        <v>100</v>
      </c>
      <c r="BY2141" s="2" t="s">
        <v>112</v>
      </c>
      <c r="BZ2141" s="2" t="s">
        <v>100</v>
      </c>
    </row>
    <row r="2142">
      <c r="A2142" s="2" t="s">
        <v>6106</v>
      </c>
      <c r="B2142" s="2" t="s">
        <v>87</v>
      </c>
      <c r="C2142" s="2" t="s">
        <v>6099</v>
      </c>
      <c r="D2142" s="2" t="s">
        <v>3365</v>
      </c>
      <c r="E2142" s="2" t="s">
        <v>4524</v>
      </c>
      <c r="F2142" s="2" t="s">
        <v>6107</v>
      </c>
      <c r="G2142" s="2" t="s">
        <v>100</v>
      </c>
      <c r="H2142" s="2" t="s">
        <v>100</v>
      </c>
      <c r="I2142" s="2" t="s">
        <v>4526</v>
      </c>
      <c r="J2142" s="2" t="s">
        <v>4526</v>
      </c>
      <c r="K2142" s="2" t="s">
        <v>146</v>
      </c>
      <c r="L2142" s="3">
        <v>27</v>
      </c>
      <c r="M2142" s="3">
        <v>28.35</v>
      </c>
      <c r="N2142" s="3">
        <v>59.99</v>
      </c>
      <c r="O2142" s="2" t="s">
        <v>97</v>
      </c>
      <c r="P2142" s="2" t="s">
        <v>98</v>
      </c>
      <c r="Q2142" s="2" t="s">
        <v>99</v>
      </c>
      <c r="R2142" s="2" t="s">
        <v>100</v>
      </c>
      <c r="S2142" s="2" t="s">
        <v>6108</v>
      </c>
      <c r="T2142" s="2" t="s">
        <v>100</v>
      </c>
      <c r="U2142" s="2" t="s">
        <v>100</v>
      </c>
      <c r="V2142" s="2" t="s">
        <v>805</v>
      </c>
      <c r="W2142" s="2" t="s">
        <v>1064</v>
      </c>
      <c r="X2142" s="2" t="s">
        <v>976</v>
      </c>
      <c r="Y2142" s="2" t="s">
        <v>131</v>
      </c>
      <c r="Z2142" s="4">
        <v>212</v>
      </c>
      <c r="AA2142" s="4">
        <f>=ROUNDDOWN(53,0)</f>
      </c>
      <c r="AB2142" s="5">
        <v>4</v>
      </c>
      <c r="AC2142" s="2" t="s">
        <v>100</v>
      </c>
      <c r="AD2142" s="4"/>
      <c r="AE2142" s="4"/>
      <c r="AF2142" s="6">
        <v>68</v>
      </c>
      <c r="AG2142" s="6"/>
      <c r="AH2142" s="7">
        <v>1</v>
      </c>
      <c r="AI2142" s="4"/>
      <c r="AJ2142" s="4">
        <f>=ROUNDDOWN({0},0)</f>
      </c>
      <c r="AK2142" s="5"/>
      <c r="AL2142" s="2" t="s">
        <v>100</v>
      </c>
      <c r="AM2142" s="4"/>
      <c r="AN2142" s="4"/>
      <c r="AO2142" s="7">
        <v>0</v>
      </c>
      <c r="AP2142" s="4"/>
      <c r="AQ2142" s="8"/>
      <c r="AR2142" s="4"/>
      <c r="AS2142" s="8"/>
      <c r="AT2142" s="7"/>
      <c r="AU2142" s="7"/>
      <c r="AV2142" s="4"/>
      <c r="AW2142" s="8"/>
      <c r="AX2142" s="4"/>
      <c r="AY2142" s="8"/>
      <c r="AZ2142" s="7"/>
      <c r="BA2142" s="7"/>
      <c r="BB2142" s="7"/>
      <c r="BC2142" s="4"/>
      <c r="BD2142" s="8"/>
      <c r="BE2142" s="4"/>
      <c r="BF2142" s="8"/>
      <c r="BG2142" s="7"/>
      <c r="BH2142" s="7"/>
      <c r="BI2142" s="7"/>
      <c r="BJ2142" s="4">
        <v>3</v>
      </c>
      <c r="BK2142" s="8">
        <v>87.09</v>
      </c>
      <c r="BL2142" s="2" t="s">
        <v>2115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109</v>
      </c>
      <c r="BV2142" s="2" t="s">
        <v>97</v>
      </c>
      <c r="BW2142" s="2" t="s">
        <v>3940</v>
      </c>
      <c r="BX2142" s="2" t="s">
        <v>100</v>
      </c>
      <c r="BY2142" s="2" t="s">
        <v>112</v>
      </c>
      <c r="BZ2142" s="2" t="s">
        <v>100</v>
      </c>
    </row>
    <row r="2143">
      <c r="A2143" s="2" t="s">
        <v>6109</v>
      </c>
      <c r="B2143" s="2" t="s">
        <v>87</v>
      </c>
      <c r="C2143" s="2" t="s">
        <v>6099</v>
      </c>
      <c r="D2143" s="2" t="s">
        <v>3365</v>
      </c>
      <c r="E2143" s="2" t="s">
        <v>4524</v>
      </c>
      <c r="F2143" s="2" t="s">
        <v>6110</v>
      </c>
      <c r="G2143" s="2" t="s">
        <v>6110</v>
      </c>
      <c r="H2143" s="2" t="s">
        <v>6110</v>
      </c>
      <c r="I2143" s="2" t="s">
        <v>6111</v>
      </c>
      <c r="J2143" s="2" t="s">
        <v>5917</v>
      </c>
      <c r="K2143" s="2" t="s">
        <v>146</v>
      </c>
      <c r="L2143" s="3">
        <v>17.2</v>
      </c>
      <c r="M2143" s="3">
        <v>18.06</v>
      </c>
      <c r="N2143" s="3">
        <v>42.99</v>
      </c>
      <c r="O2143" s="2" t="s">
        <v>97</v>
      </c>
      <c r="P2143" s="2" t="s">
        <v>242</v>
      </c>
      <c r="Q2143" s="2" t="s">
        <v>99</v>
      </c>
      <c r="R2143" s="2" t="s">
        <v>100</v>
      </c>
      <c r="S2143" s="2" t="s">
        <v>6112</v>
      </c>
      <c r="T2143" s="2" t="s">
        <v>359</v>
      </c>
      <c r="U2143" s="2" t="s">
        <v>3325</v>
      </c>
      <c r="V2143" s="2" t="s">
        <v>645</v>
      </c>
      <c r="W2143" s="2" t="s">
        <v>104</v>
      </c>
      <c r="X2143" s="2" t="s">
        <v>105</v>
      </c>
      <c r="Y2143" s="2" t="s">
        <v>6113</v>
      </c>
      <c r="Z2143" s="4">
        <v>309</v>
      </c>
      <c r="AA2143" s="4">
        <f>=ROUNDDOWN(44.1428571428571,0)</f>
      </c>
      <c r="AB2143" s="5">
        <v>7</v>
      </c>
      <c r="AC2143" s="2" t="s">
        <v>100</v>
      </c>
      <c r="AD2143" s="4"/>
      <c r="AE2143" s="4"/>
      <c r="AF2143" s="6">
        <v>65</v>
      </c>
      <c r="AG2143" s="6"/>
      <c r="AH2143" s="7">
        <v>1</v>
      </c>
      <c r="AI2143" s="4"/>
      <c r="AJ2143" s="4">
        <f>=ROUNDDOWN({0},0)</f>
      </c>
      <c r="AK2143" s="5"/>
      <c r="AL2143" s="2" t="s">
        <v>100</v>
      </c>
      <c r="AM2143" s="4"/>
      <c r="AN2143" s="4"/>
      <c r="AO2143" s="7">
        <v>0</v>
      </c>
      <c r="AP2143" s="4"/>
      <c r="AQ2143" s="8"/>
      <c r="AR2143" s="4"/>
      <c r="AS2143" s="8"/>
      <c r="AT2143" s="7"/>
      <c r="AU2143" s="7"/>
      <c r="AV2143" s="4"/>
      <c r="AW2143" s="8"/>
      <c r="AX2143" s="4"/>
      <c r="AY2143" s="8"/>
      <c r="AZ2143" s="7"/>
      <c r="BA2143" s="7"/>
      <c r="BB2143" s="7"/>
      <c r="BC2143" s="4" t="s">
        <v>100</v>
      </c>
      <c r="BD2143" s="8" t="s">
        <v>100</v>
      </c>
      <c r="BE2143" s="4" t="s">
        <v>100</v>
      </c>
      <c r="BF2143" s="8" t="s">
        <v>100</v>
      </c>
      <c r="BG2143" s="7" t="s">
        <v>100</v>
      </c>
      <c r="BH2143" s="7" t="s">
        <v>100</v>
      </c>
      <c r="BI2143" s="7"/>
      <c r="BJ2143" s="4">
        <v>2</v>
      </c>
      <c r="BK2143" s="8">
        <v>33.7</v>
      </c>
      <c r="BL2143" s="2" t="s">
        <v>133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109</v>
      </c>
      <c r="BV2143" s="2" t="s">
        <v>97</v>
      </c>
      <c r="BW2143" s="2" t="s">
        <v>3940</v>
      </c>
      <c r="BX2143" s="2" t="s">
        <v>3542</v>
      </c>
      <c r="BY2143" s="2" t="s">
        <v>112</v>
      </c>
      <c r="BZ2143" s="2" t="s">
        <v>100</v>
      </c>
    </row>
    <row r="2144">
      <c r="A2144" s="2" t="s">
        <v>6114</v>
      </c>
      <c r="B2144" s="2" t="s">
        <v>87</v>
      </c>
      <c r="C2144" s="2" t="s">
        <v>6099</v>
      </c>
      <c r="D2144" s="2" t="s">
        <v>3365</v>
      </c>
      <c r="E2144" s="2" t="s">
        <v>4524</v>
      </c>
      <c r="F2144" s="2" t="s">
        <v>6110</v>
      </c>
      <c r="G2144" s="2" t="s">
        <v>6110</v>
      </c>
      <c r="H2144" s="2" t="s">
        <v>6110</v>
      </c>
      <c r="I2144" s="2" t="s">
        <v>6111</v>
      </c>
      <c r="J2144" s="2" t="s">
        <v>5917</v>
      </c>
      <c r="K2144" s="2" t="s">
        <v>213</v>
      </c>
      <c r="L2144" s="3">
        <v>17.2</v>
      </c>
      <c r="M2144" s="3">
        <v>18.06</v>
      </c>
      <c r="N2144" s="3">
        <v>42.99</v>
      </c>
      <c r="O2144" s="2" t="s">
        <v>97</v>
      </c>
      <c r="P2144" s="2" t="s">
        <v>242</v>
      </c>
      <c r="Q2144" s="2" t="s">
        <v>99</v>
      </c>
      <c r="R2144" s="2" t="s">
        <v>100</v>
      </c>
      <c r="S2144" s="2" t="s">
        <v>6115</v>
      </c>
      <c r="T2144" s="2" t="s">
        <v>359</v>
      </c>
      <c r="U2144" s="2" t="s">
        <v>3325</v>
      </c>
      <c r="V2144" s="2" t="s">
        <v>645</v>
      </c>
      <c r="W2144" s="2" t="s">
        <v>104</v>
      </c>
      <c r="X2144" s="2" t="s">
        <v>105</v>
      </c>
      <c r="Y2144" s="2" t="s">
        <v>6113</v>
      </c>
      <c r="Z2144" s="4">
        <v>229</v>
      </c>
      <c r="AA2144" s="4">
        <f>=ROUNDDOWN(32.7142857142857,0)</f>
      </c>
      <c r="AB2144" s="5">
        <v>7</v>
      </c>
      <c r="AC2144" s="2" t="s">
        <v>615</v>
      </c>
      <c r="AD2144" s="4">
        <v>64</v>
      </c>
      <c r="AE2144" s="4">
        <v>64</v>
      </c>
      <c r="AF2144" s="6">
        <v>65</v>
      </c>
      <c r="AG2144" s="6"/>
      <c r="AH2144" s="7">
        <v>1</v>
      </c>
      <c r="AI2144" s="4"/>
      <c r="AJ2144" s="4">
        <f>=ROUNDDOWN({0},0)</f>
      </c>
      <c r="AK2144" s="5"/>
      <c r="AL2144" s="2" t="s">
        <v>100</v>
      </c>
      <c r="AM2144" s="4"/>
      <c r="AN2144" s="4"/>
      <c r="AO2144" s="7">
        <v>0</v>
      </c>
      <c r="AP2144" s="4"/>
      <c r="AQ2144" s="8"/>
      <c r="AR2144" s="4"/>
      <c r="AS2144" s="8"/>
      <c r="AT2144" s="7"/>
      <c r="AU2144" s="7"/>
      <c r="AV2144" s="4"/>
      <c r="AW2144" s="8"/>
      <c r="AX2144" s="4"/>
      <c r="AY2144" s="8"/>
      <c r="AZ2144" s="7"/>
      <c r="BA2144" s="7"/>
      <c r="BB2144" s="7"/>
      <c r="BC2144" s="4" t="s">
        <v>100</v>
      </c>
      <c r="BD2144" s="8" t="s">
        <v>100</v>
      </c>
      <c r="BE2144" s="4" t="s">
        <v>100</v>
      </c>
      <c r="BF2144" s="8" t="s">
        <v>100</v>
      </c>
      <c r="BG2144" s="7" t="s">
        <v>100</v>
      </c>
      <c r="BH2144" s="7" t="s">
        <v>100</v>
      </c>
      <c r="BI2144" s="7"/>
      <c r="BJ2144" s="4">
        <v>6</v>
      </c>
      <c r="BK2144" s="8">
        <v>113.82</v>
      </c>
      <c r="BL2144" s="2" t="s">
        <v>6116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109</v>
      </c>
      <c r="BV2144" s="2" t="s">
        <v>97</v>
      </c>
      <c r="BW2144" s="2" t="s">
        <v>5380</v>
      </c>
      <c r="BX2144" s="2" t="s">
        <v>5225</v>
      </c>
      <c r="BY2144" s="2" t="s">
        <v>112</v>
      </c>
      <c r="BZ2144" s="2" t="s">
        <v>100</v>
      </c>
    </row>
    <row r="2145">
      <c r="A2145" s="2" t="s">
        <v>6117</v>
      </c>
      <c r="B2145" s="2" t="s">
        <v>87</v>
      </c>
      <c r="C2145" s="2" t="s">
        <v>6099</v>
      </c>
      <c r="D2145" s="2" t="s">
        <v>89</v>
      </c>
      <c r="E2145" s="2" t="s">
        <v>90</v>
      </c>
      <c r="F2145" s="2" t="s">
        <v>6118</v>
      </c>
      <c r="G2145" s="2" t="s">
        <v>6118</v>
      </c>
      <c r="H2145" s="2" t="s">
        <v>6118</v>
      </c>
      <c r="I2145" s="2" t="s">
        <v>6119</v>
      </c>
      <c r="J2145" s="2" t="s">
        <v>785</v>
      </c>
      <c r="K2145" s="2" t="s">
        <v>253</v>
      </c>
      <c r="L2145" s="3">
        <v>67.5</v>
      </c>
      <c r="M2145" s="3">
        <v>70.88</v>
      </c>
      <c r="N2145" s="3">
        <v>149.99</v>
      </c>
      <c r="O2145" s="2" t="s">
        <v>97</v>
      </c>
      <c r="P2145" s="2" t="s">
        <v>98</v>
      </c>
      <c r="Q2145" s="2" t="s">
        <v>99</v>
      </c>
      <c r="R2145" s="2" t="s">
        <v>100</v>
      </c>
      <c r="S2145" s="2" t="s">
        <v>6120</v>
      </c>
      <c r="T2145" s="2" t="s">
        <v>787</v>
      </c>
      <c r="U2145" s="2" t="s">
        <v>1459</v>
      </c>
      <c r="V2145" s="2" t="s">
        <v>1265</v>
      </c>
      <c r="W2145" s="2" t="s">
        <v>976</v>
      </c>
      <c r="X2145" s="2" t="s">
        <v>104</v>
      </c>
      <c r="Y2145" s="2" t="s">
        <v>6121</v>
      </c>
      <c r="Z2145" s="4">
        <v>63</v>
      </c>
      <c r="AA2145" s="4">
        <f>=ROUNDDOWN(10,0)</f>
      </c>
      <c r="AB2145" s="5">
        <v>6.3</v>
      </c>
      <c r="AC2145" s="2" t="s">
        <v>615</v>
      </c>
      <c r="AD2145" s="4">
        <v>65</v>
      </c>
      <c r="AE2145" s="4">
        <v>65</v>
      </c>
      <c r="AF2145" s="6">
        <v>64</v>
      </c>
      <c r="AG2145" s="6"/>
      <c r="AH2145" s="7">
        <v>1</v>
      </c>
      <c r="AI2145" s="4"/>
      <c r="AJ2145" s="4">
        <f>=ROUNDDOWN({0},0)</f>
      </c>
      <c r="AK2145" s="5"/>
      <c r="AL2145" s="2" t="s">
        <v>100</v>
      </c>
      <c r="AM2145" s="4"/>
      <c r="AN2145" s="4"/>
      <c r="AO2145" s="7">
        <v>0</v>
      </c>
      <c r="AP2145" s="4"/>
      <c r="AQ2145" s="8"/>
      <c r="AR2145" s="4"/>
      <c r="AS2145" s="8"/>
      <c r="AT2145" s="7"/>
      <c r="AU2145" s="7"/>
      <c r="AV2145" s="4" t="s">
        <v>100</v>
      </c>
      <c r="AW2145" s="8" t="s">
        <v>100</v>
      </c>
      <c r="AX2145" s="4" t="s">
        <v>100</v>
      </c>
      <c r="AY2145" s="8" t="s">
        <v>100</v>
      </c>
      <c r="AZ2145" s="7" t="s">
        <v>100</v>
      </c>
      <c r="BA2145" s="7" t="s">
        <v>100</v>
      </c>
      <c r="BB2145" s="7"/>
      <c r="BC2145" s="4" t="s">
        <v>100</v>
      </c>
      <c r="BD2145" s="8" t="s">
        <v>100</v>
      </c>
      <c r="BE2145" s="4" t="s">
        <v>100</v>
      </c>
      <c r="BF2145" s="8" t="s">
        <v>100</v>
      </c>
      <c r="BG2145" s="7" t="s">
        <v>100</v>
      </c>
      <c r="BH2145" s="7" t="s">
        <v>100</v>
      </c>
      <c r="BI2145" s="7"/>
      <c r="BJ2145" s="4">
        <v>8</v>
      </c>
      <c r="BK2145" s="8">
        <v>569.13</v>
      </c>
      <c r="BL2145" s="2" t="s">
        <v>919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109</v>
      </c>
      <c r="BV2145" s="2" t="s">
        <v>97</v>
      </c>
      <c r="BW2145" s="2" t="s">
        <v>1975</v>
      </c>
      <c r="BX2145" s="2" t="s">
        <v>100</v>
      </c>
      <c r="BY2145" s="2" t="s">
        <v>112</v>
      </c>
      <c r="BZ2145" s="2" t="s">
        <v>100</v>
      </c>
    </row>
    <row r="2146">
      <c r="A2146" s="2" t="s">
        <v>6122</v>
      </c>
      <c r="B2146" s="2" t="s">
        <v>87</v>
      </c>
      <c r="C2146" s="2" t="s">
        <v>6099</v>
      </c>
      <c r="D2146" s="2" t="s">
        <v>89</v>
      </c>
      <c r="E2146" s="2" t="s">
        <v>90</v>
      </c>
      <c r="F2146" s="2" t="s">
        <v>6118</v>
      </c>
      <c r="G2146" s="2" t="s">
        <v>6118</v>
      </c>
      <c r="H2146" s="2" t="s">
        <v>6118</v>
      </c>
      <c r="I2146" s="2" t="s">
        <v>6119</v>
      </c>
      <c r="J2146" s="2" t="s">
        <v>120</v>
      </c>
      <c r="K2146" s="2" t="s">
        <v>253</v>
      </c>
      <c r="L2146" s="3">
        <v>76.5</v>
      </c>
      <c r="M2146" s="3">
        <v>80.33</v>
      </c>
      <c r="N2146" s="3">
        <v>169.99</v>
      </c>
      <c r="O2146" s="2" t="s">
        <v>97</v>
      </c>
      <c r="P2146" s="2" t="s">
        <v>98</v>
      </c>
      <c r="Q2146" s="2" t="s">
        <v>99</v>
      </c>
      <c r="R2146" s="2" t="s">
        <v>100</v>
      </c>
      <c r="S2146" s="2" t="s">
        <v>6120</v>
      </c>
      <c r="T2146" s="2" t="s">
        <v>787</v>
      </c>
      <c r="U2146" s="2" t="s">
        <v>1459</v>
      </c>
      <c r="V2146" s="2" t="s">
        <v>1265</v>
      </c>
      <c r="W2146" s="2" t="s">
        <v>976</v>
      </c>
      <c r="X2146" s="2" t="s">
        <v>104</v>
      </c>
      <c r="Y2146" s="2" t="s">
        <v>6121</v>
      </c>
      <c r="Z2146" s="4">
        <v>20</v>
      </c>
      <c r="AA2146" s="4">
        <f>=ROUNDDOWN(2.53164556962025,0)</f>
      </c>
      <c r="AB2146" s="5">
        <v>7.9</v>
      </c>
      <c r="AC2146" s="2" t="s">
        <v>680</v>
      </c>
      <c r="AD2146" s="4">
        <v>60</v>
      </c>
      <c r="AE2146" s="4">
        <v>180</v>
      </c>
      <c r="AF2146" s="6">
        <v>64</v>
      </c>
      <c r="AG2146" s="6"/>
      <c r="AH2146" s="7">
        <v>1</v>
      </c>
      <c r="AI2146" s="4"/>
      <c r="AJ2146" s="4">
        <f>=ROUNDDOWN({0},0)</f>
      </c>
      <c r="AK2146" s="5"/>
      <c r="AL2146" s="2" t="s">
        <v>100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 t="s">
        <v>100</v>
      </c>
      <c r="AW2146" s="8" t="s">
        <v>100</v>
      </c>
      <c r="AX2146" s="4" t="s">
        <v>100</v>
      </c>
      <c r="AY2146" s="8" t="s">
        <v>100</v>
      </c>
      <c r="AZ2146" s="7" t="s">
        <v>100</v>
      </c>
      <c r="BA2146" s="7" t="s">
        <v>100</v>
      </c>
      <c r="BB2146" s="7"/>
      <c r="BC2146" s="4" t="s">
        <v>100</v>
      </c>
      <c r="BD2146" s="8" t="s">
        <v>100</v>
      </c>
      <c r="BE2146" s="4" t="s">
        <v>100</v>
      </c>
      <c r="BF2146" s="8" t="s">
        <v>100</v>
      </c>
      <c r="BG2146" s="7" t="s">
        <v>100</v>
      </c>
      <c r="BH2146" s="7" t="s">
        <v>100</v>
      </c>
      <c r="BI2146" s="7"/>
      <c r="BJ2146" s="4">
        <v>6</v>
      </c>
      <c r="BK2146" s="8">
        <v>496.39</v>
      </c>
      <c r="BL2146" s="2" t="s">
        <v>540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109</v>
      </c>
      <c r="BV2146" s="2" t="s">
        <v>97</v>
      </c>
      <c r="BW2146" s="2" t="s">
        <v>1975</v>
      </c>
      <c r="BX2146" s="2" t="s">
        <v>100</v>
      </c>
      <c r="BY2146" s="2" t="s">
        <v>112</v>
      </c>
      <c r="BZ2146" s="2" t="s">
        <v>100</v>
      </c>
    </row>
    <row r="2147">
      <c r="A2147" s="2" t="s">
        <v>6123</v>
      </c>
      <c r="B2147" s="2" t="s">
        <v>87</v>
      </c>
      <c r="C2147" s="2" t="s">
        <v>6099</v>
      </c>
      <c r="D2147" s="2" t="s">
        <v>89</v>
      </c>
      <c r="E2147" s="2" t="s">
        <v>90</v>
      </c>
      <c r="F2147" s="2" t="s">
        <v>6107</v>
      </c>
      <c r="G2147" s="2" t="s">
        <v>100</v>
      </c>
      <c r="H2147" s="2" t="s">
        <v>100</v>
      </c>
      <c r="I2147" s="2" t="s">
        <v>2030</v>
      </c>
      <c r="J2147" s="2" t="s">
        <v>114</v>
      </c>
      <c r="K2147" s="2" t="s">
        <v>1659</v>
      </c>
      <c r="L2147" s="3">
        <v>89.3</v>
      </c>
      <c r="M2147" s="3">
        <v>93.76</v>
      </c>
      <c r="N2147" s="3">
        <v>189.99</v>
      </c>
      <c r="O2147" s="2" t="s">
        <v>97</v>
      </c>
      <c r="P2147" s="2" t="s">
        <v>98</v>
      </c>
      <c r="Q2147" s="2" t="s">
        <v>99</v>
      </c>
      <c r="R2147" s="2" t="s">
        <v>100</v>
      </c>
      <c r="S2147" s="2" t="s">
        <v>6124</v>
      </c>
      <c r="T2147" s="2" t="s">
        <v>100</v>
      </c>
      <c r="U2147" s="2" t="s">
        <v>1508</v>
      </c>
      <c r="V2147" s="2" t="s">
        <v>677</v>
      </c>
      <c r="W2147" s="2" t="s">
        <v>1064</v>
      </c>
      <c r="X2147" s="2" t="s">
        <v>976</v>
      </c>
      <c r="Y2147" s="2" t="s">
        <v>131</v>
      </c>
      <c r="Z2147" s="4">
        <v>89</v>
      </c>
      <c r="AA2147" s="4">
        <f>=ROUNDDOWN(44.5,0)</f>
      </c>
      <c r="AB2147" s="5">
        <v>2</v>
      </c>
      <c r="AC2147" s="2" t="s">
        <v>100</v>
      </c>
      <c r="AD2147" s="4"/>
      <c r="AE2147" s="4"/>
      <c r="AF2147" s="6">
        <v>63</v>
      </c>
      <c r="AG2147" s="6"/>
      <c r="AH2147" s="7">
        <v>1</v>
      </c>
      <c r="AI2147" s="4"/>
      <c r="AJ2147" s="4">
        <f>=ROUNDDOWN({0},0)</f>
      </c>
      <c r="AK2147" s="5"/>
      <c r="AL2147" s="2" t="s">
        <v>100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/>
      <c r="AW2147" s="8"/>
      <c r="AX2147" s="4"/>
      <c r="AY2147" s="8"/>
      <c r="AZ2147" s="7"/>
      <c r="BA2147" s="7"/>
      <c r="BB2147" s="7"/>
      <c r="BC2147" s="4"/>
      <c r="BD2147" s="8"/>
      <c r="BE2147" s="4"/>
      <c r="BF2147" s="8"/>
      <c r="BG2147" s="7"/>
      <c r="BH2147" s="7"/>
      <c r="BI2147" s="7"/>
      <c r="BJ2147" s="4">
        <v>2</v>
      </c>
      <c r="BK2147" s="8">
        <v>181.06</v>
      </c>
      <c r="BL2147" s="2" t="s">
        <v>887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109</v>
      </c>
      <c r="BV2147" s="2" t="s">
        <v>97</v>
      </c>
      <c r="BW2147" s="2" t="s">
        <v>3940</v>
      </c>
      <c r="BX2147" s="2" t="s">
        <v>6125</v>
      </c>
      <c r="BY2147" s="2" t="s">
        <v>112</v>
      </c>
      <c r="BZ2147" s="2" t="s">
        <v>100</v>
      </c>
    </row>
    <row r="2148">
      <c r="A2148" s="2" t="s">
        <v>6126</v>
      </c>
      <c r="B2148" s="2" t="s">
        <v>87</v>
      </c>
      <c r="C2148" s="2" t="s">
        <v>6099</v>
      </c>
      <c r="D2148" s="2" t="s">
        <v>89</v>
      </c>
      <c r="E2148" s="2" t="s">
        <v>90</v>
      </c>
      <c r="F2148" s="2" t="s">
        <v>6110</v>
      </c>
      <c r="G2148" s="2" t="s">
        <v>6110</v>
      </c>
      <c r="H2148" s="2" t="s">
        <v>6110</v>
      </c>
      <c r="I2148" s="2" t="s">
        <v>6127</v>
      </c>
      <c r="J2148" s="2" t="s">
        <v>785</v>
      </c>
      <c r="K2148" s="2" t="s">
        <v>146</v>
      </c>
      <c r="L2148" s="3">
        <v>89.3</v>
      </c>
      <c r="M2148" s="3">
        <v>93.76</v>
      </c>
      <c r="N2148" s="3">
        <v>189.99</v>
      </c>
      <c r="O2148" s="2" t="s">
        <v>97</v>
      </c>
      <c r="P2148" s="2" t="s">
        <v>242</v>
      </c>
      <c r="Q2148" s="2" t="s">
        <v>99</v>
      </c>
      <c r="R2148" s="2" t="s">
        <v>100</v>
      </c>
      <c r="S2148" s="2" t="s">
        <v>6112</v>
      </c>
      <c r="T2148" s="2" t="s">
        <v>359</v>
      </c>
      <c r="U2148" s="2" t="s">
        <v>1508</v>
      </c>
      <c r="V2148" s="2" t="s">
        <v>645</v>
      </c>
      <c r="W2148" s="2" t="s">
        <v>104</v>
      </c>
      <c r="X2148" s="2" t="s">
        <v>105</v>
      </c>
      <c r="Y2148" s="2" t="s">
        <v>6113</v>
      </c>
      <c r="Z2148" s="4">
        <v>134</v>
      </c>
      <c r="AA2148" s="4">
        <f>=ROUNDDOWN(22.3333333333333,0)</f>
      </c>
      <c r="AB2148" s="5">
        <v>6</v>
      </c>
      <c r="AC2148" s="2" t="s">
        <v>168</v>
      </c>
      <c r="AD2148" s="4">
        <v>27</v>
      </c>
      <c r="AE2148" s="4">
        <v>140</v>
      </c>
      <c r="AF2148" s="6">
        <v>65</v>
      </c>
      <c r="AG2148" s="6"/>
      <c r="AH2148" s="7">
        <v>1</v>
      </c>
      <c r="AI2148" s="4"/>
      <c r="AJ2148" s="4">
        <f>=ROUNDDOWN({0},0)</f>
      </c>
      <c r="AK2148" s="5"/>
      <c r="AL2148" s="2" t="s">
        <v>100</v>
      </c>
      <c r="AM2148" s="4"/>
      <c r="AN2148" s="4"/>
      <c r="AO2148" s="7">
        <v>0</v>
      </c>
      <c r="AP2148" s="4"/>
      <c r="AQ2148" s="8"/>
      <c r="AR2148" s="4"/>
      <c r="AS2148" s="8"/>
      <c r="AT2148" s="7"/>
      <c r="AU2148" s="7"/>
      <c r="AV2148" s="4" t="s">
        <v>100</v>
      </c>
      <c r="AW2148" s="8" t="s">
        <v>100</v>
      </c>
      <c r="AX2148" s="4" t="s">
        <v>100</v>
      </c>
      <c r="AY2148" s="8" t="s">
        <v>100</v>
      </c>
      <c r="AZ2148" s="7" t="s">
        <v>100</v>
      </c>
      <c r="BA2148" s="7" t="s">
        <v>100</v>
      </c>
      <c r="BB2148" s="7"/>
      <c r="BC2148" s="4" t="s">
        <v>100</v>
      </c>
      <c r="BD2148" s="8" t="s">
        <v>100</v>
      </c>
      <c r="BE2148" s="4" t="s">
        <v>100</v>
      </c>
      <c r="BF2148" s="8" t="s">
        <v>100</v>
      </c>
      <c r="BG2148" s="7" t="s">
        <v>100</v>
      </c>
      <c r="BH2148" s="7" t="s">
        <v>100</v>
      </c>
      <c r="BI2148" s="7"/>
      <c r="BJ2148" s="4">
        <v>1</v>
      </c>
      <c r="BK2148" s="8">
        <v>78.9</v>
      </c>
      <c r="BL2148" s="2" t="s">
        <v>133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109</v>
      </c>
      <c r="BV2148" s="2" t="s">
        <v>97</v>
      </c>
      <c r="BW2148" s="2" t="s">
        <v>3940</v>
      </c>
      <c r="BX2148" s="2" t="s">
        <v>6128</v>
      </c>
      <c r="BY2148" s="2" t="s">
        <v>112</v>
      </c>
      <c r="BZ2148" s="2" t="s">
        <v>100</v>
      </c>
    </row>
    <row r="2149">
      <c r="A2149" s="2" t="s">
        <v>6129</v>
      </c>
      <c r="B2149" s="2" t="s">
        <v>87</v>
      </c>
      <c r="C2149" s="2" t="s">
        <v>6099</v>
      </c>
      <c r="D2149" s="2" t="s">
        <v>89</v>
      </c>
      <c r="E2149" s="2" t="s">
        <v>90</v>
      </c>
      <c r="F2149" s="2" t="s">
        <v>6110</v>
      </c>
      <c r="G2149" s="2" t="s">
        <v>6110</v>
      </c>
      <c r="H2149" s="2" t="s">
        <v>6110</v>
      </c>
      <c r="I2149" s="2" t="s">
        <v>6127</v>
      </c>
      <c r="J2149" s="2" t="s">
        <v>795</v>
      </c>
      <c r="K2149" s="2" t="s">
        <v>146</v>
      </c>
      <c r="L2149" s="3">
        <v>98.7</v>
      </c>
      <c r="M2149" s="3">
        <v>103.63</v>
      </c>
      <c r="N2149" s="3">
        <v>209.99</v>
      </c>
      <c r="O2149" s="2" t="s">
        <v>97</v>
      </c>
      <c r="P2149" s="2" t="s">
        <v>242</v>
      </c>
      <c r="Q2149" s="2" t="s">
        <v>99</v>
      </c>
      <c r="R2149" s="2" t="s">
        <v>100</v>
      </c>
      <c r="S2149" s="2" t="s">
        <v>6112</v>
      </c>
      <c r="T2149" s="2" t="s">
        <v>359</v>
      </c>
      <c r="U2149" s="2" t="s">
        <v>1508</v>
      </c>
      <c r="V2149" s="2" t="s">
        <v>645</v>
      </c>
      <c r="W2149" s="2" t="s">
        <v>104</v>
      </c>
      <c r="X2149" s="2" t="s">
        <v>105</v>
      </c>
      <c r="Y2149" s="2" t="s">
        <v>6113</v>
      </c>
      <c r="Z2149" s="4">
        <v>302</v>
      </c>
      <c r="AA2149" s="4">
        <f>=ROUNDDOWN(37.75,0)</f>
      </c>
      <c r="AB2149" s="5">
        <v>8</v>
      </c>
      <c r="AC2149" s="2" t="s">
        <v>860</v>
      </c>
      <c r="AD2149" s="4">
        <v>17</v>
      </c>
      <c r="AE2149" s="4">
        <v>17</v>
      </c>
      <c r="AF2149" s="6">
        <v>65</v>
      </c>
      <c r="AG2149" s="6"/>
      <c r="AH2149" s="7">
        <v>1</v>
      </c>
      <c r="AI2149" s="4"/>
      <c r="AJ2149" s="4">
        <f>=ROUNDDOWN({0},0)</f>
      </c>
      <c r="AK2149" s="5"/>
      <c r="AL2149" s="2" t="s">
        <v>100</v>
      </c>
      <c r="AM2149" s="4"/>
      <c r="AN2149" s="4"/>
      <c r="AO2149" s="7">
        <v>0</v>
      </c>
      <c r="AP2149" s="4"/>
      <c r="AQ2149" s="8"/>
      <c r="AR2149" s="4"/>
      <c r="AS2149" s="8"/>
      <c r="AT2149" s="7"/>
      <c r="AU2149" s="7"/>
      <c r="AV2149" s="4" t="s">
        <v>100</v>
      </c>
      <c r="AW2149" s="8" t="s">
        <v>100</v>
      </c>
      <c r="AX2149" s="4" t="s">
        <v>100</v>
      </c>
      <c r="AY2149" s="8" t="s">
        <v>100</v>
      </c>
      <c r="AZ2149" s="7" t="s">
        <v>100</v>
      </c>
      <c r="BA2149" s="7" t="s">
        <v>100</v>
      </c>
      <c r="BB2149" s="7"/>
      <c r="BC2149" s="4" t="s">
        <v>100</v>
      </c>
      <c r="BD2149" s="8" t="s">
        <v>100</v>
      </c>
      <c r="BE2149" s="4" t="s">
        <v>100</v>
      </c>
      <c r="BF2149" s="8" t="s">
        <v>100</v>
      </c>
      <c r="BG2149" s="7" t="s">
        <v>100</v>
      </c>
      <c r="BH2149" s="7" t="s">
        <v>100</v>
      </c>
      <c r="BI2149" s="7"/>
      <c r="BJ2149" s="4">
        <v>6</v>
      </c>
      <c r="BK2149" s="8">
        <v>572.24</v>
      </c>
      <c r="BL2149" s="2" t="s">
        <v>1041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109</v>
      </c>
      <c r="BV2149" s="2" t="s">
        <v>97</v>
      </c>
      <c r="BW2149" s="2" t="s">
        <v>3940</v>
      </c>
      <c r="BX2149" s="2" t="s">
        <v>4007</v>
      </c>
      <c r="BY2149" s="2" t="s">
        <v>112</v>
      </c>
      <c r="BZ2149" s="2" t="s">
        <v>100</v>
      </c>
    </row>
    <row r="2150">
      <c r="A2150" s="2" t="s">
        <v>6130</v>
      </c>
      <c r="B2150" s="2" t="s">
        <v>87</v>
      </c>
      <c r="C2150" s="2" t="s">
        <v>6099</v>
      </c>
      <c r="D2150" s="2" t="s">
        <v>89</v>
      </c>
      <c r="E2150" s="2" t="s">
        <v>90</v>
      </c>
      <c r="F2150" s="2" t="s">
        <v>6110</v>
      </c>
      <c r="G2150" s="2" t="s">
        <v>6110</v>
      </c>
      <c r="H2150" s="2" t="s">
        <v>6110</v>
      </c>
      <c r="I2150" s="2" t="s">
        <v>6127</v>
      </c>
      <c r="J2150" s="2" t="s">
        <v>785</v>
      </c>
      <c r="K2150" s="2" t="s">
        <v>213</v>
      </c>
      <c r="L2150" s="3">
        <v>89.3</v>
      </c>
      <c r="M2150" s="3">
        <v>93.76</v>
      </c>
      <c r="N2150" s="3">
        <v>189.99</v>
      </c>
      <c r="O2150" s="2" t="s">
        <v>97</v>
      </c>
      <c r="P2150" s="2" t="s">
        <v>242</v>
      </c>
      <c r="Q2150" s="2" t="s">
        <v>99</v>
      </c>
      <c r="R2150" s="2" t="s">
        <v>100</v>
      </c>
      <c r="S2150" s="2" t="s">
        <v>6131</v>
      </c>
      <c r="T2150" s="2" t="s">
        <v>359</v>
      </c>
      <c r="U2150" s="2" t="s">
        <v>1508</v>
      </c>
      <c r="V2150" s="2" t="s">
        <v>645</v>
      </c>
      <c r="W2150" s="2" t="s">
        <v>104</v>
      </c>
      <c r="X2150" s="2" t="s">
        <v>105</v>
      </c>
      <c r="Y2150" s="2" t="s">
        <v>6113</v>
      </c>
      <c r="Z2150" s="4">
        <v>91</v>
      </c>
      <c r="AA2150" s="4">
        <f>=ROUNDDOWN(10.4597701149425,0)</f>
      </c>
      <c r="AB2150" s="5">
        <v>8.7</v>
      </c>
      <c r="AC2150" s="2" t="s">
        <v>860</v>
      </c>
      <c r="AD2150" s="4">
        <v>70</v>
      </c>
      <c r="AE2150" s="4">
        <v>70</v>
      </c>
      <c r="AF2150" s="6">
        <v>65</v>
      </c>
      <c r="AG2150" s="6"/>
      <c r="AH2150" s="7">
        <v>1</v>
      </c>
      <c r="AI2150" s="4"/>
      <c r="AJ2150" s="4">
        <f>=ROUNDDOWN({0},0)</f>
      </c>
      <c r="AK2150" s="5"/>
      <c r="AL2150" s="2" t="s">
        <v>100</v>
      </c>
      <c r="AM2150" s="4"/>
      <c r="AN2150" s="4"/>
      <c r="AO2150" s="7">
        <v>0</v>
      </c>
      <c r="AP2150" s="4"/>
      <c r="AQ2150" s="8"/>
      <c r="AR2150" s="4"/>
      <c r="AS2150" s="8"/>
      <c r="AT2150" s="7"/>
      <c r="AU2150" s="7"/>
      <c r="AV2150" s="4" t="s">
        <v>100</v>
      </c>
      <c r="AW2150" s="8" t="s">
        <v>100</v>
      </c>
      <c r="AX2150" s="4" t="s">
        <v>100</v>
      </c>
      <c r="AY2150" s="8" t="s">
        <v>100</v>
      </c>
      <c r="AZ2150" s="7" t="s">
        <v>100</v>
      </c>
      <c r="BA2150" s="7" t="s">
        <v>100</v>
      </c>
      <c r="BB2150" s="7"/>
      <c r="BC2150" s="4" t="s">
        <v>100</v>
      </c>
      <c r="BD2150" s="8" t="s">
        <v>100</v>
      </c>
      <c r="BE2150" s="4" t="s">
        <v>100</v>
      </c>
      <c r="BF2150" s="8" t="s">
        <v>100</v>
      </c>
      <c r="BG2150" s="7" t="s">
        <v>100</v>
      </c>
      <c r="BH2150" s="7" t="s">
        <v>100</v>
      </c>
      <c r="BI2150" s="7"/>
      <c r="BJ2150" s="4">
        <v>6</v>
      </c>
      <c r="BK2150" s="8">
        <v>554.92</v>
      </c>
      <c r="BL2150" s="2" t="s">
        <v>3827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109</v>
      </c>
      <c r="BV2150" s="2" t="s">
        <v>97</v>
      </c>
      <c r="BW2150" s="2" t="s">
        <v>3940</v>
      </c>
      <c r="BX2150" s="2" t="s">
        <v>6132</v>
      </c>
      <c r="BY2150" s="2" t="s">
        <v>112</v>
      </c>
      <c r="BZ2150" s="2" t="s">
        <v>100</v>
      </c>
    </row>
    <row r="2151">
      <c r="A2151" s="2" t="s">
        <v>6133</v>
      </c>
      <c r="B2151" s="2" t="s">
        <v>87</v>
      </c>
      <c r="C2151" s="2" t="s">
        <v>6099</v>
      </c>
      <c r="D2151" s="2" t="s">
        <v>89</v>
      </c>
      <c r="E2151" s="2" t="s">
        <v>90</v>
      </c>
      <c r="F2151" s="2" t="s">
        <v>6110</v>
      </c>
      <c r="G2151" s="2" t="s">
        <v>6110</v>
      </c>
      <c r="H2151" s="2" t="s">
        <v>6110</v>
      </c>
      <c r="I2151" s="2" t="s">
        <v>6127</v>
      </c>
      <c r="J2151" s="2" t="s">
        <v>795</v>
      </c>
      <c r="K2151" s="2" t="s">
        <v>213</v>
      </c>
      <c r="L2151" s="3">
        <v>98.7</v>
      </c>
      <c r="M2151" s="3">
        <v>103.63</v>
      </c>
      <c r="N2151" s="3">
        <v>209.99</v>
      </c>
      <c r="O2151" s="2" t="s">
        <v>97</v>
      </c>
      <c r="P2151" s="2" t="s">
        <v>242</v>
      </c>
      <c r="Q2151" s="2" t="s">
        <v>99</v>
      </c>
      <c r="R2151" s="2" t="s">
        <v>100</v>
      </c>
      <c r="S2151" s="2" t="s">
        <v>6131</v>
      </c>
      <c r="T2151" s="2" t="s">
        <v>359</v>
      </c>
      <c r="U2151" s="2" t="s">
        <v>1508</v>
      </c>
      <c r="V2151" s="2" t="s">
        <v>645</v>
      </c>
      <c r="W2151" s="2" t="s">
        <v>104</v>
      </c>
      <c r="X2151" s="2" t="s">
        <v>105</v>
      </c>
      <c r="Y2151" s="2" t="s">
        <v>6113</v>
      </c>
      <c r="Z2151" s="4">
        <v>222</v>
      </c>
      <c r="AA2151" s="4">
        <f>=ROUNDDOWN(24.6666666666667,0)</f>
      </c>
      <c r="AB2151" s="5">
        <v>9</v>
      </c>
      <c r="AC2151" s="2" t="s">
        <v>860</v>
      </c>
      <c r="AD2151" s="4">
        <v>60</v>
      </c>
      <c r="AE2151" s="4">
        <v>60</v>
      </c>
      <c r="AF2151" s="6">
        <v>65</v>
      </c>
      <c r="AG2151" s="6"/>
      <c r="AH2151" s="7">
        <v>1</v>
      </c>
      <c r="AI2151" s="4"/>
      <c r="AJ2151" s="4">
        <f>=ROUNDDOWN({0},0)</f>
      </c>
      <c r="AK2151" s="5"/>
      <c r="AL2151" s="2" t="s">
        <v>100</v>
      </c>
      <c r="AM2151" s="4"/>
      <c r="AN2151" s="4"/>
      <c r="AO2151" s="7">
        <v>0</v>
      </c>
      <c r="AP2151" s="4"/>
      <c r="AQ2151" s="8"/>
      <c r="AR2151" s="4"/>
      <c r="AS2151" s="8"/>
      <c r="AT2151" s="7"/>
      <c r="AU2151" s="7"/>
      <c r="AV2151" s="4" t="s">
        <v>100</v>
      </c>
      <c r="AW2151" s="8" t="s">
        <v>100</v>
      </c>
      <c r="AX2151" s="4" t="s">
        <v>100</v>
      </c>
      <c r="AY2151" s="8" t="s">
        <v>100</v>
      </c>
      <c r="AZ2151" s="7" t="s">
        <v>100</v>
      </c>
      <c r="BA2151" s="7" t="s">
        <v>100</v>
      </c>
      <c r="BB2151" s="7"/>
      <c r="BC2151" s="4" t="s">
        <v>100</v>
      </c>
      <c r="BD2151" s="8" t="s">
        <v>100</v>
      </c>
      <c r="BE2151" s="4" t="s">
        <v>100</v>
      </c>
      <c r="BF2151" s="8" t="s">
        <v>100</v>
      </c>
      <c r="BG2151" s="7" t="s">
        <v>100</v>
      </c>
      <c r="BH2151" s="7" t="s">
        <v>100</v>
      </c>
      <c r="BI2151" s="7"/>
      <c r="BJ2151" s="4">
        <v>8</v>
      </c>
      <c r="BK2151" s="8">
        <v>827.61</v>
      </c>
      <c r="BL2151" s="2" t="s">
        <v>6134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109</v>
      </c>
      <c r="BV2151" s="2" t="s">
        <v>97</v>
      </c>
      <c r="BW2151" s="2" t="s">
        <v>6135</v>
      </c>
      <c r="BX2151" s="2" t="s">
        <v>5225</v>
      </c>
      <c r="BY2151" s="2" t="s">
        <v>112</v>
      </c>
      <c r="BZ2151" s="2" t="s">
        <v>100</v>
      </c>
    </row>
    <row r="2152">
      <c r="A2152" s="2" t="s">
        <v>6136</v>
      </c>
      <c r="B2152" s="2" t="s">
        <v>87</v>
      </c>
      <c r="C2152" s="2" t="s">
        <v>6099</v>
      </c>
      <c r="D2152" s="2" t="s">
        <v>89</v>
      </c>
      <c r="E2152" s="2" t="s">
        <v>90</v>
      </c>
      <c r="F2152" s="2" t="s">
        <v>6137</v>
      </c>
      <c r="G2152" s="2" t="s">
        <v>6137</v>
      </c>
      <c r="H2152" s="2" t="s">
        <v>6137</v>
      </c>
      <c r="I2152" s="2" t="s">
        <v>6138</v>
      </c>
      <c r="J2152" s="2" t="s">
        <v>785</v>
      </c>
      <c r="K2152" s="2" t="s">
        <v>2168</v>
      </c>
      <c r="L2152" s="3">
        <v>89.3</v>
      </c>
      <c r="M2152" s="3">
        <v>93.76</v>
      </c>
      <c r="N2152" s="3">
        <v>189.99</v>
      </c>
      <c r="O2152" s="2" t="s">
        <v>97</v>
      </c>
      <c r="P2152" s="2" t="s">
        <v>242</v>
      </c>
      <c r="Q2152" s="2" t="s">
        <v>99</v>
      </c>
      <c r="R2152" s="2" t="s">
        <v>100</v>
      </c>
      <c r="S2152" s="2" t="s">
        <v>6139</v>
      </c>
      <c r="T2152" s="2" t="s">
        <v>359</v>
      </c>
      <c r="U2152" s="2" t="s">
        <v>1508</v>
      </c>
      <c r="V2152" s="2" t="s">
        <v>677</v>
      </c>
      <c r="W2152" s="2" t="s">
        <v>1064</v>
      </c>
      <c r="X2152" s="2" t="s">
        <v>345</v>
      </c>
      <c r="Y2152" s="2" t="s">
        <v>716</v>
      </c>
      <c r="Z2152" s="4">
        <v>78</v>
      </c>
      <c r="AA2152" s="4">
        <f>=ROUNDDOWN(11.1428571428571,0)</f>
      </c>
      <c r="AB2152" s="5">
        <v>7</v>
      </c>
      <c r="AC2152" s="2" t="s">
        <v>680</v>
      </c>
      <c r="AD2152" s="4">
        <v>80</v>
      </c>
      <c r="AE2152" s="4">
        <v>140</v>
      </c>
      <c r="AF2152" s="6">
        <v>63</v>
      </c>
      <c r="AG2152" s="6"/>
      <c r="AH2152" s="7">
        <v>1</v>
      </c>
      <c r="AI2152" s="4"/>
      <c r="AJ2152" s="4">
        <f>=ROUNDDOWN({0},0)</f>
      </c>
      <c r="AK2152" s="5"/>
      <c r="AL2152" s="2" t="s">
        <v>100</v>
      </c>
      <c r="AM2152" s="4"/>
      <c r="AN2152" s="4"/>
      <c r="AO2152" s="7">
        <v>0</v>
      </c>
      <c r="AP2152" s="4"/>
      <c r="AQ2152" s="8"/>
      <c r="AR2152" s="4"/>
      <c r="AS2152" s="8"/>
      <c r="AT2152" s="7"/>
      <c r="AU2152" s="7"/>
      <c r="AV2152" s="4" t="s">
        <v>100</v>
      </c>
      <c r="AW2152" s="8" t="s">
        <v>100</v>
      </c>
      <c r="AX2152" s="4" t="s">
        <v>100</v>
      </c>
      <c r="AY2152" s="8" t="s">
        <v>100</v>
      </c>
      <c r="AZ2152" s="7" t="s">
        <v>100</v>
      </c>
      <c r="BA2152" s="7" t="s">
        <v>100</v>
      </c>
      <c r="BB2152" s="7"/>
      <c r="BC2152" s="4" t="s">
        <v>100</v>
      </c>
      <c r="BD2152" s="8" t="s">
        <v>100</v>
      </c>
      <c r="BE2152" s="4" t="s">
        <v>100</v>
      </c>
      <c r="BF2152" s="8" t="s">
        <v>100</v>
      </c>
      <c r="BG2152" s="7" t="s">
        <v>100</v>
      </c>
      <c r="BH2152" s="7" t="s">
        <v>100</v>
      </c>
      <c r="BI2152" s="7"/>
      <c r="BJ2152" s="4">
        <v>8</v>
      </c>
      <c r="BK2152" s="8">
        <v>706.29</v>
      </c>
      <c r="BL2152" s="2" t="s">
        <v>2833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109</v>
      </c>
      <c r="BV2152" s="2" t="s">
        <v>97</v>
      </c>
      <c r="BW2152" s="2" t="s">
        <v>3940</v>
      </c>
      <c r="BX2152" s="2" t="s">
        <v>3903</v>
      </c>
      <c r="BY2152" s="2" t="s">
        <v>112</v>
      </c>
      <c r="BZ2152" s="2" t="s">
        <v>100</v>
      </c>
    </row>
    <row r="2153">
      <c r="A2153" s="2" t="s">
        <v>6140</v>
      </c>
      <c r="B2153" s="2" t="s">
        <v>87</v>
      </c>
      <c r="C2153" s="2" t="s">
        <v>6099</v>
      </c>
      <c r="D2153" s="2" t="s">
        <v>89</v>
      </c>
      <c r="E2153" s="2" t="s">
        <v>90</v>
      </c>
      <c r="F2153" s="2" t="s">
        <v>6137</v>
      </c>
      <c r="G2153" s="2" t="s">
        <v>6137</v>
      </c>
      <c r="H2153" s="2" t="s">
        <v>6137</v>
      </c>
      <c r="I2153" s="2" t="s">
        <v>6138</v>
      </c>
      <c r="J2153" s="2" t="s">
        <v>120</v>
      </c>
      <c r="K2153" s="2" t="s">
        <v>2168</v>
      </c>
      <c r="L2153" s="3">
        <v>98.7</v>
      </c>
      <c r="M2153" s="3">
        <v>103.63</v>
      </c>
      <c r="N2153" s="3">
        <v>209.99</v>
      </c>
      <c r="O2153" s="2" t="s">
        <v>97</v>
      </c>
      <c r="P2153" s="2" t="s">
        <v>242</v>
      </c>
      <c r="Q2153" s="2" t="s">
        <v>99</v>
      </c>
      <c r="R2153" s="2" t="s">
        <v>100</v>
      </c>
      <c r="S2153" s="2" t="s">
        <v>6139</v>
      </c>
      <c r="T2153" s="2" t="s">
        <v>359</v>
      </c>
      <c r="U2153" s="2" t="s">
        <v>1508</v>
      </c>
      <c r="V2153" s="2" t="s">
        <v>677</v>
      </c>
      <c r="W2153" s="2" t="s">
        <v>1064</v>
      </c>
      <c r="X2153" s="2" t="s">
        <v>345</v>
      </c>
      <c r="Y2153" s="2" t="s">
        <v>716</v>
      </c>
      <c r="Z2153" s="4">
        <v>123</v>
      </c>
      <c r="AA2153" s="4">
        <f>=ROUNDDOWN(17.5714285714286,0)</f>
      </c>
      <c r="AB2153" s="5">
        <v>7</v>
      </c>
      <c r="AC2153" s="2" t="s">
        <v>680</v>
      </c>
      <c r="AD2153" s="4">
        <v>30</v>
      </c>
      <c r="AE2153" s="4">
        <v>95</v>
      </c>
      <c r="AF2153" s="6">
        <v>63</v>
      </c>
      <c r="AG2153" s="6"/>
      <c r="AH2153" s="7">
        <v>1</v>
      </c>
      <c r="AI2153" s="4"/>
      <c r="AJ2153" s="4">
        <f>=ROUNDDOWN({0},0)</f>
      </c>
      <c r="AK2153" s="5"/>
      <c r="AL2153" s="2" t="s">
        <v>100</v>
      </c>
      <c r="AM2153" s="4"/>
      <c r="AN2153" s="4"/>
      <c r="AO2153" s="7">
        <v>0</v>
      </c>
      <c r="AP2153" s="4"/>
      <c r="AQ2153" s="8"/>
      <c r="AR2153" s="4"/>
      <c r="AS2153" s="8"/>
      <c r="AT2153" s="7"/>
      <c r="AU2153" s="7"/>
      <c r="AV2153" s="4" t="s">
        <v>100</v>
      </c>
      <c r="AW2153" s="8" t="s">
        <v>100</v>
      </c>
      <c r="AX2153" s="4" t="s">
        <v>100</v>
      </c>
      <c r="AY2153" s="8" t="s">
        <v>100</v>
      </c>
      <c r="AZ2153" s="7" t="s">
        <v>100</v>
      </c>
      <c r="BA2153" s="7" t="s">
        <v>100</v>
      </c>
      <c r="BB2153" s="7"/>
      <c r="BC2153" s="4" t="s">
        <v>100</v>
      </c>
      <c r="BD2153" s="8" t="s">
        <v>100</v>
      </c>
      <c r="BE2153" s="4" t="s">
        <v>100</v>
      </c>
      <c r="BF2153" s="8" t="s">
        <v>100</v>
      </c>
      <c r="BG2153" s="7" t="s">
        <v>100</v>
      </c>
      <c r="BH2153" s="7" t="s">
        <v>100</v>
      </c>
      <c r="BI2153" s="7"/>
      <c r="BJ2153" s="4">
        <v>5</v>
      </c>
      <c r="BK2153" s="8">
        <v>485.94</v>
      </c>
      <c r="BL2153" s="2" t="s">
        <v>330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109</v>
      </c>
      <c r="BV2153" s="2" t="s">
        <v>97</v>
      </c>
      <c r="BW2153" s="2" t="s">
        <v>3940</v>
      </c>
      <c r="BX2153" s="2" t="s">
        <v>6141</v>
      </c>
      <c r="BY2153" s="2" t="s">
        <v>112</v>
      </c>
      <c r="BZ2153" s="2" t="s">
        <v>100</v>
      </c>
    </row>
    <row r="2154">
      <c r="A2154" s="2" t="s">
        <v>6142</v>
      </c>
      <c r="B2154" s="2" t="s">
        <v>87</v>
      </c>
      <c r="C2154" s="2" t="s">
        <v>6099</v>
      </c>
      <c r="D2154" s="2" t="s">
        <v>89</v>
      </c>
      <c r="E2154" s="2" t="s">
        <v>2030</v>
      </c>
      <c r="F2154" s="2" t="s">
        <v>6100</v>
      </c>
      <c r="G2154" s="2" t="s">
        <v>6100</v>
      </c>
      <c r="H2154" s="2" t="s">
        <v>6100</v>
      </c>
      <c r="I2154" s="2" t="s">
        <v>6143</v>
      </c>
      <c r="J2154" s="2" t="s">
        <v>785</v>
      </c>
      <c r="K2154" s="2" t="s">
        <v>213</v>
      </c>
      <c r="L2154" s="3">
        <v>72</v>
      </c>
      <c r="M2154" s="3">
        <v>75.6</v>
      </c>
      <c r="N2154" s="3">
        <v>159.99</v>
      </c>
      <c r="O2154" s="2" t="s">
        <v>97</v>
      </c>
      <c r="P2154" s="2" t="s">
        <v>98</v>
      </c>
      <c r="Q2154" s="2" t="s">
        <v>99</v>
      </c>
      <c r="R2154" s="2" t="s">
        <v>100</v>
      </c>
      <c r="S2154" s="2" t="s">
        <v>6105</v>
      </c>
      <c r="T2154" s="2" t="s">
        <v>787</v>
      </c>
      <c r="U2154" s="2" t="s">
        <v>1508</v>
      </c>
      <c r="V2154" s="2" t="s">
        <v>645</v>
      </c>
      <c r="W2154" s="2" t="s">
        <v>976</v>
      </c>
      <c r="X2154" s="2" t="s">
        <v>105</v>
      </c>
      <c r="Y2154" s="2" t="s">
        <v>6103</v>
      </c>
      <c r="Z2154" s="4">
        <v>10</v>
      </c>
      <c r="AA2154" s="4">
        <f>=ROUNDDOWN(4.16666666666667,0)</f>
      </c>
      <c r="AB2154" s="5">
        <v>2.4</v>
      </c>
      <c r="AC2154" s="2" t="s">
        <v>406</v>
      </c>
      <c r="AD2154" s="4">
        <v>75</v>
      </c>
      <c r="AE2154" s="4">
        <v>75</v>
      </c>
      <c r="AF2154" s="6">
        <v>65</v>
      </c>
      <c r="AG2154" s="6"/>
      <c r="AH2154" s="7">
        <v>1</v>
      </c>
      <c r="AI2154" s="4"/>
      <c r="AJ2154" s="4">
        <f>=ROUNDDOWN({0},0)</f>
      </c>
      <c r="AK2154" s="5"/>
      <c r="AL2154" s="2" t="s">
        <v>100</v>
      </c>
      <c r="AM2154" s="4"/>
      <c r="AN2154" s="4"/>
      <c r="AO2154" s="7">
        <v>0</v>
      </c>
      <c r="AP2154" s="4"/>
      <c r="AQ2154" s="8"/>
      <c r="AR2154" s="4"/>
      <c r="AS2154" s="8"/>
      <c r="AT2154" s="7"/>
      <c r="AU2154" s="7"/>
      <c r="AV2154" s="4" t="s">
        <v>100</v>
      </c>
      <c r="AW2154" s="8" t="s">
        <v>100</v>
      </c>
      <c r="AX2154" s="4" t="s">
        <v>100</v>
      </c>
      <c r="AY2154" s="8" t="s">
        <v>100</v>
      </c>
      <c r="AZ2154" s="7" t="s">
        <v>100</v>
      </c>
      <c r="BA2154" s="7" t="s">
        <v>100</v>
      </c>
      <c r="BB2154" s="7"/>
      <c r="BC2154" s="4" t="s">
        <v>100</v>
      </c>
      <c r="BD2154" s="8" t="s">
        <v>100</v>
      </c>
      <c r="BE2154" s="4" t="s">
        <v>100</v>
      </c>
      <c r="BF2154" s="8" t="s">
        <v>100</v>
      </c>
      <c r="BG2154" s="7" t="s">
        <v>100</v>
      </c>
      <c r="BH2154" s="7" t="s">
        <v>100</v>
      </c>
      <c r="BI2154" s="7"/>
      <c r="BJ2154" s="4">
        <v>2</v>
      </c>
      <c r="BK2154" s="8">
        <v>164.81</v>
      </c>
      <c r="BL2154" s="2" t="s">
        <v>2799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109</v>
      </c>
      <c r="BV2154" s="2" t="s">
        <v>97</v>
      </c>
      <c r="BW2154" s="2" t="s">
        <v>1975</v>
      </c>
      <c r="BX2154" s="2" t="s">
        <v>100</v>
      </c>
      <c r="BY2154" s="2" t="s">
        <v>112</v>
      </c>
      <c r="BZ2154" s="2" t="s">
        <v>100</v>
      </c>
    </row>
    <row r="2155">
      <c r="A2155" s="2" t="s">
        <v>6144</v>
      </c>
      <c r="B2155" s="2" t="s">
        <v>87</v>
      </c>
      <c r="C2155" s="2" t="s">
        <v>6099</v>
      </c>
      <c r="D2155" s="2" t="s">
        <v>89</v>
      </c>
      <c r="E2155" s="2" t="s">
        <v>2030</v>
      </c>
      <c r="F2155" s="2" t="s">
        <v>6100</v>
      </c>
      <c r="G2155" s="2" t="s">
        <v>6100</v>
      </c>
      <c r="H2155" s="2" t="s">
        <v>6100</v>
      </c>
      <c r="I2155" s="2" t="s">
        <v>6143</v>
      </c>
      <c r="J2155" s="2" t="s">
        <v>795</v>
      </c>
      <c r="K2155" s="2" t="s">
        <v>213</v>
      </c>
      <c r="L2155" s="3">
        <v>85.5</v>
      </c>
      <c r="M2155" s="3">
        <v>89.78</v>
      </c>
      <c r="N2155" s="3">
        <v>189.99</v>
      </c>
      <c r="O2155" s="2" t="s">
        <v>97</v>
      </c>
      <c r="P2155" s="2" t="s">
        <v>98</v>
      </c>
      <c r="Q2155" s="2" t="s">
        <v>99</v>
      </c>
      <c r="R2155" s="2" t="s">
        <v>100</v>
      </c>
      <c r="S2155" s="2" t="s">
        <v>6105</v>
      </c>
      <c r="T2155" s="2" t="s">
        <v>787</v>
      </c>
      <c r="U2155" s="2" t="s">
        <v>1508</v>
      </c>
      <c r="V2155" s="2" t="s">
        <v>645</v>
      </c>
      <c r="W2155" s="2" t="s">
        <v>976</v>
      </c>
      <c r="X2155" s="2" t="s">
        <v>105</v>
      </c>
      <c r="Y2155" s="2" t="s">
        <v>6103</v>
      </c>
      <c r="Z2155" s="4">
        <v>83</v>
      </c>
      <c r="AA2155" s="4">
        <f>=ROUNDDOWN(13.8333333333333,0)</f>
      </c>
      <c r="AB2155" s="5">
        <v>6</v>
      </c>
      <c r="AC2155" s="2" t="s">
        <v>168</v>
      </c>
      <c r="AD2155" s="4">
        <v>85</v>
      </c>
      <c r="AE2155" s="4">
        <v>310</v>
      </c>
      <c r="AF2155" s="6">
        <v>65</v>
      </c>
      <c r="AG2155" s="6"/>
      <c r="AH2155" s="7">
        <v>1</v>
      </c>
      <c r="AI2155" s="4"/>
      <c r="AJ2155" s="4">
        <f>=ROUNDDOWN({0},0)</f>
      </c>
      <c r="AK2155" s="5"/>
      <c r="AL2155" s="2" t="s">
        <v>100</v>
      </c>
      <c r="AM2155" s="4"/>
      <c r="AN2155" s="4"/>
      <c r="AO2155" s="7">
        <v>0</v>
      </c>
      <c r="AP2155" s="4"/>
      <c r="AQ2155" s="8"/>
      <c r="AR2155" s="4"/>
      <c r="AS2155" s="8"/>
      <c r="AT2155" s="7"/>
      <c r="AU2155" s="7"/>
      <c r="AV2155" s="4" t="s">
        <v>100</v>
      </c>
      <c r="AW2155" s="8" t="s">
        <v>100</v>
      </c>
      <c r="AX2155" s="4" t="s">
        <v>100</v>
      </c>
      <c r="AY2155" s="8" t="s">
        <v>100</v>
      </c>
      <c r="AZ2155" s="7" t="s">
        <v>100</v>
      </c>
      <c r="BA2155" s="7" t="s">
        <v>100</v>
      </c>
      <c r="BB2155" s="7"/>
      <c r="BC2155" s="4" t="s">
        <v>100</v>
      </c>
      <c r="BD2155" s="8" t="s">
        <v>100</v>
      </c>
      <c r="BE2155" s="4" t="s">
        <v>100</v>
      </c>
      <c r="BF2155" s="8" t="s">
        <v>100</v>
      </c>
      <c r="BG2155" s="7" t="s">
        <v>100</v>
      </c>
      <c r="BH2155" s="7" t="s">
        <v>100</v>
      </c>
      <c r="BI2155" s="7"/>
      <c r="BJ2155" s="4">
        <v>1</v>
      </c>
      <c r="BK2155" s="8">
        <v>98.32</v>
      </c>
      <c r="BL2155" s="2" t="s">
        <v>625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109</v>
      </c>
      <c r="BV2155" s="2" t="s">
        <v>97</v>
      </c>
      <c r="BW2155" s="2" t="s">
        <v>1975</v>
      </c>
      <c r="BX2155" s="2" t="s">
        <v>100</v>
      </c>
      <c r="BY2155" s="2" t="s">
        <v>112</v>
      </c>
      <c r="BZ2155" s="2" t="s">
        <v>100</v>
      </c>
    </row>
    <row r="2156">
      <c r="A2156" s="2" t="s">
        <v>6145</v>
      </c>
      <c r="B2156" s="2" t="s">
        <v>87</v>
      </c>
      <c r="C2156" s="2" t="s">
        <v>6099</v>
      </c>
      <c r="D2156" s="2" t="s">
        <v>89</v>
      </c>
      <c r="E2156" s="2" t="s">
        <v>2030</v>
      </c>
      <c r="F2156" s="2" t="s">
        <v>6146</v>
      </c>
      <c r="G2156" s="2" t="s">
        <v>6146</v>
      </c>
      <c r="H2156" s="2" t="s">
        <v>6146</v>
      </c>
      <c r="I2156" s="2" t="s">
        <v>6147</v>
      </c>
      <c r="J2156" s="2" t="s">
        <v>785</v>
      </c>
      <c r="K2156" s="2" t="s">
        <v>146</v>
      </c>
      <c r="L2156" s="3">
        <v>72</v>
      </c>
      <c r="M2156" s="3">
        <v>75.6</v>
      </c>
      <c r="N2156" s="3">
        <v>159.99</v>
      </c>
      <c r="O2156" s="2" t="s">
        <v>1715</v>
      </c>
      <c r="P2156" s="2" t="s">
        <v>447</v>
      </c>
      <c r="Q2156" s="2" t="s">
        <v>99</v>
      </c>
      <c r="R2156" s="2" t="s">
        <v>100</v>
      </c>
      <c r="S2156" s="2" t="s">
        <v>6148</v>
      </c>
      <c r="T2156" s="2" t="s">
        <v>100</v>
      </c>
      <c r="U2156" s="2" t="s">
        <v>1508</v>
      </c>
      <c r="V2156" s="2" t="s">
        <v>645</v>
      </c>
      <c r="W2156" s="2" t="s">
        <v>105</v>
      </c>
      <c r="X2156" s="2" t="s">
        <v>6091</v>
      </c>
      <c r="Y2156" s="2" t="s">
        <v>1794</v>
      </c>
      <c r="Z2156" s="4">
        <v>27</v>
      </c>
      <c r="AA2156" s="4">
        <f>=ROUNDDOWN({0},0)</f>
      </c>
      <c r="AB2156" s="5"/>
      <c r="AC2156" s="2" t="s">
        <v>100</v>
      </c>
      <c r="AD2156" s="4"/>
      <c r="AE2156" s="4"/>
      <c r="AF2156" s="6">
        <v>65</v>
      </c>
      <c r="AG2156" s="6"/>
      <c r="AH2156" s="7">
        <v>1</v>
      </c>
      <c r="AI2156" s="4"/>
      <c r="AJ2156" s="4">
        <f>=ROUNDDOWN({0},0)</f>
      </c>
      <c r="AK2156" s="5"/>
      <c r="AL2156" s="2" t="s">
        <v>100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/>
      <c r="AW2156" s="8"/>
      <c r="AX2156" s="4"/>
      <c r="AY2156" s="8"/>
      <c r="AZ2156" s="7"/>
      <c r="BA2156" s="7"/>
      <c r="BB2156" s="7"/>
      <c r="BC2156" s="4"/>
      <c r="BD2156" s="8"/>
      <c r="BE2156" s="4"/>
      <c r="BF2156" s="8"/>
      <c r="BG2156" s="7"/>
      <c r="BH2156" s="7"/>
      <c r="BI2156" s="7"/>
      <c r="BJ2156" s="4"/>
      <c r="BK2156" s="8"/>
      <c r="BL2156" s="2" t="s">
        <v>100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3088</v>
      </c>
      <c r="BV2156" s="2" t="s">
        <v>97</v>
      </c>
      <c r="BW2156" s="2" t="s">
        <v>100</v>
      </c>
      <c r="BX2156" s="2" t="s">
        <v>100</v>
      </c>
      <c r="BY2156" s="2" t="s">
        <v>112</v>
      </c>
      <c r="BZ2156" s="2" t="s">
        <v>100</v>
      </c>
    </row>
    <row r="2157">
      <c r="A2157" s="2" t="s">
        <v>6149</v>
      </c>
      <c r="B2157" s="2" t="s">
        <v>87</v>
      </c>
      <c r="C2157" s="2" t="s">
        <v>6099</v>
      </c>
      <c r="D2157" s="2" t="s">
        <v>3079</v>
      </c>
      <c r="E2157" s="2" t="s">
        <v>3176</v>
      </c>
      <c r="F2157" s="2" t="s">
        <v>6118</v>
      </c>
      <c r="G2157" s="2" t="s">
        <v>6118</v>
      </c>
      <c r="H2157" s="2" t="s">
        <v>6118</v>
      </c>
      <c r="I2157" s="2" t="s">
        <v>6150</v>
      </c>
      <c r="J2157" s="2" t="s">
        <v>785</v>
      </c>
      <c r="K2157" s="2" t="s">
        <v>253</v>
      </c>
      <c r="L2157" s="3">
        <v>36</v>
      </c>
      <c r="M2157" s="3">
        <v>37.8</v>
      </c>
      <c r="N2157" s="3">
        <v>79.99</v>
      </c>
      <c r="O2157" s="2" t="s">
        <v>97</v>
      </c>
      <c r="P2157" s="2" t="s">
        <v>98</v>
      </c>
      <c r="Q2157" s="2" t="s">
        <v>99</v>
      </c>
      <c r="R2157" s="2" t="s">
        <v>100</v>
      </c>
      <c r="S2157" s="2" t="s">
        <v>6120</v>
      </c>
      <c r="T2157" s="2" t="s">
        <v>787</v>
      </c>
      <c r="U2157" s="2" t="s">
        <v>1508</v>
      </c>
      <c r="V2157" s="2" t="s">
        <v>1265</v>
      </c>
      <c r="W2157" s="2" t="s">
        <v>976</v>
      </c>
      <c r="X2157" s="2" t="s">
        <v>104</v>
      </c>
      <c r="Y2157" s="2" t="s">
        <v>6121</v>
      </c>
      <c r="Z2157" s="4">
        <v>55</v>
      </c>
      <c r="AA2157" s="4">
        <f>=ROUNDDOWN(11,0)</f>
      </c>
      <c r="AB2157" s="5">
        <v>5</v>
      </c>
      <c r="AC2157" s="2" t="s">
        <v>615</v>
      </c>
      <c r="AD2157" s="4">
        <v>70</v>
      </c>
      <c r="AE2157" s="4">
        <v>70</v>
      </c>
      <c r="AF2157" s="6">
        <v>64</v>
      </c>
      <c r="AG2157" s="6"/>
      <c r="AH2157" s="7">
        <v>1</v>
      </c>
      <c r="AI2157" s="4"/>
      <c r="AJ2157" s="4">
        <f>=ROUNDDOWN({0},0)</f>
      </c>
      <c r="AK2157" s="5"/>
      <c r="AL2157" s="2" t="s">
        <v>100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 t="s">
        <v>100</v>
      </c>
      <c r="AW2157" s="8" t="s">
        <v>100</v>
      </c>
      <c r="AX2157" s="4" t="s">
        <v>100</v>
      </c>
      <c r="AY2157" s="8" t="s">
        <v>100</v>
      </c>
      <c r="AZ2157" s="7" t="s">
        <v>100</v>
      </c>
      <c r="BA2157" s="7" t="s">
        <v>100</v>
      </c>
      <c r="BB2157" s="7"/>
      <c r="BC2157" s="4" t="s">
        <v>100</v>
      </c>
      <c r="BD2157" s="8" t="s">
        <v>100</v>
      </c>
      <c r="BE2157" s="4" t="s">
        <v>100</v>
      </c>
      <c r="BF2157" s="8" t="s">
        <v>100</v>
      </c>
      <c r="BG2157" s="7" t="s">
        <v>100</v>
      </c>
      <c r="BH2157" s="7" t="s">
        <v>100</v>
      </c>
      <c r="BI2157" s="7"/>
      <c r="BJ2157" s="4">
        <v>4</v>
      </c>
      <c r="BK2157" s="8">
        <v>164.44</v>
      </c>
      <c r="BL2157" s="2" t="s">
        <v>5214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109</v>
      </c>
      <c r="BV2157" s="2" t="s">
        <v>97</v>
      </c>
      <c r="BW2157" s="2" t="s">
        <v>1975</v>
      </c>
      <c r="BX2157" s="2" t="s">
        <v>100</v>
      </c>
      <c r="BY2157" s="2" t="s">
        <v>112</v>
      </c>
      <c r="BZ2157" s="2" t="s">
        <v>100</v>
      </c>
    </row>
    <row r="2158">
      <c r="A2158" s="2" t="s">
        <v>6151</v>
      </c>
      <c r="B2158" s="2" t="s">
        <v>87</v>
      </c>
      <c r="C2158" s="2" t="s">
        <v>6099</v>
      </c>
      <c r="D2158" s="2" t="s">
        <v>3079</v>
      </c>
      <c r="E2158" s="2" t="s">
        <v>3176</v>
      </c>
      <c r="F2158" s="2" t="s">
        <v>6118</v>
      </c>
      <c r="G2158" s="2" t="s">
        <v>6118</v>
      </c>
      <c r="H2158" s="2" t="s">
        <v>6118</v>
      </c>
      <c r="I2158" s="2" t="s">
        <v>6150</v>
      </c>
      <c r="J2158" s="2" t="s">
        <v>120</v>
      </c>
      <c r="K2158" s="2" t="s">
        <v>253</v>
      </c>
      <c r="L2158" s="3">
        <v>45</v>
      </c>
      <c r="M2158" s="3">
        <v>47.25</v>
      </c>
      <c r="N2158" s="3">
        <v>99.99</v>
      </c>
      <c r="O2158" s="2" t="s">
        <v>97</v>
      </c>
      <c r="P2158" s="2" t="s">
        <v>98</v>
      </c>
      <c r="Q2158" s="2" t="s">
        <v>99</v>
      </c>
      <c r="R2158" s="2" t="s">
        <v>100</v>
      </c>
      <c r="S2158" s="2" t="s">
        <v>6120</v>
      </c>
      <c r="T2158" s="2" t="s">
        <v>787</v>
      </c>
      <c r="U2158" s="2" t="s">
        <v>1508</v>
      </c>
      <c r="V2158" s="2" t="s">
        <v>1265</v>
      </c>
      <c r="W2158" s="2" t="s">
        <v>976</v>
      </c>
      <c r="X2158" s="2" t="s">
        <v>104</v>
      </c>
      <c r="Y2158" s="2" t="s">
        <v>6121</v>
      </c>
      <c r="Z2158" s="4">
        <v>29</v>
      </c>
      <c r="AA2158" s="4">
        <f>=ROUNDDOWN(7.25,0)</f>
      </c>
      <c r="AB2158" s="5">
        <v>4</v>
      </c>
      <c r="AC2158" s="2" t="s">
        <v>680</v>
      </c>
      <c r="AD2158" s="4">
        <v>20</v>
      </c>
      <c r="AE2158" s="4">
        <v>65</v>
      </c>
      <c r="AF2158" s="6">
        <v>64</v>
      </c>
      <c r="AG2158" s="6"/>
      <c r="AH2158" s="7">
        <v>1</v>
      </c>
      <c r="AI2158" s="4"/>
      <c r="AJ2158" s="4">
        <f>=ROUNDDOWN({0},0)</f>
      </c>
      <c r="AK2158" s="5"/>
      <c r="AL2158" s="2" t="s">
        <v>100</v>
      </c>
      <c r="AM2158" s="4"/>
      <c r="AN2158" s="4"/>
      <c r="AO2158" s="7">
        <v>0</v>
      </c>
      <c r="AP2158" s="4"/>
      <c r="AQ2158" s="8"/>
      <c r="AR2158" s="4"/>
      <c r="AS2158" s="8"/>
      <c r="AT2158" s="7"/>
      <c r="AU2158" s="7"/>
      <c r="AV2158" s="4" t="s">
        <v>100</v>
      </c>
      <c r="AW2158" s="8" t="s">
        <v>100</v>
      </c>
      <c r="AX2158" s="4" t="s">
        <v>100</v>
      </c>
      <c r="AY2158" s="8" t="s">
        <v>100</v>
      </c>
      <c r="AZ2158" s="7" t="s">
        <v>100</v>
      </c>
      <c r="BA2158" s="7" t="s">
        <v>100</v>
      </c>
      <c r="BB2158" s="7"/>
      <c r="BC2158" s="4" t="s">
        <v>100</v>
      </c>
      <c r="BD2158" s="8" t="s">
        <v>100</v>
      </c>
      <c r="BE2158" s="4" t="s">
        <v>100</v>
      </c>
      <c r="BF2158" s="8" t="s">
        <v>100</v>
      </c>
      <c r="BG2158" s="7" t="s">
        <v>100</v>
      </c>
      <c r="BH2158" s="7" t="s">
        <v>100</v>
      </c>
      <c r="BI2158" s="7"/>
      <c r="BJ2158" s="4">
        <v>9</v>
      </c>
      <c r="BK2158" s="8">
        <v>446.94</v>
      </c>
      <c r="BL2158" s="2" t="s">
        <v>6152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109</v>
      </c>
      <c r="BV2158" s="2" t="s">
        <v>97</v>
      </c>
      <c r="BW2158" s="2" t="s">
        <v>1975</v>
      </c>
      <c r="BX2158" s="2" t="s">
        <v>100</v>
      </c>
      <c r="BY2158" s="2" t="s">
        <v>112</v>
      </c>
      <c r="BZ2158" s="2" t="s">
        <v>100</v>
      </c>
    </row>
    <row r="2159">
      <c r="A2159" s="2" t="s">
        <v>6153</v>
      </c>
      <c r="B2159" s="2" t="s">
        <v>87</v>
      </c>
      <c r="C2159" s="2" t="s">
        <v>6099</v>
      </c>
      <c r="D2159" s="2" t="s">
        <v>3079</v>
      </c>
      <c r="E2159" s="2" t="s">
        <v>3176</v>
      </c>
      <c r="F2159" s="2" t="s">
        <v>6100</v>
      </c>
      <c r="G2159" s="2" t="s">
        <v>6100</v>
      </c>
      <c r="H2159" s="2" t="s">
        <v>6100</v>
      </c>
      <c r="I2159" s="2" t="s">
        <v>6154</v>
      </c>
      <c r="J2159" s="2" t="s">
        <v>785</v>
      </c>
      <c r="K2159" s="2" t="s">
        <v>146</v>
      </c>
      <c r="L2159" s="3">
        <v>67.5</v>
      </c>
      <c r="M2159" s="3">
        <v>70.88</v>
      </c>
      <c r="N2159" s="3">
        <v>149.99</v>
      </c>
      <c r="O2159" s="2" t="s">
        <v>97</v>
      </c>
      <c r="P2159" s="2" t="s">
        <v>447</v>
      </c>
      <c r="Q2159" s="2" t="s">
        <v>99</v>
      </c>
      <c r="R2159" s="2" t="s">
        <v>100</v>
      </c>
      <c r="S2159" s="2" t="s">
        <v>6102</v>
      </c>
      <c r="T2159" s="2" t="s">
        <v>787</v>
      </c>
      <c r="U2159" s="2" t="s">
        <v>1508</v>
      </c>
      <c r="V2159" s="2" t="s">
        <v>645</v>
      </c>
      <c r="W2159" s="2" t="s">
        <v>976</v>
      </c>
      <c r="X2159" s="2" t="s">
        <v>105</v>
      </c>
      <c r="Y2159" s="2" t="s">
        <v>6103</v>
      </c>
      <c r="Z2159" s="4">
        <v>9</v>
      </c>
      <c r="AA2159" s="4">
        <f>=ROUNDDOWN(8.18181818181818,0)</f>
      </c>
      <c r="AB2159" s="5">
        <v>1.1</v>
      </c>
      <c r="AC2159" s="2" t="s">
        <v>100</v>
      </c>
      <c r="AD2159" s="4"/>
      <c r="AE2159" s="4"/>
      <c r="AF2159" s="6">
        <v>65</v>
      </c>
      <c r="AG2159" s="6"/>
      <c r="AH2159" s="7">
        <v>1</v>
      </c>
      <c r="AI2159" s="4"/>
      <c r="AJ2159" s="4">
        <f>=ROUNDDOWN({0},0)</f>
      </c>
      <c r="AK2159" s="5"/>
      <c r="AL2159" s="2" t="s">
        <v>100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/>
      <c r="AW2159" s="8"/>
      <c r="AX2159" s="4"/>
      <c r="AY2159" s="8"/>
      <c r="AZ2159" s="7"/>
      <c r="BA2159" s="7"/>
      <c r="BB2159" s="7"/>
      <c r="BC2159" s="4" t="s">
        <v>100</v>
      </c>
      <c r="BD2159" s="8" t="s">
        <v>100</v>
      </c>
      <c r="BE2159" s="4" t="s">
        <v>100</v>
      </c>
      <c r="BF2159" s="8" t="s">
        <v>100</v>
      </c>
      <c r="BG2159" s="7" t="s">
        <v>100</v>
      </c>
      <c r="BH2159" s="7" t="s">
        <v>100</v>
      </c>
      <c r="BI2159" s="7"/>
      <c r="BJ2159" s="4">
        <v>1</v>
      </c>
      <c r="BK2159" s="8">
        <v>76.54</v>
      </c>
      <c r="BL2159" s="2" t="s">
        <v>715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109</v>
      </c>
      <c r="BV2159" s="2" t="s">
        <v>97</v>
      </c>
      <c r="BW2159" s="2" t="s">
        <v>1975</v>
      </c>
      <c r="BX2159" s="2" t="s">
        <v>100</v>
      </c>
      <c r="BY2159" s="2" t="s">
        <v>112</v>
      </c>
      <c r="BZ2159" s="2" t="s">
        <v>100</v>
      </c>
    </row>
    <row r="2160">
      <c r="A2160" s="2" t="s">
        <v>6155</v>
      </c>
      <c r="B2160" s="2" t="s">
        <v>87</v>
      </c>
      <c r="C2160" s="2" t="s">
        <v>6099</v>
      </c>
      <c r="D2160" s="2" t="s">
        <v>3079</v>
      </c>
      <c r="E2160" s="2" t="s">
        <v>3176</v>
      </c>
      <c r="F2160" s="2" t="s">
        <v>6100</v>
      </c>
      <c r="G2160" s="2" t="s">
        <v>6100</v>
      </c>
      <c r="H2160" s="2" t="s">
        <v>6100</v>
      </c>
      <c r="I2160" s="2" t="s">
        <v>6154</v>
      </c>
      <c r="J2160" s="2" t="s">
        <v>785</v>
      </c>
      <c r="K2160" s="2" t="s">
        <v>213</v>
      </c>
      <c r="L2160" s="3">
        <v>67.5</v>
      </c>
      <c r="M2160" s="3">
        <v>70.88</v>
      </c>
      <c r="N2160" s="3">
        <v>149.99</v>
      </c>
      <c r="O2160" s="2" t="s">
        <v>97</v>
      </c>
      <c r="P2160" s="2" t="s">
        <v>98</v>
      </c>
      <c r="Q2160" s="2" t="s">
        <v>99</v>
      </c>
      <c r="R2160" s="2" t="s">
        <v>100</v>
      </c>
      <c r="S2160" s="2" t="s">
        <v>6105</v>
      </c>
      <c r="T2160" s="2" t="s">
        <v>787</v>
      </c>
      <c r="U2160" s="2" t="s">
        <v>1508</v>
      </c>
      <c r="V2160" s="2" t="s">
        <v>645</v>
      </c>
      <c r="W2160" s="2" t="s">
        <v>976</v>
      </c>
      <c r="X2160" s="2" t="s">
        <v>105</v>
      </c>
      <c r="Y2160" s="2" t="s">
        <v>6103</v>
      </c>
      <c r="Z2160" s="4">
        <v>30</v>
      </c>
      <c r="AA2160" s="4">
        <f>=ROUNDDOWN(15,0)</f>
      </c>
      <c r="AB2160" s="5">
        <v>2</v>
      </c>
      <c r="AC2160" s="2" t="s">
        <v>168</v>
      </c>
      <c r="AD2160" s="4">
        <v>37</v>
      </c>
      <c r="AE2160" s="4">
        <v>57</v>
      </c>
      <c r="AF2160" s="6">
        <v>65</v>
      </c>
      <c r="AG2160" s="6"/>
      <c r="AH2160" s="7">
        <v>1</v>
      </c>
      <c r="AI2160" s="4"/>
      <c r="AJ2160" s="4">
        <f>=ROUNDDOWN({0},0)</f>
      </c>
      <c r="AK2160" s="5"/>
      <c r="AL2160" s="2" t="s">
        <v>100</v>
      </c>
      <c r="AM2160" s="4"/>
      <c r="AN2160" s="4"/>
      <c r="AO2160" s="7">
        <v>0</v>
      </c>
      <c r="AP2160" s="4"/>
      <c r="AQ2160" s="8"/>
      <c r="AR2160" s="4"/>
      <c r="AS2160" s="8"/>
      <c r="AT2160" s="7"/>
      <c r="AU2160" s="7"/>
      <c r="AV2160" s="4" t="s">
        <v>100</v>
      </c>
      <c r="AW2160" s="8" t="s">
        <v>100</v>
      </c>
      <c r="AX2160" s="4" t="s">
        <v>100</v>
      </c>
      <c r="AY2160" s="8" t="s">
        <v>100</v>
      </c>
      <c r="AZ2160" s="7" t="s">
        <v>100</v>
      </c>
      <c r="BA2160" s="7" t="s">
        <v>100</v>
      </c>
      <c r="BB2160" s="7"/>
      <c r="BC2160" s="4" t="s">
        <v>100</v>
      </c>
      <c r="BD2160" s="8" t="s">
        <v>100</v>
      </c>
      <c r="BE2160" s="4" t="s">
        <v>100</v>
      </c>
      <c r="BF2160" s="8" t="s">
        <v>100</v>
      </c>
      <c r="BG2160" s="7" t="s">
        <v>100</v>
      </c>
      <c r="BH2160" s="7" t="s">
        <v>100</v>
      </c>
      <c r="BI2160" s="7"/>
      <c r="BJ2160" s="4">
        <v>2</v>
      </c>
      <c r="BK2160" s="8">
        <v>152.38</v>
      </c>
      <c r="BL2160" s="2" t="s">
        <v>200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109</v>
      </c>
      <c r="BV2160" s="2" t="s">
        <v>97</v>
      </c>
      <c r="BW2160" s="2" t="s">
        <v>1975</v>
      </c>
      <c r="BX2160" s="2" t="s">
        <v>100</v>
      </c>
      <c r="BY2160" s="2" t="s">
        <v>112</v>
      </c>
      <c r="BZ2160" s="2" t="s">
        <v>100</v>
      </c>
    </row>
    <row r="2161">
      <c r="A2161" s="2" t="s">
        <v>6156</v>
      </c>
      <c r="B2161" s="2" t="s">
        <v>87</v>
      </c>
      <c r="C2161" s="2" t="s">
        <v>6099</v>
      </c>
      <c r="D2161" s="2" t="s">
        <v>3079</v>
      </c>
      <c r="E2161" s="2" t="s">
        <v>3176</v>
      </c>
      <c r="F2161" s="2" t="s">
        <v>6100</v>
      </c>
      <c r="G2161" s="2" t="s">
        <v>6100</v>
      </c>
      <c r="H2161" s="2" t="s">
        <v>6100</v>
      </c>
      <c r="I2161" s="2" t="s">
        <v>6154</v>
      </c>
      <c r="J2161" s="2" t="s">
        <v>795</v>
      </c>
      <c r="K2161" s="2" t="s">
        <v>213</v>
      </c>
      <c r="L2161" s="3">
        <v>76.5</v>
      </c>
      <c r="M2161" s="3">
        <v>80.33</v>
      </c>
      <c r="N2161" s="3">
        <v>169.99</v>
      </c>
      <c r="O2161" s="2" t="s">
        <v>97</v>
      </c>
      <c r="P2161" s="2" t="s">
        <v>98</v>
      </c>
      <c r="Q2161" s="2" t="s">
        <v>99</v>
      </c>
      <c r="R2161" s="2" t="s">
        <v>100</v>
      </c>
      <c r="S2161" s="2" t="s">
        <v>6105</v>
      </c>
      <c r="T2161" s="2" t="s">
        <v>787</v>
      </c>
      <c r="U2161" s="2" t="s">
        <v>1508</v>
      </c>
      <c r="V2161" s="2" t="s">
        <v>645</v>
      </c>
      <c r="W2161" s="2" t="s">
        <v>976</v>
      </c>
      <c r="X2161" s="2" t="s">
        <v>105</v>
      </c>
      <c r="Y2161" s="2" t="s">
        <v>6103</v>
      </c>
      <c r="Z2161" s="4">
        <v>90</v>
      </c>
      <c r="AA2161" s="4">
        <f>=ROUNDDOWN(45,0)</f>
      </c>
      <c r="AB2161" s="5">
        <v>2</v>
      </c>
      <c r="AC2161" s="2" t="s">
        <v>168</v>
      </c>
      <c r="AD2161" s="4">
        <v>55</v>
      </c>
      <c r="AE2161" s="4">
        <v>55</v>
      </c>
      <c r="AF2161" s="6">
        <v>65</v>
      </c>
      <c r="AG2161" s="6"/>
      <c r="AH2161" s="7">
        <v>1</v>
      </c>
      <c r="AI2161" s="4"/>
      <c r="AJ2161" s="4">
        <f>=ROUNDDOWN({0},0)</f>
      </c>
      <c r="AK2161" s="5"/>
      <c r="AL2161" s="2" t="s">
        <v>100</v>
      </c>
      <c r="AM2161" s="4"/>
      <c r="AN2161" s="4"/>
      <c r="AO2161" s="7">
        <v>0</v>
      </c>
      <c r="AP2161" s="4"/>
      <c r="AQ2161" s="8"/>
      <c r="AR2161" s="4"/>
      <c r="AS2161" s="8"/>
      <c r="AT2161" s="7"/>
      <c r="AU2161" s="7"/>
      <c r="AV2161" s="4" t="s">
        <v>100</v>
      </c>
      <c r="AW2161" s="8" t="s">
        <v>100</v>
      </c>
      <c r="AX2161" s="4" t="s">
        <v>100</v>
      </c>
      <c r="AY2161" s="8" t="s">
        <v>100</v>
      </c>
      <c r="AZ2161" s="7" t="s">
        <v>100</v>
      </c>
      <c r="BA2161" s="7" t="s">
        <v>100</v>
      </c>
      <c r="BB2161" s="7"/>
      <c r="BC2161" s="4" t="s">
        <v>100</v>
      </c>
      <c r="BD2161" s="8" t="s">
        <v>100</v>
      </c>
      <c r="BE2161" s="4" t="s">
        <v>100</v>
      </c>
      <c r="BF2161" s="8" t="s">
        <v>100</v>
      </c>
      <c r="BG2161" s="7" t="s">
        <v>100</v>
      </c>
      <c r="BH2161" s="7" t="s">
        <v>100</v>
      </c>
      <c r="BI2161" s="7"/>
      <c r="BJ2161" s="4">
        <v>1</v>
      </c>
      <c r="BK2161" s="8">
        <v>80.32</v>
      </c>
      <c r="BL2161" s="2" t="s">
        <v>2544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109</v>
      </c>
      <c r="BV2161" s="2" t="s">
        <v>97</v>
      </c>
      <c r="BW2161" s="2" t="s">
        <v>1975</v>
      </c>
      <c r="BX2161" s="2" t="s">
        <v>100</v>
      </c>
      <c r="BY2161" s="2" t="s">
        <v>112</v>
      </c>
      <c r="BZ2161" s="2" t="s">
        <v>100</v>
      </c>
    </row>
    <row r="2162">
      <c r="A2162" s="2" t="s">
        <v>6157</v>
      </c>
      <c r="B2162" s="2" t="s">
        <v>87</v>
      </c>
      <c r="C2162" s="2" t="s">
        <v>6099</v>
      </c>
      <c r="D2162" s="2" t="s">
        <v>3079</v>
      </c>
      <c r="E2162" s="2" t="s">
        <v>3080</v>
      </c>
      <c r="F2162" s="2" t="s">
        <v>6107</v>
      </c>
      <c r="G2162" s="2" t="s">
        <v>100</v>
      </c>
      <c r="H2162" s="2" t="s">
        <v>100</v>
      </c>
      <c r="I2162" s="2" t="s">
        <v>4398</v>
      </c>
      <c r="J2162" s="2" t="s">
        <v>114</v>
      </c>
      <c r="K2162" s="2" t="s">
        <v>1659</v>
      </c>
      <c r="L2162" s="3">
        <v>75.2</v>
      </c>
      <c r="M2162" s="3">
        <v>78.96</v>
      </c>
      <c r="N2162" s="3">
        <v>159.99</v>
      </c>
      <c r="O2162" s="2" t="s">
        <v>97</v>
      </c>
      <c r="P2162" s="2" t="s">
        <v>98</v>
      </c>
      <c r="Q2162" s="2" t="s">
        <v>99</v>
      </c>
      <c r="R2162" s="2" t="s">
        <v>100</v>
      </c>
      <c r="S2162" s="2" t="s">
        <v>6124</v>
      </c>
      <c r="T2162" s="2" t="s">
        <v>100</v>
      </c>
      <c r="U2162" s="2" t="s">
        <v>1508</v>
      </c>
      <c r="V2162" s="2" t="s">
        <v>677</v>
      </c>
      <c r="W2162" s="2" t="s">
        <v>1064</v>
      </c>
      <c r="X2162" s="2" t="s">
        <v>976</v>
      </c>
      <c r="Y2162" s="2" t="s">
        <v>131</v>
      </c>
      <c r="Z2162" s="4">
        <v>184</v>
      </c>
      <c r="AA2162" s="4">
        <f>=ROUNDDOWN(46,0)</f>
      </c>
      <c r="AB2162" s="5">
        <v>4</v>
      </c>
      <c r="AC2162" s="2" t="s">
        <v>100</v>
      </c>
      <c r="AD2162" s="4"/>
      <c r="AE2162" s="4"/>
      <c r="AF2162" s="6">
        <v>63</v>
      </c>
      <c r="AG2162" s="6"/>
      <c r="AH2162" s="7">
        <v>1</v>
      </c>
      <c r="AI2162" s="4"/>
      <c r="AJ2162" s="4">
        <f>=ROUNDDOWN({0},0)</f>
      </c>
      <c r="AK2162" s="5"/>
      <c r="AL2162" s="2" t="s">
        <v>100</v>
      </c>
      <c r="AM2162" s="4"/>
      <c r="AN2162" s="4"/>
      <c r="AO2162" s="7">
        <v>0</v>
      </c>
      <c r="AP2162" s="4"/>
      <c r="AQ2162" s="8"/>
      <c r="AR2162" s="4"/>
      <c r="AS2162" s="8"/>
      <c r="AT2162" s="7"/>
      <c r="AU2162" s="7"/>
      <c r="AV2162" s="4" t="s">
        <v>100</v>
      </c>
      <c r="AW2162" s="8" t="s">
        <v>100</v>
      </c>
      <c r="AX2162" s="4" t="s">
        <v>100</v>
      </c>
      <c r="AY2162" s="8" t="s">
        <v>100</v>
      </c>
      <c r="AZ2162" s="7" t="s">
        <v>100</v>
      </c>
      <c r="BA2162" s="7" t="s">
        <v>100</v>
      </c>
      <c r="BB2162" s="7"/>
      <c r="BC2162" s="4" t="s">
        <v>100</v>
      </c>
      <c r="BD2162" s="8" t="s">
        <v>100</v>
      </c>
      <c r="BE2162" s="4" t="s">
        <v>100</v>
      </c>
      <c r="BF2162" s="8" t="s">
        <v>100</v>
      </c>
      <c r="BG2162" s="7" t="s">
        <v>100</v>
      </c>
      <c r="BH2162" s="7" t="s">
        <v>100</v>
      </c>
      <c r="BI2162" s="7"/>
      <c r="BJ2162" s="4">
        <v>1</v>
      </c>
      <c r="BK2162" s="8">
        <v>79.08</v>
      </c>
      <c r="BL2162" s="2" t="s">
        <v>715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109</v>
      </c>
      <c r="BV2162" s="2" t="s">
        <v>97</v>
      </c>
      <c r="BW2162" s="2" t="s">
        <v>3940</v>
      </c>
      <c r="BX2162" s="2" t="s">
        <v>100</v>
      </c>
      <c r="BY2162" s="2" t="s">
        <v>112</v>
      </c>
      <c r="BZ2162" s="2" t="s">
        <v>100</v>
      </c>
    </row>
    <row r="2163">
      <c r="A2163" s="2" t="s">
        <v>6158</v>
      </c>
      <c r="B2163" s="2" t="s">
        <v>87</v>
      </c>
      <c r="C2163" s="2" t="s">
        <v>6099</v>
      </c>
      <c r="D2163" s="2" t="s">
        <v>3079</v>
      </c>
      <c r="E2163" s="2" t="s">
        <v>3080</v>
      </c>
      <c r="F2163" s="2" t="s">
        <v>6107</v>
      </c>
      <c r="G2163" s="2" t="s">
        <v>100</v>
      </c>
      <c r="H2163" s="2" t="s">
        <v>100</v>
      </c>
      <c r="I2163" s="2" t="s">
        <v>4398</v>
      </c>
      <c r="J2163" s="2" t="s">
        <v>120</v>
      </c>
      <c r="K2163" s="2" t="s">
        <v>1659</v>
      </c>
      <c r="L2163" s="3">
        <v>84.6</v>
      </c>
      <c r="M2163" s="3">
        <v>88.83</v>
      </c>
      <c r="N2163" s="3">
        <v>179.99</v>
      </c>
      <c r="O2163" s="2" t="s">
        <v>97</v>
      </c>
      <c r="P2163" s="2" t="s">
        <v>98</v>
      </c>
      <c r="Q2163" s="2" t="s">
        <v>99</v>
      </c>
      <c r="R2163" s="2" t="s">
        <v>100</v>
      </c>
      <c r="S2163" s="2" t="s">
        <v>6124</v>
      </c>
      <c r="T2163" s="2" t="s">
        <v>100</v>
      </c>
      <c r="U2163" s="2" t="s">
        <v>1508</v>
      </c>
      <c r="V2163" s="2" t="s">
        <v>677</v>
      </c>
      <c r="W2163" s="2" t="s">
        <v>1064</v>
      </c>
      <c r="X2163" s="2" t="s">
        <v>976</v>
      </c>
      <c r="Y2163" s="2" t="s">
        <v>3870</v>
      </c>
      <c r="Z2163" s="4">
        <v>188</v>
      </c>
      <c r="AA2163" s="4">
        <f>=ROUNDDOWN(47,0)</f>
      </c>
      <c r="AB2163" s="5">
        <v>4</v>
      </c>
      <c r="AC2163" s="2" t="s">
        <v>100</v>
      </c>
      <c r="AD2163" s="4"/>
      <c r="AE2163" s="4"/>
      <c r="AF2163" s="6">
        <v>63</v>
      </c>
      <c r="AG2163" s="6"/>
      <c r="AH2163" s="7">
        <v>1</v>
      </c>
      <c r="AI2163" s="4"/>
      <c r="AJ2163" s="4">
        <f>=ROUNDDOWN({0},0)</f>
      </c>
      <c r="AK2163" s="5"/>
      <c r="AL2163" s="2" t="s">
        <v>100</v>
      </c>
      <c r="AM2163" s="4"/>
      <c r="AN2163" s="4"/>
      <c r="AO2163" s="7">
        <v>0</v>
      </c>
      <c r="AP2163" s="4"/>
      <c r="AQ2163" s="8"/>
      <c r="AR2163" s="4"/>
      <c r="AS2163" s="8"/>
      <c r="AT2163" s="7"/>
      <c r="AU2163" s="7"/>
      <c r="AV2163" s="4" t="s">
        <v>100</v>
      </c>
      <c r="AW2163" s="8" t="s">
        <v>100</v>
      </c>
      <c r="AX2163" s="4" t="s">
        <v>100</v>
      </c>
      <c r="AY2163" s="8" t="s">
        <v>100</v>
      </c>
      <c r="AZ2163" s="7" t="s">
        <v>100</v>
      </c>
      <c r="BA2163" s="7" t="s">
        <v>100</v>
      </c>
      <c r="BB2163" s="7"/>
      <c r="BC2163" s="4" t="s">
        <v>100</v>
      </c>
      <c r="BD2163" s="8" t="s">
        <v>100</v>
      </c>
      <c r="BE2163" s="4" t="s">
        <v>100</v>
      </c>
      <c r="BF2163" s="8" t="s">
        <v>100</v>
      </c>
      <c r="BG2163" s="7" t="s">
        <v>100</v>
      </c>
      <c r="BH2163" s="7" t="s">
        <v>100</v>
      </c>
      <c r="BI2163" s="7"/>
      <c r="BJ2163" s="4">
        <v>3</v>
      </c>
      <c r="BK2163" s="8">
        <v>267.52</v>
      </c>
      <c r="BL2163" s="2" t="s">
        <v>3827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109</v>
      </c>
      <c r="BV2163" s="2" t="s">
        <v>97</v>
      </c>
      <c r="BW2163" s="2" t="s">
        <v>3940</v>
      </c>
      <c r="BX2163" s="2" t="s">
        <v>100</v>
      </c>
      <c r="BY2163" s="2" t="s">
        <v>112</v>
      </c>
      <c r="BZ2163" s="2" t="s">
        <v>100</v>
      </c>
    </row>
    <row r="2164">
      <c r="A2164" s="2" t="s">
        <v>6159</v>
      </c>
      <c r="B2164" s="2" t="s">
        <v>87</v>
      </c>
      <c r="C2164" s="2" t="s">
        <v>6099</v>
      </c>
      <c r="D2164" s="2" t="s">
        <v>3079</v>
      </c>
      <c r="E2164" s="2" t="s">
        <v>3080</v>
      </c>
      <c r="F2164" s="2" t="s">
        <v>6110</v>
      </c>
      <c r="G2164" s="2" t="s">
        <v>6110</v>
      </c>
      <c r="H2164" s="2" t="s">
        <v>6110</v>
      </c>
      <c r="I2164" s="2" t="s">
        <v>6160</v>
      </c>
      <c r="J2164" s="2" t="s">
        <v>785</v>
      </c>
      <c r="K2164" s="2" t="s">
        <v>146</v>
      </c>
      <c r="L2164" s="3">
        <v>75.2</v>
      </c>
      <c r="M2164" s="3">
        <v>78.96</v>
      </c>
      <c r="N2164" s="3">
        <v>159.99</v>
      </c>
      <c r="O2164" s="2" t="s">
        <v>97</v>
      </c>
      <c r="P2164" s="2" t="s">
        <v>242</v>
      </c>
      <c r="Q2164" s="2" t="s">
        <v>99</v>
      </c>
      <c r="R2164" s="2" t="s">
        <v>100</v>
      </c>
      <c r="S2164" s="2" t="s">
        <v>6112</v>
      </c>
      <c r="T2164" s="2" t="s">
        <v>359</v>
      </c>
      <c r="U2164" s="2" t="s">
        <v>1508</v>
      </c>
      <c r="V2164" s="2" t="s">
        <v>645</v>
      </c>
      <c r="W2164" s="2" t="s">
        <v>104</v>
      </c>
      <c r="X2164" s="2" t="s">
        <v>105</v>
      </c>
      <c r="Y2164" s="2" t="s">
        <v>6113</v>
      </c>
      <c r="Z2164" s="4">
        <v>75</v>
      </c>
      <c r="AA2164" s="4">
        <f>=ROUNDDOWN(37.5,0)</f>
      </c>
      <c r="AB2164" s="5">
        <v>2</v>
      </c>
      <c r="AC2164" s="2" t="s">
        <v>100</v>
      </c>
      <c r="AD2164" s="4"/>
      <c r="AE2164" s="4"/>
      <c r="AF2164" s="6">
        <v>65</v>
      </c>
      <c r="AG2164" s="6"/>
      <c r="AH2164" s="7">
        <v>1</v>
      </c>
      <c r="AI2164" s="4"/>
      <c r="AJ2164" s="4">
        <f>=ROUNDDOWN({0},0)</f>
      </c>
      <c r="AK2164" s="5"/>
      <c r="AL2164" s="2" t="s">
        <v>100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 t="s">
        <v>100</v>
      </c>
      <c r="AW2164" s="8" t="s">
        <v>100</v>
      </c>
      <c r="AX2164" s="4" t="s">
        <v>100</v>
      </c>
      <c r="AY2164" s="8" t="s">
        <v>100</v>
      </c>
      <c r="AZ2164" s="7" t="s">
        <v>100</v>
      </c>
      <c r="BA2164" s="7" t="s">
        <v>100</v>
      </c>
      <c r="BB2164" s="7"/>
      <c r="BC2164" s="4" t="s">
        <v>100</v>
      </c>
      <c r="BD2164" s="8" t="s">
        <v>100</v>
      </c>
      <c r="BE2164" s="4" t="s">
        <v>100</v>
      </c>
      <c r="BF2164" s="8" t="s">
        <v>100</v>
      </c>
      <c r="BG2164" s="7" t="s">
        <v>100</v>
      </c>
      <c r="BH2164" s="7" t="s">
        <v>100</v>
      </c>
      <c r="BI2164" s="7"/>
      <c r="BJ2164" s="4"/>
      <c r="BK2164" s="8"/>
      <c r="BL2164" s="2" t="s">
        <v>100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109</v>
      </c>
      <c r="BV2164" s="2" t="s">
        <v>97</v>
      </c>
      <c r="BW2164" s="2" t="s">
        <v>3940</v>
      </c>
      <c r="BX2164" s="2" t="s">
        <v>6161</v>
      </c>
      <c r="BY2164" s="2" t="s">
        <v>112</v>
      </c>
      <c r="BZ2164" s="2" t="s">
        <v>100</v>
      </c>
    </row>
    <row r="2165">
      <c r="A2165" s="2" t="s">
        <v>6162</v>
      </c>
      <c r="B2165" s="2" t="s">
        <v>87</v>
      </c>
      <c r="C2165" s="2" t="s">
        <v>6099</v>
      </c>
      <c r="D2165" s="2" t="s">
        <v>3079</v>
      </c>
      <c r="E2165" s="2" t="s">
        <v>3080</v>
      </c>
      <c r="F2165" s="2" t="s">
        <v>6110</v>
      </c>
      <c r="G2165" s="2" t="s">
        <v>6110</v>
      </c>
      <c r="H2165" s="2" t="s">
        <v>6110</v>
      </c>
      <c r="I2165" s="2" t="s">
        <v>6160</v>
      </c>
      <c r="J2165" s="2" t="s">
        <v>120</v>
      </c>
      <c r="K2165" s="2" t="s">
        <v>146</v>
      </c>
      <c r="L2165" s="3">
        <v>84.6</v>
      </c>
      <c r="M2165" s="3">
        <v>88.83</v>
      </c>
      <c r="N2165" s="3">
        <v>179.99</v>
      </c>
      <c r="O2165" s="2" t="s">
        <v>97</v>
      </c>
      <c r="P2165" s="2" t="s">
        <v>242</v>
      </c>
      <c r="Q2165" s="2" t="s">
        <v>99</v>
      </c>
      <c r="R2165" s="2" t="s">
        <v>100</v>
      </c>
      <c r="S2165" s="2" t="s">
        <v>6112</v>
      </c>
      <c r="T2165" s="2" t="s">
        <v>359</v>
      </c>
      <c r="U2165" s="2" t="s">
        <v>1508</v>
      </c>
      <c r="V2165" s="2" t="s">
        <v>645</v>
      </c>
      <c r="W2165" s="2" t="s">
        <v>104</v>
      </c>
      <c r="X2165" s="2" t="s">
        <v>105</v>
      </c>
      <c r="Y2165" s="2" t="s">
        <v>6113</v>
      </c>
      <c r="Z2165" s="4">
        <v>59</v>
      </c>
      <c r="AA2165" s="4">
        <f>=ROUNDDOWN(13.1111111111111,0)</f>
      </c>
      <c r="AB2165" s="5">
        <v>4.5</v>
      </c>
      <c r="AC2165" s="2" t="s">
        <v>860</v>
      </c>
      <c r="AD2165" s="4">
        <v>88</v>
      </c>
      <c r="AE2165" s="4">
        <v>88</v>
      </c>
      <c r="AF2165" s="6">
        <v>65</v>
      </c>
      <c r="AG2165" s="6"/>
      <c r="AH2165" s="7">
        <v>1</v>
      </c>
      <c r="AI2165" s="4"/>
      <c r="AJ2165" s="4">
        <f>=ROUNDDOWN({0},0)</f>
      </c>
      <c r="AK2165" s="5"/>
      <c r="AL2165" s="2" t="s">
        <v>100</v>
      </c>
      <c r="AM2165" s="4"/>
      <c r="AN2165" s="4"/>
      <c r="AO2165" s="7">
        <v>0</v>
      </c>
      <c r="AP2165" s="4"/>
      <c r="AQ2165" s="8"/>
      <c r="AR2165" s="4"/>
      <c r="AS2165" s="8"/>
      <c r="AT2165" s="7"/>
      <c r="AU2165" s="7"/>
      <c r="AV2165" s="4" t="s">
        <v>100</v>
      </c>
      <c r="AW2165" s="8" t="s">
        <v>100</v>
      </c>
      <c r="AX2165" s="4" t="s">
        <v>100</v>
      </c>
      <c r="AY2165" s="8" t="s">
        <v>100</v>
      </c>
      <c r="AZ2165" s="7" t="s">
        <v>100</v>
      </c>
      <c r="BA2165" s="7" t="s">
        <v>100</v>
      </c>
      <c r="BB2165" s="7"/>
      <c r="BC2165" s="4" t="s">
        <v>100</v>
      </c>
      <c r="BD2165" s="8" t="s">
        <v>100</v>
      </c>
      <c r="BE2165" s="4" t="s">
        <v>100</v>
      </c>
      <c r="BF2165" s="8" t="s">
        <v>100</v>
      </c>
      <c r="BG2165" s="7" t="s">
        <v>100</v>
      </c>
      <c r="BH2165" s="7" t="s">
        <v>100</v>
      </c>
      <c r="BI2165" s="7"/>
      <c r="BJ2165" s="4"/>
      <c r="BK2165" s="8"/>
      <c r="BL2165" s="2" t="s">
        <v>100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109</v>
      </c>
      <c r="BV2165" s="2" t="s">
        <v>97</v>
      </c>
      <c r="BW2165" s="2" t="s">
        <v>3940</v>
      </c>
      <c r="BX2165" s="2" t="s">
        <v>6163</v>
      </c>
      <c r="BY2165" s="2" t="s">
        <v>112</v>
      </c>
      <c r="BZ2165" s="2" t="s">
        <v>100</v>
      </c>
    </row>
    <row r="2166">
      <c r="A2166" s="2" t="s">
        <v>6164</v>
      </c>
      <c r="B2166" s="2" t="s">
        <v>87</v>
      </c>
      <c r="C2166" s="2" t="s">
        <v>6099</v>
      </c>
      <c r="D2166" s="2" t="s">
        <v>3079</v>
      </c>
      <c r="E2166" s="2" t="s">
        <v>3080</v>
      </c>
      <c r="F2166" s="2" t="s">
        <v>6110</v>
      </c>
      <c r="G2166" s="2" t="s">
        <v>6110</v>
      </c>
      <c r="H2166" s="2" t="s">
        <v>6110</v>
      </c>
      <c r="I2166" s="2" t="s">
        <v>6160</v>
      </c>
      <c r="J2166" s="2" t="s">
        <v>785</v>
      </c>
      <c r="K2166" s="2" t="s">
        <v>213</v>
      </c>
      <c r="L2166" s="3">
        <v>75.2</v>
      </c>
      <c r="M2166" s="3">
        <v>78.96</v>
      </c>
      <c r="N2166" s="3">
        <v>159.99</v>
      </c>
      <c r="O2166" s="2" t="s">
        <v>97</v>
      </c>
      <c r="P2166" s="2" t="s">
        <v>242</v>
      </c>
      <c r="Q2166" s="2" t="s">
        <v>99</v>
      </c>
      <c r="R2166" s="2" t="s">
        <v>100</v>
      </c>
      <c r="S2166" s="2" t="s">
        <v>6131</v>
      </c>
      <c r="T2166" s="2" t="s">
        <v>359</v>
      </c>
      <c r="U2166" s="2" t="s">
        <v>1508</v>
      </c>
      <c r="V2166" s="2" t="s">
        <v>645</v>
      </c>
      <c r="W2166" s="2" t="s">
        <v>104</v>
      </c>
      <c r="X2166" s="2" t="s">
        <v>105</v>
      </c>
      <c r="Y2166" s="2" t="s">
        <v>6113</v>
      </c>
      <c r="Z2166" s="4">
        <v>34</v>
      </c>
      <c r="AA2166" s="4">
        <f>=ROUNDDOWN(11.3333333333333,0)</f>
      </c>
      <c r="AB2166" s="5">
        <v>3</v>
      </c>
      <c r="AC2166" s="2" t="s">
        <v>860</v>
      </c>
      <c r="AD2166" s="4">
        <v>25</v>
      </c>
      <c r="AE2166" s="4">
        <v>25</v>
      </c>
      <c r="AF2166" s="6">
        <v>65</v>
      </c>
      <c r="AG2166" s="6"/>
      <c r="AH2166" s="7">
        <v>1</v>
      </c>
      <c r="AI2166" s="4"/>
      <c r="AJ2166" s="4">
        <f>=ROUNDDOWN({0},0)</f>
      </c>
      <c r="AK2166" s="5"/>
      <c r="AL2166" s="2" t="s">
        <v>100</v>
      </c>
      <c r="AM2166" s="4"/>
      <c r="AN2166" s="4"/>
      <c r="AO2166" s="7">
        <v>0</v>
      </c>
      <c r="AP2166" s="4"/>
      <c r="AQ2166" s="8"/>
      <c r="AR2166" s="4"/>
      <c r="AS2166" s="8"/>
      <c r="AT2166" s="7"/>
      <c r="AU2166" s="7"/>
      <c r="AV2166" s="4" t="s">
        <v>100</v>
      </c>
      <c r="AW2166" s="8" t="s">
        <v>100</v>
      </c>
      <c r="AX2166" s="4" t="s">
        <v>100</v>
      </c>
      <c r="AY2166" s="8" t="s">
        <v>100</v>
      </c>
      <c r="AZ2166" s="7" t="s">
        <v>100</v>
      </c>
      <c r="BA2166" s="7" t="s">
        <v>100</v>
      </c>
      <c r="BB2166" s="7"/>
      <c r="BC2166" s="4" t="s">
        <v>100</v>
      </c>
      <c r="BD2166" s="8" t="s">
        <v>100</v>
      </c>
      <c r="BE2166" s="4" t="s">
        <v>100</v>
      </c>
      <c r="BF2166" s="8" t="s">
        <v>100</v>
      </c>
      <c r="BG2166" s="7" t="s">
        <v>100</v>
      </c>
      <c r="BH2166" s="7" t="s">
        <v>100</v>
      </c>
      <c r="BI2166" s="7"/>
      <c r="BJ2166" s="4"/>
      <c r="BK2166" s="8"/>
      <c r="BL2166" s="2" t="s">
        <v>100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109</v>
      </c>
      <c r="BV2166" s="2" t="s">
        <v>97</v>
      </c>
      <c r="BW2166" s="2" t="s">
        <v>5380</v>
      </c>
      <c r="BX2166" s="2" t="s">
        <v>6165</v>
      </c>
      <c r="BY2166" s="2" t="s">
        <v>112</v>
      </c>
      <c r="BZ2166" s="2" t="s">
        <v>100</v>
      </c>
    </row>
    <row r="2167">
      <c r="A2167" s="2" t="s">
        <v>6166</v>
      </c>
      <c r="B2167" s="2" t="s">
        <v>87</v>
      </c>
      <c r="C2167" s="2" t="s">
        <v>6099</v>
      </c>
      <c r="D2167" s="2" t="s">
        <v>3079</v>
      </c>
      <c r="E2167" s="2" t="s">
        <v>3080</v>
      </c>
      <c r="F2167" s="2" t="s">
        <v>6110</v>
      </c>
      <c r="G2167" s="2" t="s">
        <v>6110</v>
      </c>
      <c r="H2167" s="2" t="s">
        <v>6110</v>
      </c>
      <c r="I2167" s="2" t="s">
        <v>6160</v>
      </c>
      <c r="J2167" s="2" t="s">
        <v>120</v>
      </c>
      <c r="K2167" s="2" t="s">
        <v>213</v>
      </c>
      <c r="L2167" s="3">
        <v>84.6</v>
      </c>
      <c r="M2167" s="3">
        <v>88.83</v>
      </c>
      <c r="N2167" s="3">
        <v>179.99</v>
      </c>
      <c r="O2167" s="2" t="s">
        <v>97</v>
      </c>
      <c r="P2167" s="2" t="s">
        <v>242</v>
      </c>
      <c r="Q2167" s="2" t="s">
        <v>99</v>
      </c>
      <c r="R2167" s="2" t="s">
        <v>100</v>
      </c>
      <c r="S2167" s="2" t="s">
        <v>6131</v>
      </c>
      <c r="T2167" s="2" t="s">
        <v>359</v>
      </c>
      <c r="U2167" s="2" t="s">
        <v>1508</v>
      </c>
      <c r="V2167" s="2" t="s">
        <v>645</v>
      </c>
      <c r="W2167" s="2" t="s">
        <v>104</v>
      </c>
      <c r="X2167" s="2" t="s">
        <v>105</v>
      </c>
      <c r="Y2167" s="2" t="s">
        <v>6113</v>
      </c>
      <c r="Z2167" s="4">
        <v>68</v>
      </c>
      <c r="AA2167" s="4">
        <f>=ROUNDDOWN(11.3333333333333,0)</f>
      </c>
      <c r="AB2167" s="5">
        <v>6</v>
      </c>
      <c r="AC2167" s="2" t="s">
        <v>860</v>
      </c>
      <c r="AD2167" s="4">
        <v>90</v>
      </c>
      <c r="AE2167" s="4">
        <v>90</v>
      </c>
      <c r="AF2167" s="6">
        <v>65</v>
      </c>
      <c r="AG2167" s="6"/>
      <c r="AH2167" s="7">
        <v>1</v>
      </c>
      <c r="AI2167" s="4"/>
      <c r="AJ2167" s="4">
        <f>=ROUNDDOWN({0},0)</f>
      </c>
      <c r="AK2167" s="5"/>
      <c r="AL2167" s="2" t="s">
        <v>100</v>
      </c>
      <c r="AM2167" s="4"/>
      <c r="AN2167" s="4"/>
      <c r="AO2167" s="7">
        <v>0</v>
      </c>
      <c r="AP2167" s="4"/>
      <c r="AQ2167" s="8"/>
      <c r="AR2167" s="4"/>
      <c r="AS2167" s="8"/>
      <c r="AT2167" s="7"/>
      <c r="AU2167" s="7"/>
      <c r="AV2167" s="4" t="s">
        <v>100</v>
      </c>
      <c r="AW2167" s="8" t="s">
        <v>100</v>
      </c>
      <c r="AX2167" s="4" t="s">
        <v>100</v>
      </c>
      <c r="AY2167" s="8" t="s">
        <v>100</v>
      </c>
      <c r="AZ2167" s="7" t="s">
        <v>100</v>
      </c>
      <c r="BA2167" s="7" t="s">
        <v>100</v>
      </c>
      <c r="BB2167" s="7"/>
      <c r="BC2167" s="4" t="s">
        <v>100</v>
      </c>
      <c r="BD2167" s="8" t="s">
        <v>100</v>
      </c>
      <c r="BE2167" s="4" t="s">
        <v>100</v>
      </c>
      <c r="BF2167" s="8" t="s">
        <v>100</v>
      </c>
      <c r="BG2167" s="7" t="s">
        <v>100</v>
      </c>
      <c r="BH2167" s="7" t="s">
        <v>100</v>
      </c>
      <c r="BI2167" s="7"/>
      <c r="BJ2167" s="4">
        <v>3</v>
      </c>
      <c r="BK2167" s="8">
        <v>257.97</v>
      </c>
      <c r="BL2167" s="2" t="s">
        <v>6167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109</v>
      </c>
      <c r="BV2167" s="2" t="s">
        <v>97</v>
      </c>
      <c r="BW2167" s="2" t="s">
        <v>3940</v>
      </c>
      <c r="BX2167" s="2" t="s">
        <v>6168</v>
      </c>
      <c r="BY2167" s="2" t="s">
        <v>112</v>
      </c>
      <c r="BZ2167" s="2" t="s">
        <v>100</v>
      </c>
    </row>
    <row r="2168">
      <c r="A2168" s="2" t="s">
        <v>6169</v>
      </c>
      <c r="B2168" s="2" t="s">
        <v>87</v>
      </c>
      <c r="C2168" s="2" t="s">
        <v>6099</v>
      </c>
      <c r="D2168" s="2" t="s">
        <v>3079</v>
      </c>
      <c r="E2168" s="2" t="s">
        <v>3080</v>
      </c>
      <c r="F2168" s="2" t="s">
        <v>6137</v>
      </c>
      <c r="G2168" s="2" t="s">
        <v>6137</v>
      </c>
      <c r="H2168" s="2" t="s">
        <v>6137</v>
      </c>
      <c r="I2168" s="2" t="s">
        <v>6170</v>
      </c>
      <c r="J2168" s="2" t="s">
        <v>785</v>
      </c>
      <c r="K2168" s="2" t="s">
        <v>2168</v>
      </c>
      <c r="L2168" s="3">
        <v>75.2</v>
      </c>
      <c r="M2168" s="3">
        <v>78.96</v>
      </c>
      <c r="N2168" s="3">
        <v>159.99</v>
      </c>
      <c r="O2168" s="2" t="s">
        <v>97</v>
      </c>
      <c r="P2168" s="2" t="s">
        <v>242</v>
      </c>
      <c r="Q2168" s="2" t="s">
        <v>99</v>
      </c>
      <c r="R2168" s="2" t="s">
        <v>100</v>
      </c>
      <c r="S2168" s="2" t="s">
        <v>6139</v>
      </c>
      <c r="T2168" s="2" t="s">
        <v>359</v>
      </c>
      <c r="U2168" s="2" t="s">
        <v>1508</v>
      </c>
      <c r="V2168" s="2" t="s">
        <v>677</v>
      </c>
      <c r="W2168" s="2" t="s">
        <v>1064</v>
      </c>
      <c r="X2168" s="2" t="s">
        <v>345</v>
      </c>
      <c r="Y2168" s="2" t="s">
        <v>716</v>
      </c>
      <c r="Z2168" s="4">
        <v>42</v>
      </c>
      <c r="AA2168" s="4">
        <f>=ROUNDDOWN(7,0)</f>
      </c>
      <c r="AB2168" s="5">
        <v>6</v>
      </c>
      <c r="AC2168" s="2" t="s">
        <v>680</v>
      </c>
      <c r="AD2168" s="4">
        <v>85</v>
      </c>
      <c r="AE2168" s="4">
        <v>145</v>
      </c>
      <c r="AF2168" s="6">
        <v>63</v>
      </c>
      <c r="AG2168" s="6"/>
      <c r="AH2168" s="7">
        <v>1</v>
      </c>
      <c r="AI2168" s="4"/>
      <c r="AJ2168" s="4">
        <f>=ROUNDDOWN({0},0)</f>
      </c>
      <c r="AK2168" s="5"/>
      <c r="AL2168" s="2" t="s">
        <v>100</v>
      </c>
      <c r="AM2168" s="4"/>
      <c r="AN2168" s="4"/>
      <c r="AO2168" s="7">
        <v>0</v>
      </c>
      <c r="AP2168" s="4"/>
      <c r="AQ2168" s="8"/>
      <c r="AR2168" s="4"/>
      <c r="AS2168" s="8"/>
      <c r="AT2168" s="7"/>
      <c r="AU2168" s="7"/>
      <c r="AV2168" s="4" t="s">
        <v>100</v>
      </c>
      <c r="AW2168" s="8" t="s">
        <v>100</v>
      </c>
      <c r="AX2168" s="4" t="s">
        <v>100</v>
      </c>
      <c r="AY2168" s="8" t="s">
        <v>100</v>
      </c>
      <c r="AZ2168" s="7" t="s">
        <v>100</v>
      </c>
      <c r="BA2168" s="7" t="s">
        <v>100</v>
      </c>
      <c r="BB2168" s="7"/>
      <c r="BC2168" s="4" t="s">
        <v>100</v>
      </c>
      <c r="BD2168" s="8" t="s">
        <v>100</v>
      </c>
      <c r="BE2168" s="4" t="s">
        <v>100</v>
      </c>
      <c r="BF2168" s="8" t="s">
        <v>100</v>
      </c>
      <c r="BG2168" s="7" t="s">
        <v>100</v>
      </c>
      <c r="BH2168" s="7" t="s">
        <v>100</v>
      </c>
      <c r="BI2168" s="7"/>
      <c r="BJ2168" s="4">
        <v>3</v>
      </c>
      <c r="BK2168" s="8">
        <v>237.58</v>
      </c>
      <c r="BL2168" s="2" t="s">
        <v>986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109</v>
      </c>
      <c r="BV2168" s="2" t="s">
        <v>97</v>
      </c>
      <c r="BW2168" s="2" t="s">
        <v>5188</v>
      </c>
      <c r="BX2168" s="2" t="s">
        <v>3598</v>
      </c>
      <c r="BY2168" s="2" t="s">
        <v>112</v>
      </c>
      <c r="BZ2168" s="2" t="s">
        <v>100</v>
      </c>
    </row>
    <row r="2169">
      <c r="A2169" s="2" t="s">
        <v>6171</v>
      </c>
      <c r="B2169" s="2" t="s">
        <v>87</v>
      </c>
      <c r="C2169" s="2" t="s">
        <v>6099</v>
      </c>
      <c r="D2169" s="2" t="s">
        <v>3079</v>
      </c>
      <c r="E2169" s="2" t="s">
        <v>3080</v>
      </c>
      <c r="F2169" s="2" t="s">
        <v>6137</v>
      </c>
      <c r="G2169" s="2" t="s">
        <v>6137</v>
      </c>
      <c r="H2169" s="2" t="s">
        <v>6137</v>
      </c>
      <c r="I2169" s="2" t="s">
        <v>6170</v>
      </c>
      <c r="J2169" s="2" t="s">
        <v>120</v>
      </c>
      <c r="K2169" s="2" t="s">
        <v>2168</v>
      </c>
      <c r="L2169" s="3">
        <v>84.6</v>
      </c>
      <c r="M2169" s="3">
        <v>88.83</v>
      </c>
      <c r="N2169" s="3">
        <v>179.99</v>
      </c>
      <c r="O2169" s="2" t="s">
        <v>97</v>
      </c>
      <c r="P2169" s="2" t="s">
        <v>242</v>
      </c>
      <c r="Q2169" s="2" t="s">
        <v>99</v>
      </c>
      <c r="R2169" s="2" t="s">
        <v>100</v>
      </c>
      <c r="S2169" s="2" t="s">
        <v>6139</v>
      </c>
      <c r="T2169" s="2" t="s">
        <v>359</v>
      </c>
      <c r="U2169" s="2" t="s">
        <v>1508</v>
      </c>
      <c r="V2169" s="2" t="s">
        <v>677</v>
      </c>
      <c r="W2169" s="2" t="s">
        <v>1064</v>
      </c>
      <c r="X2169" s="2" t="s">
        <v>345</v>
      </c>
      <c r="Y2169" s="2" t="s">
        <v>716</v>
      </c>
      <c r="Z2169" s="4">
        <v>35</v>
      </c>
      <c r="AA2169" s="4">
        <f>=ROUNDDOWN(5.83333333333333,0)</f>
      </c>
      <c r="AB2169" s="5">
        <v>6</v>
      </c>
      <c r="AC2169" s="2" t="s">
        <v>680</v>
      </c>
      <c r="AD2169" s="4">
        <v>85</v>
      </c>
      <c r="AE2169" s="4">
        <v>144</v>
      </c>
      <c r="AF2169" s="6">
        <v>63</v>
      </c>
      <c r="AG2169" s="6"/>
      <c r="AH2169" s="7">
        <v>1</v>
      </c>
      <c r="AI2169" s="4"/>
      <c r="AJ2169" s="4">
        <f>=ROUNDDOWN({0},0)</f>
      </c>
      <c r="AK2169" s="5"/>
      <c r="AL2169" s="2" t="s">
        <v>100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 t="s">
        <v>100</v>
      </c>
      <c r="AW2169" s="8" t="s">
        <v>100</v>
      </c>
      <c r="AX2169" s="4" t="s">
        <v>100</v>
      </c>
      <c r="AY2169" s="8" t="s">
        <v>100</v>
      </c>
      <c r="AZ2169" s="7" t="s">
        <v>100</v>
      </c>
      <c r="BA2169" s="7" t="s">
        <v>100</v>
      </c>
      <c r="BB2169" s="7"/>
      <c r="BC2169" s="4" t="s">
        <v>100</v>
      </c>
      <c r="BD2169" s="8" t="s">
        <v>100</v>
      </c>
      <c r="BE2169" s="4" t="s">
        <v>100</v>
      </c>
      <c r="BF2169" s="8" t="s">
        <v>100</v>
      </c>
      <c r="BG2169" s="7" t="s">
        <v>100</v>
      </c>
      <c r="BH2169" s="7" t="s">
        <v>100</v>
      </c>
      <c r="BI2169" s="7"/>
      <c r="BJ2169" s="4">
        <v>3</v>
      </c>
      <c r="BK2169" s="8">
        <v>238.73</v>
      </c>
      <c r="BL2169" s="2" t="s">
        <v>224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109</v>
      </c>
      <c r="BV2169" s="2" t="s">
        <v>97</v>
      </c>
      <c r="BW2169" s="2" t="s">
        <v>5188</v>
      </c>
      <c r="BX2169" s="2" t="s">
        <v>6172</v>
      </c>
      <c r="BY2169" s="2" t="s">
        <v>112</v>
      </c>
      <c r="BZ2169" s="2" t="s">
        <v>100</v>
      </c>
    </row>
    <row r="2170">
      <c r="A2170" s="2" t="s">
        <v>6173</v>
      </c>
      <c r="B2170" s="2" t="s">
        <v>87</v>
      </c>
      <c r="C2170" s="2" t="s">
        <v>6099</v>
      </c>
      <c r="D2170" s="2" t="s">
        <v>4554</v>
      </c>
      <c r="E2170" s="2" t="s">
        <v>5940</v>
      </c>
      <c r="F2170" s="2" t="s">
        <v>6146</v>
      </c>
      <c r="G2170" s="2" t="s">
        <v>6146</v>
      </c>
      <c r="H2170" s="2" t="s">
        <v>6146</v>
      </c>
      <c r="I2170" s="2" t="s">
        <v>6174</v>
      </c>
      <c r="J2170" s="2" t="s">
        <v>4578</v>
      </c>
      <c r="K2170" s="2" t="s">
        <v>146</v>
      </c>
      <c r="L2170" s="3">
        <v>18</v>
      </c>
      <c r="M2170" s="3">
        <v>18.9</v>
      </c>
      <c r="N2170" s="3">
        <v>39.99</v>
      </c>
      <c r="O2170" s="2" t="s">
        <v>1715</v>
      </c>
      <c r="P2170" s="2" t="s">
        <v>447</v>
      </c>
      <c r="Q2170" s="2" t="s">
        <v>99</v>
      </c>
      <c r="R2170" s="2" t="s">
        <v>100</v>
      </c>
      <c r="S2170" s="2" t="s">
        <v>6148</v>
      </c>
      <c r="T2170" s="2" t="s">
        <v>100</v>
      </c>
      <c r="U2170" s="2" t="s">
        <v>3325</v>
      </c>
      <c r="V2170" s="2" t="s">
        <v>645</v>
      </c>
      <c r="W2170" s="2" t="s">
        <v>105</v>
      </c>
      <c r="X2170" s="2" t="s">
        <v>2527</v>
      </c>
      <c r="Y2170" s="2" t="s">
        <v>1671</v>
      </c>
      <c r="Z2170" s="4">
        <v>35</v>
      </c>
      <c r="AA2170" s="4">
        <f>=ROUNDDOWN(35,0)</f>
      </c>
      <c r="AB2170" s="5">
        <v>1</v>
      </c>
      <c r="AC2170" s="2" t="s">
        <v>100</v>
      </c>
      <c r="AD2170" s="4"/>
      <c r="AE2170" s="4"/>
      <c r="AF2170" s="6">
        <v>65</v>
      </c>
      <c r="AG2170" s="6"/>
      <c r="AH2170" s="7">
        <v>1</v>
      </c>
      <c r="AI2170" s="4"/>
      <c r="AJ2170" s="4">
        <f>=ROUNDDOWN({0},0)</f>
      </c>
      <c r="AK2170" s="5"/>
      <c r="AL2170" s="2" t="s">
        <v>100</v>
      </c>
      <c r="AM2170" s="4"/>
      <c r="AN2170" s="4"/>
      <c r="AO2170" s="7">
        <v>0</v>
      </c>
      <c r="AP2170" s="4"/>
      <c r="AQ2170" s="8"/>
      <c r="AR2170" s="4"/>
      <c r="AS2170" s="8"/>
      <c r="AT2170" s="7"/>
      <c r="AU2170" s="7"/>
      <c r="AV2170" s="4"/>
      <c r="AW2170" s="8"/>
      <c r="AX2170" s="4"/>
      <c r="AY2170" s="8"/>
      <c r="AZ2170" s="7"/>
      <c r="BA2170" s="7"/>
      <c r="BB2170" s="7"/>
      <c r="BC2170" s="4"/>
      <c r="BD2170" s="8"/>
      <c r="BE2170" s="4"/>
      <c r="BF2170" s="8"/>
      <c r="BG2170" s="7"/>
      <c r="BH2170" s="7"/>
      <c r="BI2170" s="7"/>
      <c r="BJ2170" s="4">
        <v>4</v>
      </c>
      <c r="BK2170" s="8">
        <v>83.16</v>
      </c>
      <c r="BL2170" s="2" t="s">
        <v>1310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3088</v>
      </c>
      <c r="BV2170" s="2" t="s">
        <v>97</v>
      </c>
      <c r="BW2170" s="2" t="s">
        <v>100</v>
      </c>
      <c r="BX2170" s="2" t="s">
        <v>100</v>
      </c>
      <c r="BY2170" s="2" t="s">
        <v>112</v>
      </c>
      <c r="BZ2170" s="2" t="s">
        <v>100</v>
      </c>
    </row>
    <row r="2171">
      <c r="A2171" s="2" t="s">
        <v>6175</v>
      </c>
      <c r="B2171" s="2" t="s">
        <v>87</v>
      </c>
      <c r="C2171" s="2" t="s">
        <v>6099</v>
      </c>
      <c r="D2171" s="2" t="s">
        <v>4554</v>
      </c>
      <c r="E2171" s="2" t="s">
        <v>4555</v>
      </c>
      <c r="F2171" s="2" t="s">
        <v>6107</v>
      </c>
      <c r="G2171" s="2" t="s">
        <v>100</v>
      </c>
      <c r="H2171" s="2" t="s">
        <v>100</v>
      </c>
      <c r="I2171" s="2" t="s">
        <v>5371</v>
      </c>
      <c r="J2171" s="2" t="s">
        <v>6176</v>
      </c>
      <c r="K2171" s="2" t="s">
        <v>146</v>
      </c>
      <c r="L2171" s="3">
        <v>19.8</v>
      </c>
      <c r="M2171" s="3">
        <v>20.79</v>
      </c>
      <c r="N2171" s="3">
        <v>44.99</v>
      </c>
      <c r="O2171" s="2" t="s">
        <v>97</v>
      </c>
      <c r="P2171" s="2" t="s">
        <v>447</v>
      </c>
      <c r="Q2171" s="2" t="s">
        <v>99</v>
      </c>
      <c r="R2171" s="2" t="s">
        <v>100</v>
      </c>
      <c r="S2171" s="2" t="s">
        <v>6177</v>
      </c>
      <c r="T2171" s="2" t="s">
        <v>100</v>
      </c>
      <c r="U2171" s="2" t="s">
        <v>3325</v>
      </c>
      <c r="V2171" s="2" t="s">
        <v>734</v>
      </c>
      <c r="W2171" s="2" t="s">
        <v>1064</v>
      </c>
      <c r="X2171" s="2" t="s">
        <v>976</v>
      </c>
      <c r="Y2171" s="2" t="s">
        <v>131</v>
      </c>
      <c r="Z2171" s="4">
        <v>35</v>
      </c>
      <c r="AA2171" s="4">
        <f>=ROUNDDOWN(43.75,0)</f>
      </c>
      <c r="AB2171" s="5">
        <v>0.8</v>
      </c>
      <c r="AC2171" s="2" t="s">
        <v>100</v>
      </c>
      <c r="AD2171" s="4"/>
      <c r="AE2171" s="4"/>
      <c r="AF2171" s="6">
        <v>68</v>
      </c>
      <c r="AG2171" s="6"/>
      <c r="AH2171" s="7">
        <v>1</v>
      </c>
      <c r="AI2171" s="4"/>
      <c r="AJ2171" s="4">
        <f>=ROUNDDOWN({0},0)</f>
      </c>
      <c r="AK2171" s="5"/>
      <c r="AL2171" s="2" t="s">
        <v>100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/>
      <c r="AW2171" s="8"/>
      <c r="AX2171" s="4"/>
      <c r="AY2171" s="8"/>
      <c r="AZ2171" s="7"/>
      <c r="BA2171" s="7"/>
      <c r="BB2171" s="7"/>
      <c r="BC2171" s="4" t="s">
        <v>100</v>
      </c>
      <c r="BD2171" s="8" t="s">
        <v>100</v>
      </c>
      <c r="BE2171" s="4" t="s">
        <v>100</v>
      </c>
      <c r="BF2171" s="8" t="s">
        <v>100</v>
      </c>
      <c r="BG2171" s="7" t="s">
        <v>100</v>
      </c>
      <c r="BH2171" s="7" t="s">
        <v>100</v>
      </c>
      <c r="BI2171" s="7"/>
      <c r="BJ2171" s="4">
        <v>2</v>
      </c>
      <c r="BK2171" s="8">
        <v>22.17</v>
      </c>
      <c r="BL2171" s="2" t="s">
        <v>224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109</v>
      </c>
      <c r="BV2171" s="2" t="s">
        <v>97</v>
      </c>
      <c r="BW2171" s="2" t="s">
        <v>3940</v>
      </c>
      <c r="BX2171" s="2" t="s">
        <v>1398</v>
      </c>
      <c r="BY2171" s="2" t="s">
        <v>112</v>
      </c>
      <c r="BZ2171" s="2" t="s">
        <v>100</v>
      </c>
    </row>
    <row r="2172">
      <c r="A2172" s="2" t="s">
        <v>6178</v>
      </c>
      <c r="B2172" s="2" t="s">
        <v>87</v>
      </c>
      <c r="C2172" s="2" t="s">
        <v>6099</v>
      </c>
      <c r="D2172" s="2" t="s">
        <v>4554</v>
      </c>
      <c r="E2172" s="2" t="s">
        <v>4555</v>
      </c>
      <c r="F2172" s="2" t="s">
        <v>6107</v>
      </c>
      <c r="G2172" s="2" t="s">
        <v>100</v>
      </c>
      <c r="H2172" s="2" t="s">
        <v>100</v>
      </c>
      <c r="I2172" s="2" t="s">
        <v>5392</v>
      </c>
      <c r="J2172" s="2" t="s">
        <v>5387</v>
      </c>
      <c r="K2172" s="2" t="s">
        <v>1659</v>
      </c>
      <c r="L2172" s="3">
        <v>22.5</v>
      </c>
      <c r="M2172" s="3">
        <v>23.62</v>
      </c>
      <c r="N2172" s="3">
        <v>44.99</v>
      </c>
      <c r="O2172" s="2" t="s">
        <v>97</v>
      </c>
      <c r="P2172" s="2" t="s">
        <v>447</v>
      </c>
      <c r="Q2172" s="2" t="s">
        <v>99</v>
      </c>
      <c r="R2172" s="2" t="s">
        <v>100</v>
      </c>
      <c r="S2172" s="2" t="s">
        <v>6179</v>
      </c>
      <c r="T2172" s="2" t="s">
        <v>100</v>
      </c>
      <c r="U2172" s="2" t="s">
        <v>100</v>
      </c>
      <c r="V2172" s="2" t="s">
        <v>734</v>
      </c>
      <c r="W2172" s="2" t="s">
        <v>1064</v>
      </c>
      <c r="X2172" s="2" t="s">
        <v>976</v>
      </c>
      <c r="Y2172" s="2" t="s">
        <v>131</v>
      </c>
      <c r="Z2172" s="4">
        <v>2</v>
      </c>
      <c r="AA2172" s="4">
        <f>=ROUNDDOWN(4,0)</f>
      </c>
      <c r="AB2172" s="5">
        <v>0.5</v>
      </c>
      <c r="AC2172" s="2" t="s">
        <v>100</v>
      </c>
      <c r="AD2172" s="4"/>
      <c r="AE2172" s="4"/>
      <c r="AF2172" s="6">
        <v>68</v>
      </c>
      <c r="AG2172" s="6"/>
      <c r="AH2172" s="7">
        <v>1</v>
      </c>
      <c r="AI2172" s="4"/>
      <c r="AJ2172" s="4">
        <f>=ROUNDDOWN({0},0)</f>
      </c>
      <c r="AK2172" s="5"/>
      <c r="AL2172" s="2" t="s">
        <v>100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/>
      <c r="AW2172" s="8"/>
      <c r="AX2172" s="4"/>
      <c r="AY2172" s="8"/>
      <c r="AZ2172" s="7"/>
      <c r="BA2172" s="7"/>
      <c r="BB2172" s="7"/>
      <c r="BC2172" s="4" t="s">
        <v>100</v>
      </c>
      <c r="BD2172" s="8" t="s">
        <v>100</v>
      </c>
      <c r="BE2172" s="4" t="s">
        <v>100</v>
      </c>
      <c r="BF2172" s="8" t="s">
        <v>100</v>
      </c>
      <c r="BG2172" s="7" t="s">
        <v>100</v>
      </c>
      <c r="BH2172" s="7" t="s">
        <v>100</v>
      </c>
      <c r="BI2172" s="7"/>
      <c r="BJ2172" s="4">
        <v>2</v>
      </c>
      <c r="BK2172" s="8">
        <v>22.52</v>
      </c>
      <c r="BL2172" s="2" t="s">
        <v>391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109</v>
      </c>
      <c r="BV2172" s="2" t="s">
        <v>97</v>
      </c>
      <c r="BW2172" s="2" t="s">
        <v>3940</v>
      </c>
      <c r="BX2172" s="2" t="s">
        <v>3203</v>
      </c>
      <c r="BY2172" s="2" t="s">
        <v>112</v>
      </c>
      <c r="BZ2172" s="2" t="s">
        <v>100</v>
      </c>
    </row>
    <row r="2173">
      <c r="A2173" s="2" t="s">
        <v>6180</v>
      </c>
      <c r="B2173" s="2" t="s">
        <v>87</v>
      </c>
      <c r="C2173" s="2" t="s">
        <v>6099</v>
      </c>
      <c r="D2173" s="2" t="s">
        <v>4554</v>
      </c>
      <c r="E2173" s="2" t="s">
        <v>4555</v>
      </c>
      <c r="F2173" s="2" t="s">
        <v>6107</v>
      </c>
      <c r="G2173" s="2" t="s">
        <v>100</v>
      </c>
      <c r="H2173" s="2" t="s">
        <v>100</v>
      </c>
      <c r="I2173" s="2" t="s">
        <v>5392</v>
      </c>
      <c r="J2173" s="2" t="s">
        <v>4578</v>
      </c>
      <c r="K2173" s="2" t="s">
        <v>434</v>
      </c>
      <c r="L2173" s="3">
        <v>27.5</v>
      </c>
      <c r="M2173" s="3">
        <v>28.87</v>
      </c>
      <c r="N2173" s="3">
        <v>54.99</v>
      </c>
      <c r="O2173" s="2" t="s">
        <v>97</v>
      </c>
      <c r="P2173" s="2" t="s">
        <v>98</v>
      </c>
      <c r="Q2173" s="2" t="s">
        <v>99</v>
      </c>
      <c r="R2173" s="2" t="s">
        <v>100</v>
      </c>
      <c r="S2173" s="2" t="s">
        <v>6181</v>
      </c>
      <c r="T2173" s="2" t="s">
        <v>100</v>
      </c>
      <c r="U2173" s="2" t="s">
        <v>100</v>
      </c>
      <c r="V2173" s="2" t="s">
        <v>677</v>
      </c>
      <c r="W2173" s="2" t="s">
        <v>1064</v>
      </c>
      <c r="X2173" s="2" t="s">
        <v>976</v>
      </c>
      <c r="Y2173" s="2" t="s">
        <v>131</v>
      </c>
      <c r="Z2173" s="4">
        <v>89</v>
      </c>
      <c r="AA2173" s="4">
        <f>=ROUNDDOWN(44.5,0)</f>
      </c>
      <c r="AB2173" s="5">
        <v>2</v>
      </c>
      <c r="AC2173" s="2" t="s">
        <v>100</v>
      </c>
      <c r="AD2173" s="4"/>
      <c r="AE2173" s="4"/>
      <c r="AF2173" s="6">
        <v>68</v>
      </c>
      <c r="AG2173" s="6"/>
      <c r="AH2173" s="7">
        <v>1</v>
      </c>
      <c r="AI2173" s="4"/>
      <c r="AJ2173" s="4">
        <f>=ROUNDDOWN({0},0)</f>
      </c>
      <c r="AK2173" s="5"/>
      <c r="AL2173" s="2" t="s">
        <v>100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/>
      <c r="AW2173" s="8"/>
      <c r="AX2173" s="4"/>
      <c r="AY2173" s="8"/>
      <c r="AZ2173" s="7"/>
      <c r="BA2173" s="7"/>
      <c r="BB2173" s="7"/>
      <c r="BC2173" s="4" t="s">
        <v>100</v>
      </c>
      <c r="BD2173" s="8" t="s">
        <v>100</v>
      </c>
      <c r="BE2173" s="4" t="s">
        <v>100</v>
      </c>
      <c r="BF2173" s="8" t="s">
        <v>100</v>
      </c>
      <c r="BG2173" s="7" t="s">
        <v>100</v>
      </c>
      <c r="BH2173" s="7" t="s">
        <v>100</v>
      </c>
      <c r="BI2173" s="7"/>
      <c r="BJ2173" s="4">
        <v>3</v>
      </c>
      <c r="BK2173" s="8">
        <v>79.08</v>
      </c>
      <c r="BL2173" s="2" t="s">
        <v>919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109</v>
      </c>
      <c r="BV2173" s="2" t="s">
        <v>97</v>
      </c>
      <c r="BW2173" s="2" t="s">
        <v>3940</v>
      </c>
      <c r="BX2173" s="2" t="s">
        <v>3203</v>
      </c>
      <c r="BY2173" s="2" t="s">
        <v>112</v>
      </c>
      <c r="BZ2173" s="2" t="s">
        <v>100</v>
      </c>
    </row>
    <row r="2174">
      <c r="A2174" s="2" t="s">
        <v>6182</v>
      </c>
      <c r="B2174" s="2" t="s">
        <v>87</v>
      </c>
      <c r="C2174" s="2" t="s">
        <v>6099</v>
      </c>
      <c r="D2174" s="2" t="s">
        <v>4554</v>
      </c>
      <c r="E2174" s="2" t="s">
        <v>4555</v>
      </c>
      <c r="F2174" s="2" t="s">
        <v>6110</v>
      </c>
      <c r="G2174" s="2" t="s">
        <v>6110</v>
      </c>
      <c r="H2174" s="2" t="s">
        <v>6110</v>
      </c>
      <c r="I2174" s="2" t="s">
        <v>5377</v>
      </c>
      <c r="J2174" s="2" t="s">
        <v>4608</v>
      </c>
      <c r="K2174" s="2" t="s">
        <v>146</v>
      </c>
      <c r="L2174" s="3">
        <v>18</v>
      </c>
      <c r="M2174" s="3">
        <v>18.9</v>
      </c>
      <c r="N2174" s="3">
        <v>44.99</v>
      </c>
      <c r="O2174" s="2" t="s">
        <v>97</v>
      </c>
      <c r="P2174" s="2" t="s">
        <v>242</v>
      </c>
      <c r="Q2174" s="2" t="s">
        <v>99</v>
      </c>
      <c r="R2174" s="2" t="s">
        <v>100</v>
      </c>
      <c r="S2174" s="2" t="s">
        <v>6183</v>
      </c>
      <c r="T2174" s="2" t="s">
        <v>359</v>
      </c>
      <c r="U2174" s="2" t="s">
        <v>3325</v>
      </c>
      <c r="V2174" s="2" t="s">
        <v>645</v>
      </c>
      <c r="W2174" s="2" t="s">
        <v>104</v>
      </c>
      <c r="X2174" s="2" t="s">
        <v>105</v>
      </c>
      <c r="Y2174" s="2" t="s">
        <v>6113</v>
      </c>
      <c r="Z2174" s="4">
        <v>199</v>
      </c>
      <c r="AA2174" s="4">
        <f>=ROUNDDOWN(49.75,0)</f>
      </c>
      <c r="AB2174" s="5">
        <v>4</v>
      </c>
      <c r="AC2174" s="2" t="s">
        <v>100</v>
      </c>
      <c r="AD2174" s="4"/>
      <c r="AE2174" s="4"/>
      <c r="AF2174" s="6">
        <v>65</v>
      </c>
      <c r="AG2174" s="6"/>
      <c r="AH2174" s="7">
        <v>1</v>
      </c>
      <c r="AI2174" s="4"/>
      <c r="AJ2174" s="4">
        <f>=ROUNDDOWN({0},0)</f>
      </c>
      <c r="AK2174" s="5"/>
      <c r="AL2174" s="2" t="s">
        <v>100</v>
      </c>
      <c r="AM2174" s="4"/>
      <c r="AN2174" s="4"/>
      <c r="AO2174" s="7">
        <v>0</v>
      </c>
      <c r="AP2174" s="4"/>
      <c r="AQ2174" s="8"/>
      <c r="AR2174" s="4"/>
      <c r="AS2174" s="8"/>
      <c r="AT2174" s="7"/>
      <c r="AU2174" s="7"/>
      <c r="AV2174" s="4"/>
      <c r="AW2174" s="8"/>
      <c r="AX2174" s="4"/>
      <c r="AY2174" s="8"/>
      <c r="AZ2174" s="7"/>
      <c r="BA2174" s="7"/>
      <c r="BB2174" s="7"/>
      <c r="BC2174" s="4" t="s">
        <v>100</v>
      </c>
      <c r="BD2174" s="8" t="s">
        <v>100</v>
      </c>
      <c r="BE2174" s="4" t="s">
        <v>100</v>
      </c>
      <c r="BF2174" s="8" t="s">
        <v>100</v>
      </c>
      <c r="BG2174" s="7" t="s">
        <v>100</v>
      </c>
      <c r="BH2174" s="7" t="s">
        <v>100</v>
      </c>
      <c r="BI2174" s="7"/>
      <c r="BJ2174" s="4"/>
      <c r="BK2174" s="8"/>
      <c r="BL2174" s="2" t="s">
        <v>100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109</v>
      </c>
      <c r="BV2174" s="2" t="s">
        <v>97</v>
      </c>
      <c r="BW2174" s="2" t="s">
        <v>3940</v>
      </c>
      <c r="BX2174" s="2" t="s">
        <v>6082</v>
      </c>
      <c r="BY2174" s="2" t="s">
        <v>112</v>
      </c>
      <c r="BZ2174" s="2" t="s">
        <v>100</v>
      </c>
    </row>
    <row r="2175">
      <c r="A2175" s="2" t="s">
        <v>6184</v>
      </c>
      <c r="B2175" s="2" t="s">
        <v>87</v>
      </c>
      <c r="C2175" s="2" t="s">
        <v>6099</v>
      </c>
      <c r="D2175" s="2" t="s">
        <v>4554</v>
      </c>
      <c r="E2175" s="2" t="s">
        <v>4555</v>
      </c>
      <c r="F2175" s="2" t="s">
        <v>6110</v>
      </c>
      <c r="G2175" s="2" t="s">
        <v>6110</v>
      </c>
      <c r="H2175" s="2" t="s">
        <v>6110</v>
      </c>
      <c r="I2175" s="2" t="s">
        <v>5377</v>
      </c>
      <c r="J2175" s="2" t="s">
        <v>4608</v>
      </c>
      <c r="K2175" s="2" t="s">
        <v>213</v>
      </c>
      <c r="L2175" s="3">
        <v>18</v>
      </c>
      <c r="M2175" s="3">
        <v>18.9</v>
      </c>
      <c r="N2175" s="3">
        <v>44.99</v>
      </c>
      <c r="O2175" s="2" t="s">
        <v>97</v>
      </c>
      <c r="P2175" s="2" t="s">
        <v>242</v>
      </c>
      <c r="Q2175" s="2" t="s">
        <v>99</v>
      </c>
      <c r="R2175" s="2" t="s">
        <v>100</v>
      </c>
      <c r="S2175" s="2" t="s">
        <v>6183</v>
      </c>
      <c r="T2175" s="2" t="s">
        <v>359</v>
      </c>
      <c r="U2175" s="2" t="s">
        <v>3325</v>
      </c>
      <c r="V2175" s="2" t="s">
        <v>645</v>
      </c>
      <c r="W2175" s="2" t="s">
        <v>104</v>
      </c>
      <c r="X2175" s="2" t="s">
        <v>1240</v>
      </c>
      <c r="Y2175" s="2" t="s">
        <v>6113</v>
      </c>
      <c r="Z2175" s="4">
        <v>103</v>
      </c>
      <c r="AA2175" s="4">
        <f>=ROUNDDOWN(17.1666666666667,0)</f>
      </c>
      <c r="AB2175" s="5">
        <v>6</v>
      </c>
      <c r="AC2175" s="2" t="s">
        <v>1487</v>
      </c>
      <c r="AD2175" s="4">
        <v>50</v>
      </c>
      <c r="AE2175" s="4">
        <v>50</v>
      </c>
      <c r="AF2175" s="6">
        <v>65</v>
      </c>
      <c r="AG2175" s="6"/>
      <c r="AH2175" s="7">
        <v>1</v>
      </c>
      <c r="AI2175" s="4"/>
      <c r="AJ2175" s="4">
        <f>=ROUNDDOWN({0},0)</f>
      </c>
      <c r="AK2175" s="5"/>
      <c r="AL2175" s="2" t="s">
        <v>100</v>
      </c>
      <c r="AM2175" s="4"/>
      <c r="AN2175" s="4"/>
      <c r="AO2175" s="7">
        <v>0</v>
      </c>
      <c r="AP2175" s="4"/>
      <c r="AQ2175" s="8"/>
      <c r="AR2175" s="4"/>
      <c r="AS2175" s="8"/>
      <c r="AT2175" s="7"/>
      <c r="AU2175" s="7"/>
      <c r="AV2175" s="4"/>
      <c r="AW2175" s="8"/>
      <c r="AX2175" s="4"/>
      <c r="AY2175" s="8"/>
      <c r="AZ2175" s="7"/>
      <c r="BA2175" s="7"/>
      <c r="BB2175" s="7"/>
      <c r="BC2175" s="4" t="s">
        <v>100</v>
      </c>
      <c r="BD2175" s="8" t="s">
        <v>100</v>
      </c>
      <c r="BE2175" s="4" t="s">
        <v>100</v>
      </c>
      <c r="BF2175" s="8" t="s">
        <v>100</v>
      </c>
      <c r="BG2175" s="7" t="s">
        <v>100</v>
      </c>
      <c r="BH2175" s="7" t="s">
        <v>100</v>
      </c>
      <c r="BI2175" s="7"/>
      <c r="BJ2175" s="4">
        <v>10</v>
      </c>
      <c r="BK2175" s="8">
        <v>179.16</v>
      </c>
      <c r="BL2175" s="2" t="s">
        <v>1041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109</v>
      </c>
      <c r="BV2175" s="2" t="s">
        <v>97</v>
      </c>
      <c r="BW2175" s="2" t="s">
        <v>3940</v>
      </c>
      <c r="BX2175" s="2" t="s">
        <v>6185</v>
      </c>
      <c r="BY2175" s="2" t="s">
        <v>112</v>
      </c>
      <c r="BZ2175" s="2" t="s">
        <v>100</v>
      </c>
    </row>
    <row r="2176">
      <c r="A2176" s="2" t="s">
        <v>6186</v>
      </c>
      <c r="B2176" s="2" t="s">
        <v>87</v>
      </c>
      <c r="C2176" s="2" t="s">
        <v>6099</v>
      </c>
      <c r="D2176" s="2" t="s">
        <v>4554</v>
      </c>
      <c r="E2176" s="2" t="s">
        <v>4555</v>
      </c>
      <c r="F2176" s="2" t="s">
        <v>6137</v>
      </c>
      <c r="G2176" s="2" t="s">
        <v>6137</v>
      </c>
      <c r="H2176" s="2" t="s">
        <v>6137</v>
      </c>
      <c r="I2176" s="2" t="s">
        <v>5377</v>
      </c>
      <c r="J2176" s="2" t="s">
        <v>4608</v>
      </c>
      <c r="K2176" s="2" t="s">
        <v>2168</v>
      </c>
      <c r="L2176" s="3">
        <v>18</v>
      </c>
      <c r="M2176" s="3">
        <v>18.9</v>
      </c>
      <c r="N2176" s="3">
        <v>44.99</v>
      </c>
      <c r="O2176" s="2" t="s">
        <v>97</v>
      </c>
      <c r="P2176" s="2" t="s">
        <v>242</v>
      </c>
      <c r="Q2176" s="2" t="s">
        <v>99</v>
      </c>
      <c r="R2176" s="2" t="s">
        <v>100</v>
      </c>
      <c r="S2176" s="2" t="s">
        <v>6187</v>
      </c>
      <c r="T2176" s="2" t="s">
        <v>359</v>
      </c>
      <c r="U2176" s="2" t="s">
        <v>3325</v>
      </c>
      <c r="V2176" s="2" t="s">
        <v>677</v>
      </c>
      <c r="W2176" s="2" t="s">
        <v>1064</v>
      </c>
      <c r="X2176" s="2" t="s">
        <v>345</v>
      </c>
      <c r="Y2176" s="2" t="s">
        <v>716</v>
      </c>
      <c r="Z2176" s="4">
        <v>147</v>
      </c>
      <c r="AA2176" s="4">
        <f>=ROUNDDOWN(24.5,0)</f>
      </c>
      <c r="AB2176" s="5">
        <v>6</v>
      </c>
      <c r="AC2176" s="2" t="s">
        <v>680</v>
      </c>
      <c r="AD2176" s="4">
        <v>40</v>
      </c>
      <c r="AE2176" s="4">
        <v>40</v>
      </c>
      <c r="AF2176" s="6">
        <v>63</v>
      </c>
      <c r="AG2176" s="6"/>
      <c r="AH2176" s="7">
        <v>1</v>
      </c>
      <c r="AI2176" s="4"/>
      <c r="AJ2176" s="4">
        <f>=ROUNDDOWN({0},0)</f>
      </c>
      <c r="AK2176" s="5"/>
      <c r="AL2176" s="2" t="s">
        <v>100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/>
      <c r="AW2176" s="8"/>
      <c r="AX2176" s="4"/>
      <c r="AY2176" s="8"/>
      <c r="AZ2176" s="7"/>
      <c r="BA2176" s="7"/>
      <c r="BB2176" s="7"/>
      <c r="BC2176" s="4"/>
      <c r="BD2176" s="8"/>
      <c r="BE2176" s="4"/>
      <c r="BF2176" s="8"/>
      <c r="BG2176" s="7"/>
      <c r="BH2176" s="7"/>
      <c r="BI2176" s="7"/>
      <c r="BJ2176" s="4">
        <v>3</v>
      </c>
      <c r="BK2176" s="8">
        <v>59.18</v>
      </c>
      <c r="BL2176" s="2" t="s">
        <v>543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109</v>
      </c>
      <c r="BV2176" s="2" t="s">
        <v>97</v>
      </c>
      <c r="BW2176" s="2" t="s">
        <v>5380</v>
      </c>
      <c r="BX2176" s="2" t="s">
        <v>3598</v>
      </c>
      <c r="BY2176" s="2" t="s">
        <v>112</v>
      </c>
      <c r="BZ2176" s="2" t="s">
        <v>100</v>
      </c>
    </row>
    <row r="2177">
      <c r="A2177" s="16" t="s">
        <v>6188</v>
      </c>
      <c r="B2177" s="9" t="s">
        <v>100</v>
      </c>
      <c r="C2177" s="9" t="s">
        <v>100</v>
      </c>
      <c r="D2177" s="9" t="s">
        <v>100</v>
      </c>
      <c r="E2177" s="9" t="s">
        <v>100</v>
      </c>
      <c r="F2177" s="9" t="s">
        <v>100</v>
      </c>
      <c r="G2177" s="9" t="s">
        <v>100</v>
      </c>
      <c r="H2177" s="9" t="s">
        <v>100</v>
      </c>
      <c r="I2177" s="9" t="s">
        <v>100</v>
      </c>
      <c r="J2177" s="9" t="s">
        <v>100</v>
      </c>
      <c r="K2177" s="9" t="s">
        <v>100</v>
      </c>
      <c r="L2177" s="10"/>
      <c r="M2177" s="10"/>
      <c r="N2177" s="10"/>
      <c r="O2177" s="9" t="s">
        <v>100</v>
      </c>
      <c r="P2177" s="9" t="s">
        <v>100</v>
      </c>
      <c r="Q2177" s="9" t="s">
        <v>100</v>
      </c>
      <c r="R2177" s="9" t="s">
        <v>100</v>
      </c>
      <c r="S2177" s="9" t="s">
        <v>100</v>
      </c>
      <c r="T2177" s="9" t="s">
        <v>100</v>
      </c>
      <c r="U2177" s="9" t="s">
        <v>100</v>
      </c>
      <c r="V2177" s="9" t="s">
        <v>100</v>
      </c>
      <c r="W2177" s="9" t="s">
        <v>100</v>
      </c>
      <c r="X2177" s="9" t="s">
        <v>100</v>
      </c>
      <c r="Y2177" s="9" t="s">
        <v>100</v>
      </c>
      <c r="Z2177" s="11">
        <v>695710</v>
      </c>
      <c r="AA2177" s="11">
        <f>=ROUNDDOWN({0},0)</f>
      </c>
      <c r="AB2177" s="12">
        <v>27760.5</v>
      </c>
      <c r="AC2177" s="9" t="s">
        <v>100</v>
      </c>
      <c r="AD2177" s="11"/>
      <c r="AE2177" s="11">
        <v>812649</v>
      </c>
      <c r="AF2177" s="13"/>
      <c r="AG2177" s="13"/>
      <c r="AH2177" s="14"/>
      <c r="AI2177" s="11"/>
      <c r="AJ2177" s="11">
        <f>=ROUNDDOWN({0},0)</f>
      </c>
      <c r="AK2177" s="12"/>
      <c r="AL2177" s="9" t="s">
        <v>100</v>
      </c>
      <c r="AM2177" s="11"/>
      <c r="AN2177" s="11">
        <v>590</v>
      </c>
      <c r="AO2177" s="14"/>
      <c r="AP2177" s="11">
        <v>380</v>
      </c>
      <c r="AQ2177" s="15">
        <v>23680.6</v>
      </c>
      <c r="AR2177" s="11"/>
      <c r="AS2177" s="15"/>
      <c r="AT2177" s="14"/>
      <c r="AU2177" s="14"/>
      <c r="AV2177" s="11">
        <v>380</v>
      </c>
      <c r="AW2177" s="15">
        <v>23680.6</v>
      </c>
      <c r="AX2177" s="11"/>
      <c r="AY2177" s="15"/>
      <c r="AZ2177" s="14"/>
      <c r="BA2177" s="14"/>
      <c r="BB2177" s="14"/>
      <c r="BC2177" s="11">
        <v>380</v>
      </c>
      <c r="BD2177" s="15">
        <v>23680.6</v>
      </c>
      <c r="BE2177" s="11"/>
      <c r="BF2177" s="15"/>
      <c r="BG2177" s="14"/>
      <c r="BH2177" s="14"/>
      <c r="BI2177" s="14"/>
      <c r="BJ2177" s="11"/>
      <c r="BK2177" s="15"/>
      <c r="BL2177" s="9" t="s">
        <v>100</v>
      </c>
      <c r="BM2177" s="14"/>
      <c r="BN2177" s="14"/>
      <c r="BO2177" s="11">
        <v>380</v>
      </c>
      <c r="BP2177" s="15">
        <v>23680.6</v>
      </c>
      <c r="BQ2177" s="11"/>
      <c r="BR2177" s="15"/>
      <c r="BS2177" s="14"/>
      <c r="BT2177" s="14"/>
      <c r="BU2177" s="9" t="s">
        <v>100</v>
      </c>
      <c r="BV2177" s="9" t="s">
        <v>100</v>
      </c>
      <c r="BW2177" s="9" t="s">
        <v>100</v>
      </c>
      <c r="BX2177" s="9" t="s">
        <v>100</v>
      </c>
      <c r="BY2177" s="9" t="s">
        <v>100</v>
      </c>
      <c r="BZ2177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37"/>
    <mergeCell ref="BD6:BD37"/>
    <mergeCell ref="BE6:BE37"/>
    <mergeCell ref="BF6:BF37"/>
    <mergeCell ref="BG6:BG37"/>
    <mergeCell ref="BH6:BH37"/>
    <mergeCell ref="BC38:BC46"/>
    <mergeCell ref="BD38:BD46"/>
    <mergeCell ref="BE38:BE46"/>
    <mergeCell ref="BF38:BF46"/>
    <mergeCell ref="BG38:BG46"/>
    <mergeCell ref="BH38:BH46"/>
    <mergeCell ref="BC47:BC58"/>
    <mergeCell ref="BD47:BD58"/>
    <mergeCell ref="BE47:BE58"/>
    <mergeCell ref="BF47:BF58"/>
    <mergeCell ref="BG47:BG58"/>
    <mergeCell ref="BH47:BH58"/>
    <mergeCell ref="BC59:BC70"/>
    <mergeCell ref="BD59:BD70"/>
    <mergeCell ref="BE59:BE70"/>
    <mergeCell ref="BF59:BF70"/>
    <mergeCell ref="BG59:BG70"/>
    <mergeCell ref="BH59:BH70"/>
    <mergeCell ref="BC71:BC85"/>
    <mergeCell ref="BD71:BD85"/>
    <mergeCell ref="BE71:BE85"/>
    <mergeCell ref="BF71:BF85"/>
    <mergeCell ref="BG71:BG85"/>
    <mergeCell ref="BH71:BH85"/>
    <mergeCell ref="BC86:BC121"/>
    <mergeCell ref="BD86:BD121"/>
    <mergeCell ref="BE86:BE121"/>
    <mergeCell ref="BF86:BF121"/>
    <mergeCell ref="BG86:BG121"/>
    <mergeCell ref="BH86:BH121"/>
    <mergeCell ref="BC122:BC127"/>
    <mergeCell ref="BD122:BD127"/>
    <mergeCell ref="BE122:BE127"/>
    <mergeCell ref="BF122:BF127"/>
    <mergeCell ref="BG122:BG127"/>
    <mergeCell ref="BH122:BH127"/>
    <mergeCell ref="BC128:BC133"/>
    <mergeCell ref="BD128:BD133"/>
    <mergeCell ref="BE128:BE133"/>
    <mergeCell ref="BF128:BF133"/>
    <mergeCell ref="BG128:BG133"/>
    <mergeCell ref="BH128:BH133"/>
    <mergeCell ref="BC134:BC139"/>
    <mergeCell ref="BD134:BD139"/>
    <mergeCell ref="BE134:BE139"/>
    <mergeCell ref="BF134:BF139"/>
    <mergeCell ref="BG134:BG139"/>
    <mergeCell ref="BH134:BH139"/>
    <mergeCell ref="BC140:BC142"/>
    <mergeCell ref="BD140:BD142"/>
    <mergeCell ref="BE140:BE142"/>
    <mergeCell ref="BF140:BF142"/>
    <mergeCell ref="BG140:BG142"/>
    <mergeCell ref="BH140:BH142"/>
    <mergeCell ref="BC143:BC145"/>
    <mergeCell ref="BD143:BD145"/>
    <mergeCell ref="BE143:BE145"/>
    <mergeCell ref="BF143:BF145"/>
    <mergeCell ref="BG143:BG145"/>
    <mergeCell ref="BH143:BH145"/>
    <mergeCell ref="BC146:BC148"/>
    <mergeCell ref="BD146:BD148"/>
    <mergeCell ref="BE146:BE148"/>
    <mergeCell ref="BF146:BF148"/>
    <mergeCell ref="BG146:BG148"/>
    <mergeCell ref="BH146:BH148"/>
    <mergeCell ref="BC149:BC163"/>
    <mergeCell ref="BD149:BD163"/>
    <mergeCell ref="BE149:BE163"/>
    <mergeCell ref="BF149:BF163"/>
    <mergeCell ref="BG149:BG163"/>
    <mergeCell ref="BH149:BH163"/>
    <mergeCell ref="BC164:BC169"/>
    <mergeCell ref="BD164:BD169"/>
    <mergeCell ref="BE164:BE169"/>
    <mergeCell ref="BF164:BF169"/>
    <mergeCell ref="BG164:BG169"/>
    <mergeCell ref="BH164:BH169"/>
    <mergeCell ref="BC170:BC178"/>
    <mergeCell ref="BD170:BD178"/>
    <mergeCell ref="BE170:BE178"/>
    <mergeCell ref="BF170:BF178"/>
    <mergeCell ref="BG170:BG178"/>
    <mergeCell ref="BH170:BH178"/>
    <mergeCell ref="BC179:BC180"/>
    <mergeCell ref="BD179:BD180"/>
    <mergeCell ref="BE179:BE180"/>
    <mergeCell ref="BF179:BF180"/>
    <mergeCell ref="BG179:BG180"/>
    <mergeCell ref="BH179:BH180"/>
    <mergeCell ref="BC181:BC186"/>
    <mergeCell ref="BD181:BD186"/>
    <mergeCell ref="BE181:BE186"/>
    <mergeCell ref="BF181:BF186"/>
    <mergeCell ref="BG181:BG186"/>
    <mergeCell ref="BH181:BH186"/>
    <mergeCell ref="BC187:BC189"/>
    <mergeCell ref="BD187:BD189"/>
    <mergeCell ref="BE187:BE189"/>
    <mergeCell ref="BF187:BF189"/>
    <mergeCell ref="BG187:BG189"/>
    <mergeCell ref="BH187:BH189"/>
    <mergeCell ref="BC190:BC198"/>
    <mergeCell ref="BD190:BD198"/>
    <mergeCell ref="BE190:BE198"/>
    <mergeCell ref="BF190:BF198"/>
    <mergeCell ref="BG190:BG198"/>
    <mergeCell ref="BH190:BH198"/>
    <mergeCell ref="BC199:BC207"/>
    <mergeCell ref="BD199:BD207"/>
    <mergeCell ref="BE199:BE207"/>
    <mergeCell ref="BF199:BF207"/>
    <mergeCell ref="BG199:BG207"/>
    <mergeCell ref="BH199:BH207"/>
    <mergeCell ref="BC208:BC210"/>
    <mergeCell ref="BD208:BD210"/>
    <mergeCell ref="BE208:BE210"/>
    <mergeCell ref="BF208:BF210"/>
    <mergeCell ref="BG208:BG210"/>
    <mergeCell ref="BH208:BH210"/>
    <mergeCell ref="BC211:BC213"/>
    <mergeCell ref="BD211:BD213"/>
    <mergeCell ref="BE211:BE213"/>
    <mergeCell ref="BF211:BF213"/>
    <mergeCell ref="BG211:BG213"/>
    <mergeCell ref="BH211:BH213"/>
    <mergeCell ref="BC214:BC228"/>
    <mergeCell ref="BD214:BD228"/>
    <mergeCell ref="BE214:BE228"/>
    <mergeCell ref="BF214:BF228"/>
    <mergeCell ref="BG214:BG228"/>
    <mergeCell ref="BH214:BH228"/>
    <mergeCell ref="BC229:BC231"/>
    <mergeCell ref="BD229:BD231"/>
    <mergeCell ref="BE229:BE231"/>
    <mergeCell ref="BF229:BF231"/>
    <mergeCell ref="BG229:BG231"/>
    <mergeCell ref="BH229:BH231"/>
    <mergeCell ref="BC232:BC234"/>
    <mergeCell ref="BD232:BD234"/>
    <mergeCell ref="BE232:BE234"/>
    <mergeCell ref="BF232:BF234"/>
    <mergeCell ref="BG232:BG234"/>
    <mergeCell ref="BH232:BH234"/>
    <mergeCell ref="BC235:BC240"/>
    <mergeCell ref="BD235:BD240"/>
    <mergeCell ref="BE235:BE240"/>
    <mergeCell ref="BF235:BF240"/>
    <mergeCell ref="BG235:BG240"/>
    <mergeCell ref="BH235:BH240"/>
    <mergeCell ref="BC241:BC261"/>
    <mergeCell ref="BD241:BD261"/>
    <mergeCell ref="BE241:BE261"/>
    <mergeCell ref="BF241:BF261"/>
    <mergeCell ref="BG241:BG261"/>
    <mergeCell ref="BH241:BH261"/>
    <mergeCell ref="BC262:BC263"/>
    <mergeCell ref="BD262:BD263"/>
    <mergeCell ref="BE262:BE263"/>
    <mergeCell ref="BF262:BF263"/>
    <mergeCell ref="BG262:BG263"/>
    <mergeCell ref="BH262:BH263"/>
    <mergeCell ref="BC264:BC266"/>
    <mergeCell ref="BD264:BD266"/>
    <mergeCell ref="BE264:BE266"/>
    <mergeCell ref="BF264:BF266"/>
    <mergeCell ref="BG264:BG266"/>
    <mergeCell ref="BH264:BH266"/>
    <mergeCell ref="BC267:BC268"/>
    <mergeCell ref="BD267:BD268"/>
    <mergeCell ref="BE267:BE268"/>
    <mergeCell ref="BF267:BF268"/>
    <mergeCell ref="BG267:BG268"/>
    <mergeCell ref="BH267:BH268"/>
    <mergeCell ref="BC269:BC273"/>
    <mergeCell ref="BD269:BD273"/>
    <mergeCell ref="BE269:BE273"/>
    <mergeCell ref="BF269:BF273"/>
    <mergeCell ref="BG269:BG273"/>
    <mergeCell ref="BH269:BH273"/>
    <mergeCell ref="BC274:BC276"/>
    <mergeCell ref="BD274:BD276"/>
    <mergeCell ref="BE274:BE276"/>
    <mergeCell ref="BF274:BF276"/>
    <mergeCell ref="BG274:BG276"/>
    <mergeCell ref="BH274:BH276"/>
    <mergeCell ref="BC277:BC285"/>
    <mergeCell ref="BD277:BD285"/>
    <mergeCell ref="BE277:BE285"/>
    <mergeCell ref="BF277:BF285"/>
    <mergeCell ref="BG277:BG285"/>
    <mergeCell ref="BH277:BH285"/>
    <mergeCell ref="BC286:BC291"/>
    <mergeCell ref="BD286:BD291"/>
    <mergeCell ref="BE286:BE291"/>
    <mergeCell ref="BF286:BF291"/>
    <mergeCell ref="BG286:BG291"/>
    <mergeCell ref="BH286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6"/>
    <mergeCell ref="BD304:BD306"/>
    <mergeCell ref="BE304:BE306"/>
    <mergeCell ref="BF304:BF306"/>
    <mergeCell ref="BG304:BG306"/>
    <mergeCell ref="BH304:BH306"/>
    <mergeCell ref="BC307:BC309"/>
    <mergeCell ref="BD307:BD309"/>
    <mergeCell ref="BE307:BE309"/>
    <mergeCell ref="BF307:BF309"/>
    <mergeCell ref="BG307:BG309"/>
    <mergeCell ref="BH307:BH309"/>
    <mergeCell ref="BC310:BC312"/>
    <mergeCell ref="BD310:BD312"/>
    <mergeCell ref="BE310:BE312"/>
    <mergeCell ref="BF310:BF312"/>
    <mergeCell ref="BG310:BG312"/>
    <mergeCell ref="BH310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9"/>
    <mergeCell ref="BD317:BD319"/>
    <mergeCell ref="BE317:BE319"/>
    <mergeCell ref="BF317:BF319"/>
    <mergeCell ref="BG317:BG319"/>
    <mergeCell ref="BH317:BH319"/>
    <mergeCell ref="BC320:BC322"/>
    <mergeCell ref="BD320:BD322"/>
    <mergeCell ref="BE320:BE322"/>
    <mergeCell ref="BF320:BF322"/>
    <mergeCell ref="BG320:BG322"/>
    <mergeCell ref="BH320:BH322"/>
    <mergeCell ref="BC324:BC327"/>
    <mergeCell ref="BD324:BD327"/>
    <mergeCell ref="BE324:BE327"/>
    <mergeCell ref="BF324:BF327"/>
    <mergeCell ref="BG324:BG327"/>
    <mergeCell ref="BH324:BH327"/>
    <mergeCell ref="BC328:BC333"/>
    <mergeCell ref="BD328:BD333"/>
    <mergeCell ref="BE328:BE333"/>
    <mergeCell ref="BF328:BF333"/>
    <mergeCell ref="BG328:BG333"/>
    <mergeCell ref="BH328:BH333"/>
    <mergeCell ref="BC334:BC342"/>
    <mergeCell ref="BD334:BD342"/>
    <mergeCell ref="BE334:BE342"/>
    <mergeCell ref="BF334:BF342"/>
    <mergeCell ref="BG334:BG342"/>
    <mergeCell ref="BH334:BH342"/>
    <mergeCell ref="BC343:BC345"/>
    <mergeCell ref="BD343:BD345"/>
    <mergeCell ref="BE343:BE345"/>
    <mergeCell ref="BF343:BF345"/>
    <mergeCell ref="BG343:BG345"/>
    <mergeCell ref="BH343:BH345"/>
    <mergeCell ref="BC346:BC347"/>
    <mergeCell ref="BD346:BD347"/>
    <mergeCell ref="BE346:BE347"/>
    <mergeCell ref="BF346:BF347"/>
    <mergeCell ref="BG346:BG347"/>
    <mergeCell ref="BH346:BH347"/>
    <mergeCell ref="BC348:BC355"/>
    <mergeCell ref="BD348:BD355"/>
    <mergeCell ref="BE348:BE355"/>
    <mergeCell ref="BF348:BF355"/>
    <mergeCell ref="BG348:BG355"/>
    <mergeCell ref="BH348:BH355"/>
    <mergeCell ref="BC357:BC360"/>
    <mergeCell ref="BD357:BD360"/>
    <mergeCell ref="BE357:BE360"/>
    <mergeCell ref="BF357:BF360"/>
    <mergeCell ref="BG357:BG360"/>
    <mergeCell ref="BH357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70"/>
    <mergeCell ref="BD365:BD370"/>
    <mergeCell ref="BE365:BE370"/>
    <mergeCell ref="BF365:BF370"/>
    <mergeCell ref="BG365:BG370"/>
    <mergeCell ref="BH365:BH370"/>
    <mergeCell ref="BC371:BC372"/>
    <mergeCell ref="BD371:BD372"/>
    <mergeCell ref="BE371:BE372"/>
    <mergeCell ref="BF371:BF372"/>
    <mergeCell ref="BG371:BG372"/>
    <mergeCell ref="BH371:BH372"/>
    <mergeCell ref="BC373:BC374"/>
    <mergeCell ref="BD373:BD374"/>
    <mergeCell ref="BE373:BE374"/>
    <mergeCell ref="BF373:BF374"/>
    <mergeCell ref="BG373:BG374"/>
    <mergeCell ref="BH373:BH374"/>
    <mergeCell ref="BC375:BC376"/>
    <mergeCell ref="BD375:BD376"/>
    <mergeCell ref="BE375:BE376"/>
    <mergeCell ref="BF375:BF376"/>
    <mergeCell ref="BG375:BG376"/>
    <mergeCell ref="BH375:BH376"/>
    <mergeCell ref="BC377:BC382"/>
    <mergeCell ref="BD377:BD382"/>
    <mergeCell ref="BE377:BE382"/>
    <mergeCell ref="BF377:BF382"/>
    <mergeCell ref="BG377:BG382"/>
    <mergeCell ref="BH377:BH382"/>
    <mergeCell ref="BC384:BC389"/>
    <mergeCell ref="BD384:BD389"/>
    <mergeCell ref="BE384:BE389"/>
    <mergeCell ref="BF384:BF389"/>
    <mergeCell ref="BG384:BG389"/>
    <mergeCell ref="BH384:BH389"/>
    <mergeCell ref="BC390:BC393"/>
    <mergeCell ref="BD390:BD393"/>
    <mergeCell ref="BE390:BE393"/>
    <mergeCell ref="BF390:BF393"/>
    <mergeCell ref="BG390:BG393"/>
    <mergeCell ref="BH390:BH393"/>
    <mergeCell ref="BC394:BC397"/>
    <mergeCell ref="BD394:BD397"/>
    <mergeCell ref="BE394:BE397"/>
    <mergeCell ref="BF394:BF397"/>
    <mergeCell ref="BG394:BG397"/>
    <mergeCell ref="BH394:BH397"/>
    <mergeCell ref="BC398:BC400"/>
    <mergeCell ref="BD398:BD400"/>
    <mergeCell ref="BE398:BE400"/>
    <mergeCell ref="BF398:BF400"/>
    <mergeCell ref="BG398:BG400"/>
    <mergeCell ref="BH398:BH400"/>
    <mergeCell ref="BC401:BC403"/>
    <mergeCell ref="BD401:BD403"/>
    <mergeCell ref="BE401:BE403"/>
    <mergeCell ref="BF401:BF403"/>
    <mergeCell ref="BG401:BG403"/>
    <mergeCell ref="BH401:BH403"/>
    <mergeCell ref="BC404:BC405"/>
    <mergeCell ref="BD404:BD405"/>
    <mergeCell ref="BE404:BE405"/>
    <mergeCell ref="BF404:BF405"/>
    <mergeCell ref="BG404:BG405"/>
    <mergeCell ref="BH404:BH405"/>
    <mergeCell ref="BC406:BC408"/>
    <mergeCell ref="BD406:BD408"/>
    <mergeCell ref="BE406:BE408"/>
    <mergeCell ref="BF406:BF408"/>
    <mergeCell ref="BG406:BG408"/>
    <mergeCell ref="BH406:BH408"/>
    <mergeCell ref="BC409:BC410"/>
    <mergeCell ref="BD409:BD410"/>
    <mergeCell ref="BE409:BE410"/>
    <mergeCell ref="BF409:BF410"/>
    <mergeCell ref="BG409:BG410"/>
    <mergeCell ref="BH409:BH410"/>
    <mergeCell ref="BC411:BC413"/>
    <mergeCell ref="BD411:BD413"/>
    <mergeCell ref="BE411:BE413"/>
    <mergeCell ref="BF411:BF413"/>
    <mergeCell ref="BG411:BG413"/>
    <mergeCell ref="BH411:BH413"/>
    <mergeCell ref="BC414:BC419"/>
    <mergeCell ref="BD414:BD419"/>
    <mergeCell ref="BE414:BE419"/>
    <mergeCell ref="BF414:BF419"/>
    <mergeCell ref="BG414:BG419"/>
    <mergeCell ref="BH414:BH419"/>
    <mergeCell ref="BC420:BC421"/>
    <mergeCell ref="BD420:BD421"/>
    <mergeCell ref="BE420:BE421"/>
    <mergeCell ref="BF420:BF421"/>
    <mergeCell ref="BG420:BG421"/>
    <mergeCell ref="BH420:BH421"/>
    <mergeCell ref="BC422:BC424"/>
    <mergeCell ref="BD422:BD424"/>
    <mergeCell ref="BE422:BE424"/>
    <mergeCell ref="BF422:BF424"/>
    <mergeCell ref="BG422:BG424"/>
    <mergeCell ref="BH422:BH424"/>
    <mergeCell ref="BC425:BC427"/>
    <mergeCell ref="BD425:BD427"/>
    <mergeCell ref="BE425:BE427"/>
    <mergeCell ref="BF425:BF427"/>
    <mergeCell ref="BG425:BG427"/>
    <mergeCell ref="BH425:BH427"/>
    <mergeCell ref="BC430:BC432"/>
    <mergeCell ref="BD430:BD432"/>
    <mergeCell ref="BE430:BE432"/>
    <mergeCell ref="BF430:BF432"/>
    <mergeCell ref="BG430:BG432"/>
    <mergeCell ref="BH430:BH432"/>
    <mergeCell ref="BC433:BC435"/>
    <mergeCell ref="BD433:BD435"/>
    <mergeCell ref="BE433:BE435"/>
    <mergeCell ref="BF433:BF435"/>
    <mergeCell ref="BG433:BG435"/>
    <mergeCell ref="BH433:BH435"/>
    <mergeCell ref="BC436:BC437"/>
    <mergeCell ref="BD436:BD437"/>
    <mergeCell ref="BE436:BE437"/>
    <mergeCell ref="BF436:BF437"/>
    <mergeCell ref="BG436:BG437"/>
    <mergeCell ref="BH436:BH437"/>
    <mergeCell ref="BC438:BC446"/>
    <mergeCell ref="BD438:BD446"/>
    <mergeCell ref="BE438:BE446"/>
    <mergeCell ref="BF438:BF446"/>
    <mergeCell ref="BG438:BG446"/>
    <mergeCell ref="BH438:BH446"/>
    <mergeCell ref="BC447:BC448"/>
    <mergeCell ref="BD447:BD448"/>
    <mergeCell ref="BE447:BE448"/>
    <mergeCell ref="BF447:BF448"/>
    <mergeCell ref="BG447:BG448"/>
    <mergeCell ref="BH447:BH448"/>
    <mergeCell ref="BC449:BC457"/>
    <mergeCell ref="BD449:BD457"/>
    <mergeCell ref="BE449:BE457"/>
    <mergeCell ref="BF449:BF457"/>
    <mergeCell ref="BG449:BG457"/>
    <mergeCell ref="BH449:BH457"/>
    <mergeCell ref="BC459:BC461"/>
    <mergeCell ref="BD459:BD461"/>
    <mergeCell ref="BE459:BE461"/>
    <mergeCell ref="BF459:BF461"/>
    <mergeCell ref="BG459:BG461"/>
    <mergeCell ref="BH459:BH461"/>
    <mergeCell ref="BC462:BC466"/>
    <mergeCell ref="BD462:BD466"/>
    <mergeCell ref="BE462:BE466"/>
    <mergeCell ref="BF462:BF466"/>
    <mergeCell ref="BG462:BG466"/>
    <mergeCell ref="BH462:BH466"/>
    <mergeCell ref="BC468:BC469"/>
    <mergeCell ref="BD468:BD469"/>
    <mergeCell ref="BE468:BE469"/>
    <mergeCell ref="BF468:BF469"/>
    <mergeCell ref="BG468:BG469"/>
    <mergeCell ref="BH468:BH469"/>
    <mergeCell ref="BC470:BC472"/>
    <mergeCell ref="BD470:BD472"/>
    <mergeCell ref="BE470:BE472"/>
    <mergeCell ref="BF470:BF472"/>
    <mergeCell ref="BG470:BG472"/>
    <mergeCell ref="BH470:BH472"/>
    <mergeCell ref="BC473:BC481"/>
    <mergeCell ref="BD473:BD481"/>
    <mergeCell ref="BE473:BE481"/>
    <mergeCell ref="BF473:BF481"/>
    <mergeCell ref="BG473:BG481"/>
    <mergeCell ref="BH473:BH481"/>
    <mergeCell ref="BC483:BC486"/>
    <mergeCell ref="BD483:BD486"/>
    <mergeCell ref="BE483:BE486"/>
    <mergeCell ref="BF483:BF486"/>
    <mergeCell ref="BG483:BG486"/>
    <mergeCell ref="BH483:BH486"/>
    <mergeCell ref="BC487:BC503"/>
    <mergeCell ref="BD487:BD503"/>
    <mergeCell ref="BE487:BE503"/>
    <mergeCell ref="BF487:BF503"/>
    <mergeCell ref="BG487:BG503"/>
    <mergeCell ref="BH487:BH503"/>
    <mergeCell ref="BC504:BC509"/>
    <mergeCell ref="BD504:BD509"/>
    <mergeCell ref="BE504:BE509"/>
    <mergeCell ref="BF504:BF509"/>
    <mergeCell ref="BG504:BG509"/>
    <mergeCell ref="BH504:BH509"/>
    <mergeCell ref="BC510:BC517"/>
    <mergeCell ref="BD510:BD517"/>
    <mergeCell ref="BE510:BE517"/>
    <mergeCell ref="BF510:BF517"/>
    <mergeCell ref="BG510:BG517"/>
    <mergeCell ref="BH510:BH517"/>
    <mergeCell ref="BC518:BC519"/>
    <mergeCell ref="BD518:BD519"/>
    <mergeCell ref="BE518:BE519"/>
    <mergeCell ref="BF518:BF519"/>
    <mergeCell ref="BG518:BG519"/>
    <mergeCell ref="BH518:BH519"/>
    <mergeCell ref="BC520:BC521"/>
    <mergeCell ref="BD520:BD521"/>
    <mergeCell ref="BE520:BE521"/>
    <mergeCell ref="BF520:BF521"/>
    <mergeCell ref="BG520:BG521"/>
    <mergeCell ref="BH520:BH521"/>
    <mergeCell ref="BC522:BC523"/>
    <mergeCell ref="BD522:BD523"/>
    <mergeCell ref="BE522:BE523"/>
    <mergeCell ref="BF522:BF523"/>
    <mergeCell ref="BG522:BG523"/>
    <mergeCell ref="BH522:BH523"/>
    <mergeCell ref="BC524:BC525"/>
    <mergeCell ref="BD524:BD525"/>
    <mergeCell ref="BE524:BE525"/>
    <mergeCell ref="BF524:BF525"/>
    <mergeCell ref="BG524:BG525"/>
    <mergeCell ref="BH524:BH525"/>
    <mergeCell ref="BC526:BC527"/>
    <mergeCell ref="BD526:BD527"/>
    <mergeCell ref="BE526:BE527"/>
    <mergeCell ref="BF526:BF527"/>
    <mergeCell ref="BG526:BG527"/>
    <mergeCell ref="BH526:BH527"/>
    <mergeCell ref="BC528:BC529"/>
    <mergeCell ref="BD528:BD529"/>
    <mergeCell ref="BE528:BE529"/>
    <mergeCell ref="BF528:BF529"/>
    <mergeCell ref="BG528:BG529"/>
    <mergeCell ref="BH528:BH529"/>
    <mergeCell ref="BC530:BC531"/>
    <mergeCell ref="BD530:BD531"/>
    <mergeCell ref="BE530:BE531"/>
    <mergeCell ref="BF530:BF531"/>
    <mergeCell ref="BG530:BG531"/>
    <mergeCell ref="BH530:BH531"/>
    <mergeCell ref="BC532:BC535"/>
    <mergeCell ref="BD532:BD535"/>
    <mergeCell ref="BE532:BE535"/>
    <mergeCell ref="BF532:BF535"/>
    <mergeCell ref="BG532:BG535"/>
    <mergeCell ref="BH532:BH535"/>
    <mergeCell ref="BC536:BC537"/>
    <mergeCell ref="BD536:BD537"/>
    <mergeCell ref="BE536:BE537"/>
    <mergeCell ref="BF536:BF537"/>
    <mergeCell ref="BG536:BG537"/>
    <mergeCell ref="BH536:BH537"/>
    <mergeCell ref="BC538:BC546"/>
    <mergeCell ref="BD538:BD546"/>
    <mergeCell ref="BE538:BE546"/>
    <mergeCell ref="BF538:BF546"/>
    <mergeCell ref="BG538:BG546"/>
    <mergeCell ref="BH538:BH546"/>
    <mergeCell ref="BC547:BC548"/>
    <mergeCell ref="BD547:BD548"/>
    <mergeCell ref="BE547:BE548"/>
    <mergeCell ref="BF547:BF548"/>
    <mergeCell ref="BG547:BG548"/>
    <mergeCell ref="BH547:BH548"/>
    <mergeCell ref="BC549:BC550"/>
    <mergeCell ref="BD549:BD550"/>
    <mergeCell ref="BE549:BE550"/>
    <mergeCell ref="BF549:BF550"/>
    <mergeCell ref="BG549:BG550"/>
    <mergeCell ref="BH549:BH550"/>
    <mergeCell ref="BC551:BC554"/>
    <mergeCell ref="BD551:BD554"/>
    <mergeCell ref="BE551:BE554"/>
    <mergeCell ref="BF551:BF554"/>
    <mergeCell ref="BG551:BG554"/>
    <mergeCell ref="BH551:BH554"/>
    <mergeCell ref="BC555:BC558"/>
    <mergeCell ref="BD555:BD558"/>
    <mergeCell ref="BE555:BE558"/>
    <mergeCell ref="BF555:BF558"/>
    <mergeCell ref="BG555:BG558"/>
    <mergeCell ref="BH555:BH558"/>
    <mergeCell ref="BC559:BC560"/>
    <mergeCell ref="BD559:BD560"/>
    <mergeCell ref="BE559:BE560"/>
    <mergeCell ref="BF559:BF560"/>
    <mergeCell ref="BG559:BG560"/>
    <mergeCell ref="BH559:BH560"/>
    <mergeCell ref="BC561:BC595"/>
    <mergeCell ref="BD561:BD595"/>
    <mergeCell ref="BE561:BE595"/>
    <mergeCell ref="BF561:BF595"/>
    <mergeCell ref="BG561:BG595"/>
    <mergeCell ref="BH561:BH595"/>
    <mergeCell ref="BC596:BC599"/>
    <mergeCell ref="BD596:BD599"/>
    <mergeCell ref="BE596:BE599"/>
    <mergeCell ref="BF596:BF599"/>
    <mergeCell ref="BG596:BG599"/>
    <mergeCell ref="BH596:BH599"/>
    <mergeCell ref="BC600:BC609"/>
    <mergeCell ref="BD600:BD609"/>
    <mergeCell ref="BE600:BE609"/>
    <mergeCell ref="BF600:BF609"/>
    <mergeCell ref="BG600:BG609"/>
    <mergeCell ref="BH600:BH609"/>
    <mergeCell ref="BC610:BC613"/>
    <mergeCell ref="BD610:BD613"/>
    <mergeCell ref="BE610:BE613"/>
    <mergeCell ref="BF610:BF613"/>
    <mergeCell ref="BG610:BG613"/>
    <mergeCell ref="BH610:BH613"/>
    <mergeCell ref="BC614:BC615"/>
    <mergeCell ref="BD614:BD615"/>
    <mergeCell ref="BE614:BE615"/>
    <mergeCell ref="BF614:BF615"/>
    <mergeCell ref="BG614:BG615"/>
    <mergeCell ref="BH614:BH615"/>
    <mergeCell ref="BC616:BC617"/>
    <mergeCell ref="BD616:BD617"/>
    <mergeCell ref="BE616:BE617"/>
    <mergeCell ref="BF616:BF617"/>
    <mergeCell ref="BG616:BG617"/>
    <mergeCell ref="BH616:BH617"/>
    <mergeCell ref="BC618:BC621"/>
    <mergeCell ref="BD618:BD621"/>
    <mergeCell ref="BE618:BE621"/>
    <mergeCell ref="BF618:BF621"/>
    <mergeCell ref="BG618:BG621"/>
    <mergeCell ref="BH618:BH621"/>
    <mergeCell ref="BC622:BC625"/>
    <mergeCell ref="BD622:BD625"/>
    <mergeCell ref="BE622:BE625"/>
    <mergeCell ref="BF622:BF625"/>
    <mergeCell ref="BG622:BG625"/>
    <mergeCell ref="BH622:BH625"/>
    <mergeCell ref="BC626:BC631"/>
    <mergeCell ref="BD626:BD631"/>
    <mergeCell ref="BE626:BE631"/>
    <mergeCell ref="BF626:BF631"/>
    <mergeCell ref="BG626:BG631"/>
    <mergeCell ref="BH626:BH631"/>
    <mergeCell ref="BC632:BC639"/>
    <mergeCell ref="BD632:BD639"/>
    <mergeCell ref="BE632:BE639"/>
    <mergeCell ref="BF632:BF639"/>
    <mergeCell ref="BG632:BG639"/>
    <mergeCell ref="BH632:BH639"/>
    <mergeCell ref="BC641:BC644"/>
    <mergeCell ref="BD641:BD644"/>
    <mergeCell ref="BE641:BE644"/>
    <mergeCell ref="BF641:BF644"/>
    <mergeCell ref="BG641:BG644"/>
    <mergeCell ref="BH641:BH644"/>
    <mergeCell ref="BC645:BC648"/>
    <mergeCell ref="BD645:BD648"/>
    <mergeCell ref="BE645:BE648"/>
    <mergeCell ref="BF645:BF648"/>
    <mergeCell ref="BG645:BG648"/>
    <mergeCell ref="BH645:BH648"/>
    <mergeCell ref="BC649:BC650"/>
    <mergeCell ref="BD649:BD650"/>
    <mergeCell ref="BE649:BE650"/>
    <mergeCell ref="BF649:BF650"/>
    <mergeCell ref="BG649:BG650"/>
    <mergeCell ref="BH649:BH650"/>
    <mergeCell ref="BC651:BC653"/>
    <mergeCell ref="BD651:BD653"/>
    <mergeCell ref="BE651:BE653"/>
    <mergeCell ref="BF651:BF653"/>
    <mergeCell ref="BG651:BG653"/>
    <mergeCell ref="BH651:BH653"/>
    <mergeCell ref="BC654:BC655"/>
    <mergeCell ref="BD654:BD655"/>
    <mergeCell ref="BE654:BE655"/>
    <mergeCell ref="BF654:BF655"/>
    <mergeCell ref="BG654:BG655"/>
    <mergeCell ref="BH654:BH655"/>
    <mergeCell ref="BC656:BC659"/>
    <mergeCell ref="BD656:BD659"/>
    <mergeCell ref="BE656:BE659"/>
    <mergeCell ref="BF656:BF659"/>
    <mergeCell ref="BG656:BG659"/>
    <mergeCell ref="BH656:BH659"/>
    <mergeCell ref="BC660:BC661"/>
    <mergeCell ref="BD660:BD661"/>
    <mergeCell ref="BE660:BE661"/>
    <mergeCell ref="BF660:BF661"/>
    <mergeCell ref="BG660:BG661"/>
    <mergeCell ref="BH660:BH661"/>
    <mergeCell ref="BC662:BC663"/>
    <mergeCell ref="BD662:BD663"/>
    <mergeCell ref="BE662:BE663"/>
    <mergeCell ref="BF662:BF663"/>
    <mergeCell ref="BG662:BG663"/>
    <mergeCell ref="BH662:BH663"/>
    <mergeCell ref="BC664:BC667"/>
    <mergeCell ref="BD664:BD667"/>
    <mergeCell ref="BE664:BE667"/>
    <mergeCell ref="BF664:BF667"/>
    <mergeCell ref="BG664:BG667"/>
    <mergeCell ref="BH664:BH667"/>
    <mergeCell ref="BC668:BC675"/>
    <mergeCell ref="BD668:BD675"/>
    <mergeCell ref="BE668:BE675"/>
    <mergeCell ref="BF668:BF675"/>
    <mergeCell ref="BG668:BG675"/>
    <mergeCell ref="BH668:BH675"/>
    <mergeCell ref="BC676:BC677"/>
    <mergeCell ref="BD676:BD677"/>
    <mergeCell ref="BE676:BE677"/>
    <mergeCell ref="BF676:BF677"/>
    <mergeCell ref="BG676:BG677"/>
    <mergeCell ref="BH676:BH677"/>
    <mergeCell ref="BC678:BC679"/>
    <mergeCell ref="BD678:BD679"/>
    <mergeCell ref="BE678:BE679"/>
    <mergeCell ref="BF678:BF679"/>
    <mergeCell ref="BG678:BG679"/>
    <mergeCell ref="BH678:BH679"/>
    <mergeCell ref="BC680:BC683"/>
    <mergeCell ref="BD680:BD683"/>
    <mergeCell ref="BE680:BE683"/>
    <mergeCell ref="BF680:BF683"/>
    <mergeCell ref="BG680:BG683"/>
    <mergeCell ref="BH680:BH683"/>
    <mergeCell ref="BC684:BC687"/>
    <mergeCell ref="BD684:BD687"/>
    <mergeCell ref="BE684:BE687"/>
    <mergeCell ref="BF684:BF687"/>
    <mergeCell ref="BG684:BG687"/>
    <mergeCell ref="BH684:BH687"/>
    <mergeCell ref="BC688:BC691"/>
    <mergeCell ref="BD688:BD691"/>
    <mergeCell ref="BE688:BE691"/>
    <mergeCell ref="BF688:BF691"/>
    <mergeCell ref="BG688:BG691"/>
    <mergeCell ref="BH688:BH691"/>
    <mergeCell ref="BC692:BC697"/>
    <mergeCell ref="BD692:BD697"/>
    <mergeCell ref="BE692:BE697"/>
    <mergeCell ref="BF692:BF697"/>
    <mergeCell ref="BG692:BG697"/>
    <mergeCell ref="BH692:BH697"/>
    <mergeCell ref="BC698:BC699"/>
    <mergeCell ref="BD698:BD699"/>
    <mergeCell ref="BE698:BE699"/>
    <mergeCell ref="BF698:BF699"/>
    <mergeCell ref="BG698:BG699"/>
    <mergeCell ref="BH698:BH699"/>
    <mergeCell ref="BC700:BC701"/>
    <mergeCell ref="BD700:BD701"/>
    <mergeCell ref="BE700:BE701"/>
    <mergeCell ref="BF700:BF701"/>
    <mergeCell ref="BG700:BG701"/>
    <mergeCell ref="BH700:BH701"/>
    <mergeCell ref="BC702:BC705"/>
    <mergeCell ref="BD702:BD705"/>
    <mergeCell ref="BE702:BE705"/>
    <mergeCell ref="BF702:BF705"/>
    <mergeCell ref="BG702:BG705"/>
    <mergeCell ref="BH702:BH705"/>
    <mergeCell ref="BC706:BC707"/>
    <mergeCell ref="BD706:BD707"/>
    <mergeCell ref="BE706:BE707"/>
    <mergeCell ref="BF706:BF707"/>
    <mergeCell ref="BG706:BG707"/>
    <mergeCell ref="BH706:BH707"/>
    <mergeCell ref="BC708:BC710"/>
    <mergeCell ref="BD708:BD710"/>
    <mergeCell ref="BE708:BE710"/>
    <mergeCell ref="BF708:BF710"/>
    <mergeCell ref="BG708:BG710"/>
    <mergeCell ref="BH708:BH710"/>
    <mergeCell ref="BC711:BC722"/>
    <mergeCell ref="BD711:BD722"/>
    <mergeCell ref="BE711:BE722"/>
    <mergeCell ref="BF711:BF722"/>
    <mergeCell ref="BG711:BG722"/>
    <mergeCell ref="BH711:BH722"/>
    <mergeCell ref="BC723:BC751"/>
    <mergeCell ref="BD723:BD751"/>
    <mergeCell ref="BE723:BE751"/>
    <mergeCell ref="BF723:BF751"/>
    <mergeCell ref="BG723:BG751"/>
    <mergeCell ref="BH723:BH751"/>
    <mergeCell ref="BC752:BC758"/>
    <mergeCell ref="BD752:BD758"/>
    <mergeCell ref="BE752:BE758"/>
    <mergeCell ref="BF752:BF758"/>
    <mergeCell ref="BG752:BG758"/>
    <mergeCell ref="BH752:BH758"/>
    <mergeCell ref="BC759:BC762"/>
    <mergeCell ref="BD759:BD762"/>
    <mergeCell ref="BE759:BE762"/>
    <mergeCell ref="BF759:BF762"/>
    <mergeCell ref="BG759:BG762"/>
    <mergeCell ref="BH759:BH762"/>
    <mergeCell ref="BC763:BC766"/>
    <mergeCell ref="BD763:BD766"/>
    <mergeCell ref="BE763:BE766"/>
    <mergeCell ref="BF763:BF766"/>
    <mergeCell ref="BG763:BG766"/>
    <mergeCell ref="BH763:BH766"/>
    <mergeCell ref="BC767:BC781"/>
    <mergeCell ref="BD767:BD781"/>
    <mergeCell ref="BE767:BE781"/>
    <mergeCell ref="BF767:BF781"/>
    <mergeCell ref="BG767:BG781"/>
    <mergeCell ref="BH767:BH781"/>
    <mergeCell ref="BC782:BC785"/>
    <mergeCell ref="BD782:BD785"/>
    <mergeCell ref="BE782:BE785"/>
    <mergeCell ref="BF782:BF785"/>
    <mergeCell ref="BG782:BG785"/>
    <mergeCell ref="BH782:BH785"/>
    <mergeCell ref="BC786:BC787"/>
    <mergeCell ref="BD786:BD787"/>
    <mergeCell ref="BE786:BE787"/>
    <mergeCell ref="BF786:BF787"/>
    <mergeCell ref="BG786:BG787"/>
    <mergeCell ref="BH786:BH787"/>
    <mergeCell ref="BC788:BC790"/>
    <mergeCell ref="BD788:BD790"/>
    <mergeCell ref="BE788:BE790"/>
    <mergeCell ref="BF788:BF790"/>
    <mergeCell ref="BG788:BG790"/>
    <mergeCell ref="BH788:BH790"/>
    <mergeCell ref="BC791:BC792"/>
    <mergeCell ref="BD791:BD792"/>
    <mergeCell ref="BE791:BE792"/>
    <mergeCell ref="BF791:BF792"/>
    <mergeCell ref="BG791:BG792"/>
    <mergeCell ref="BH791:BH792"/>
    <mergeCell ref="BC793:BC796"/>
    <mergeCell ref="BD793:BD796"/>
    <mergeCell ref="BE793:BE796"/>
    <mergeCell ref="BF793:BF796"/>
    <mergeCell ref="BG793:BG796"/>
    <mergeCell ref="BH793:BH796"/>
    <mergeCell ref="BC797:BC812"/>
    <mergeCell ref="BD797:BD812"/>
    <mergeCell ref="BE797:BE812"/>
    <mergeCell ref="BF797:BF812"/>
    <mergeCell ref="BG797:BG812"/>
    <mergeCell ref="BH797:BH812"/>
    <mergeCell ref="BC813:BC814"/>
    <mergeCell ref="BD813:BD814"/>
    <mergeCell ref="BE813:BE814"/>
    <mergeCell ref="BF813:BF814"/>
    <mergeCell ref="BG813:BG814"/>
    <mergeCell ref="BH813:BH814"/>
    <mergeCell ref="BC815:BC822"/>
    <mergeCell ref="BD815:BD822"/>
    <mergeCell ref="BE815:BE822"/>
    <mergeCell ref="BF815:BF822"/>
    <mergeCell ref="BG815:BG822"/>
    <mergeCell ref="BH815:BH822"/>
    <mergeCell ref="BC823:BC826"/>
    <mergeCell ref="BD823:BD826"/>
    <mergeCell ref="BE823:BE826"/>
    <mergeCell ref="BF823:BF826"/>
    <mergeCell ref="BG823:BG826"/>
    <mergeCell ref="BH823:BH826"/>
    <mergeCell ref="BC834:BC839"/>
    <mergeCell ref="BD834:BD839"/>
    <mergeCell ref="BE834:BE839"/>
    <mergeCell ref="BF834:BF839"/>
    <mergeCell ref="BG834:BG839"/>
    <mergeCell ref="BH834:BH839"/>
    <mergeCell ref="BC840:BC842"/>
    <mergeCell ref="BD840:BD842"/>
    <mergeCell ref="BE840:BE842"/>
    <mergeCell ref="BF840:BF842"/>
    <mergeCell ref="BG840:BG842"/>
    <mergeCell ref="BH840:BH842"/>
    <mergeCell ref="BC847:BC852"/>
    <mergeCell ref="BD847:BD852"/>
    <mergeCell ref="BE847:BE852"/>
    <mergeCell ref="BF847:BF852"/>
    <mergeCell ref="BG847:BG852"/>
    <mergeCell ref="BH847:BH852"/>
    <mergeCell ref="BC853:BC856"/>
    <mergeCell ref="BD853:BD856"/>
    <mergeCell ref="BE853:BE856"/>
    <mergeCell ref="BF853:BF856"/>
    <mergeCell ref="BG853:BG856"/>
    <mergeCell ref="BH853:BH856"/>
    <mergeCell ref="BC857:BC858"/>
    <mergeCell ref="BD857:BD858"/>
    <mergeCell ref="BE857:BE858"/>
    <mergeCell ref="BF857:BF858"/>
    <mergeCell ref="BG857:BG858"/>
    <mergeCell ref="BH857:BH858"/>
    <mergeCell ref="BC859:BC864"/>
    <mergeCell ref="BD859:BD864"/>
    <mergeCell ref="BE859:BE864"/>
    <mergeCell ref="BF859:BF864"/>
    <mergeCell ref="BG859:BG864"/>
    <mergeCell ref="BH859:BH864"/>
    <mergeCell ref="BC865:BC868"/>
    <mergeCell ref="BD865:BD868"/>
    <mergeCell ref="BE865:BE868"/>
    <mergeCell ref="BF865:BF868"/>
    <mergeCell ref="BG865:BG868"/>
    <mergeCell ref="BH865:BH868"/>
    <mergeCell ref="BC869:BC870"/>
    <mergeCell ref="BD869:BD870"/>
    <mergeCell ref="BE869:BE870"/>
    <mergeCell ref="BF869:BF870"/>
    <mergeCell ref="BG869:BG870"/>
    <mergeCell ref="BH869:BH870"/>
    <mergeCell ref="BC871:BC874"/>
    <mergeCell ref="BD871:BD874"/>
    <mergeCell ref="BE871:BE874"/>
    <mergeCell ref="BF871:BF874"/>
    <mergeCell ref="BG871:BG874"/>
    <mergeCell ref="BH871:BH874"/>
    <mergeCell ref="BC875:BC876"/>
    <mergeCell ref="BD875:BD876"/>
    <mergeCell ref="BE875:BE876"/>
    <mergeCell ref="BF875:BF876"/>
    <mergeCell ref="BG875:BG876"/>
    <mergeCell ref="BH875:BH876"/>
    <mergeCell ref="BC877:BC878"/>
    <mergeCell ref="BD877:BD878"/>
    <mergeCell ref="BE877:BE878"/>
    <mergeCell ref="BF877:BF878"/>
    <mergeCell ref="BG877:BG878"/>
    <mergeCell ref="BH877:BH878"/>
    <mergeCell ref="BC879:BC881"/>
    <mergeCell ref="BD879:BD881"/>
    <mergeCell ref="BE879:BE881"/>
    <mergeCell ref="BF879:BF881"/>
    <mergeCell ref="BG879:BG881"/>
    <mergeCell ref="BH879:BH881"/>
    <mergeCell ref="BC882:BC883"/>
    <mergeCell ref="BD882:BD883"/>
    <mergeCell ref="BE882:BE883"/>
    <mergeCell ref="BF882:BF883"/>
    <mergeCell ref="BG882:BG883"/>
    <mergeCell ref="BH882:BH883"/>
    <mergeCell ref="BC884:BC885"/>
    <mergeCell ref="BD884:BD885"/>
    <mergeCell ref="BE884:BE885"/>
    <mergeCell ref="BF884:BF885"/>
    <mergeCell ref="BG884:BG885"/>
    <mergeCell ref="BH884:BH885"/>
    <mergeCell ref="BC886:BC891"/>
    <mergeCell ref="BD886:BD891"/>
    <mergeCell ref="BE886:BE891"/>
    <mergeCell ref="BF886:BF891"/>
    <mergeCell ref="BG886:BG891"/>
    <mergeCell ref="BH886:BH891"/>
    <mergeCell ref="BC892:BC894"/>
    <mergeCell ref="BD892:BD894"/>
    <mergeCell ref="BE892:BE894"/>
    <mergeCell ref="BF892:BF894"/>
    <mergeCell ref="BG892:BG894"/>
    <mergeCell ref="BH892:BH894"/>
    <mergeCell ref="BC895:BC896"/>
    <mergeCell ref="BD895:BD896"/>
    <mergeCell ref="BE895:BE896"/>
    <mergeCell ref="BF895:BF896"/>
    <mergeCell ref="BG895:BG896"/>
    <mergeCell ref="BH895:BH896"/>
    <mergeCell ref="BC897:BC898"/>
    <mergeCell ref="BD897:BD898"/>
    <mergeCell ref="BE897:BE898"/>
    <mergeCell ref="BF897:BF898"/>
    <mergeCell ref="BG897:BG898"/>
    <mergeCell ref="BH897:BH898"/>
    <mergeCell ref="BC900:BC903"/>
    <mergeCell ref="BD900:BD903"/>
    <mergeCell ref="BE900:BE903"/>
    <mergeCell ref="BF900:BF903"/>
    <mergeCell ref="BG900:BG903"/>
    <mergeCell ref="BH900:BH903"/>
    <mergeCell ref="BC904:BC905"/>
    <mergeCell ref="BD904:BD905"/>
    <mergeCell ref="BE904:BE905"/>
    <mergeCell ref="BF904:BF905"/>
    <mergeCell ref="BG904:BG905"/>
    <mergeCell ref="BH904:BH905"/>
    <mergeCell ref="BC906:BC909"/>
    <mergeCell ref="BD906:BD909"/>
    <mergeCell ref="BE906:BE909"/>
    <mergeCell ref="BF906:BF909"/>
    <mergeCell ref="BG906:BG909"/>
    <mergeCell ref="BH906:BH909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5"/>
    <mergeCell ref="BD922:BD925"/>
    <mergeCell ref="BE922:BE925"/>
    <mergeCell ref="BF922:BF925"/>
    <mergeCell ref="BG922:BG925"/>
    <mergeCell ref="BH922:BH925"/>
    <mergeCell ref="BC926:BC927"/>
    <mergeCell ref="BD926:BD927"/>
    <mergeCell ref="BE926:BE927"/>
    <mergeCell ref="BF926:BF927"/>
    <mergeCell ref="BG926:BG927"/>
    <mergeCell ref="BH926:BH927"/>
    <mergeCell ref="BC928:BC929"/>
    <mergeCell ref="BD928:BD929"/>
    <mergeCell ref="BE928:BE929"/>
    <mergeCell ref="BF928:BF929"/>
    <mergeCell ref="BG928:BG929"/>
    <mergeCell ref="BH928:BH929"/>
    <mergeCell ref="BC930:BC931"/>
    <mergeCell ref="BD930:BD931"/>
    <mergeCell ref="BE930:BE931"/>
    <mergeCell ref="BF930:BF931"/>
    <mergeCell ref="BG930:BG931"/>
    <mergeCell ref="BH930:BH931"/>
    <mergeCell ref="BC932:BC933"/>
    <mergeCell ref="BD932:BD933"/>
    <mergeCell ref="BE932:BE933"/>
    <mergeCell ref="BF932:BF933"/>
    <mergeCell ref="BG932:BG933"/>
    <mergeCell ref="BH932:BH933"/>
    <mergeCell ref="BC934:BC935"/>
    <mergeCell ref="BD934:BD935"/>
    <mergeCell ref="BE934:BE935"/>
    <mergeCell ref="BF934:BF935"/>
    <mergeCell ref="BG934:BG935"/>
    <mergeCell ref="BH934:BH935"/>
    <mergeCell ref="BC936:BC937"/>
    <mergeCell ref="BD936:BD937"/>
    <mergeCell ref="BE936:BE937"/>
    <mergeCell ref="BF936:BF937"/>
    <mergeCell ref="BG936:BG937"/>
    <mergeCell ref="BH936:BH937"/>
    <mergeCell ref="BC938:BC945"/>
    <mergeCell ref="BD938:BD945"/>
    <mergeCell ref="BE938:BE945"/>
    <mergeCell ref="BF938:BF945"/>
    <mergeCell ref="BG938:BG945"/>
    <mergeCell ref="BH938:BH945"/>
    <mergeCell ref="BC946:BC947"/>
    <mergeCell ref="BD946:BD947"/>
    <mergeCell ref="BE946:BE947"/>
    <mergeCell ref="BF946:BF947"/>
    <mergeCell ref="BG946:BG947"/>
    <mergeCell ref="BH946:BH947"/>
    <mergeCell ref="BC949:BC950"/>
    <mergeCell ref="BD949:BD950"/>
    <mergeCell ref="BE949:BE950"/>
    <mergeCell ref="BF949:BF950"/>
    <mergeCell ref="BG949:BG950"/>
    <mergeCell ref="BH949:BH950"/>
    <mergeCell ref="BC951:BC952"/>
    <mergeCell ref="BD951:BD952"/>
    <mergeCell ref="BE951:BE952"/>
    <mergeCell ref="BF951:BF952"/>
    <mergeCell ref="BG951:BG952"/>
    <mergeCell ref="BH951:BH952"/>
    <mergeCell ref="BC953:BC954"/>
    <mergeCell ref="BD953:BD954"/>
    <mergeCell ref="BE953:BE954"/>
    <mergeCell ref="BF953:BF954"/>
    <mergeCell ref="BG953:BG954"/>
    <mergeCell ref="BH953:BH954"/>
    <mergeCell ref="BC955:BC956"/>
    <mergeCell ref="BD955:BD956"/>
    <mergeCell ref="BE955:BE956"/>
    <mergeCell ref="BF955:BF956"/>
    <mergeCell ref="BG955:BG956"/>
    <mergeCell ref="BH955:BH956"/>
    <mergeCell ref="BC957:BC958"/>
    <mergeCell ref="BD957:BD958"/>
    <mergeCell ref="BE957:BE958"/>
    <mergeCell ref="BF957:BF958"/>
    <mergeCell ref="BG957:BG958"/>
    <mergeCell ref="BH957:BH958"/>
    <mergeCell ref="BC959:BC960"/>
    <mergeCell ref="BD959:BD960"/>
    <mergeCell ref="BE959:BE960"/>
    <mergeCell ref="BF959:BF960"/>
    <mergeCell ref="BG959:BG960"/>
    <mergeCell ref="BH959:BH960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5:BC968"/>
    <mergeCell ref="BD965:BD968"/>
    <mergeCell ref="BE965:BE968"/>
    <mergeCell ref="BF965:BF968"/>
    <mergeCell ref="BG965:BG968"/>
    <mergeCell ref="BH965:BH968"/>
    <mergeCell ref="BC969:BC972"/>
    <mergeCell ref="BD969:BD972"/>
    <mergeCell ref="BE969:BE972"/>
    <mergeCell ref="BF969:BF972"/>
    <mergeCell ref="BG969:BG972"/>
    <mergeCell ref="BH969:BH972"/>
    <mergeCell ref="BC973:BC974"/>
    <mergeCell ref="BD973:BD974"/>
    <mergeCell ref="BE973:BE974"/>
    <mergeCell ref="BF973:BF974"/>
    <mergeCell ref="BG973:BG974"/>
    <mergeCell ref="BH973:BH974"/>
    <mergeCell ref="BC975:BC980"/>
    <mergeCell ref="BD975:BD980"/>
    <mergeCell ref="BE975:BE980"/>
    <mergeCell ref="BF975:BF980"/>
    <mergeCell ref="BG975:BG980"/>
    <mergeCell ref="BH975:BH980"/>
    <mergeCell ref="BC981:BC985"/>
    <mergeCell ref="BD981:BD985"/>
    <mergeCell ref="BE981:BE985"/>
    <mergeCell ref="BF981:BF985"/>
    <mergeCell ref="BG981:BG985"/>
    <mergeCell ref="BH981:BH985"/>
    <mergeCell ref="BC988:BC991"/>
    <mergeCell ref="BD988:BD991"/>
    <mergeCell ref="BE988:BE991"/>
    <mergeCell ref="BF988:BF991"/>
    <mergeCell ref="BG988:BG991"/>
    <mergeCell ref="BH988:BH991"/>
    <mergeCell ref="BC992:BC1009"/>
    <mergeCell ref="BD992:BD1009"/>
    <mergeCell ref="BE992:BE1009"/>
    <mergeCell ref="BF992:BF1009"/>
    <mergeCell ref="BG992:BG1009"/>
    <mergeCell ref="BH992:BH1009"/>
    <mergeCell ref="BC1010:BC1024"/>
    <mergeCell ref="BD1010:BD1024"/>
    <mergeCell ref="BE1010:BE1024"/>
    <mergeCell ref="BF1010:BF1024"/>
    <mergeCell ref="BG1010:BG1024"/>
    <mergeCell ref="BH1010:BH1024"/>
    <mergeCell ref="BC1025:BC1030"/>
    <mergeCell ref="BD1025:BD1030"/>
    <mergeCell ref="BE1025:BE1030"/>
    <mergeCell ref="BF1025:BF1030"/>
    <mergeCell ref="BG1025:BG1030"/>
    <mergeCell ref="BH1025:BH1030"/>
    <mergeCell ref="BC1031:BC1033"/>
    <mergeCell ref="BD1031:BD1033"/>
    <mergeCell ref="BE1031:BE1033"/>
    <mergeCell ref="BF1031:BF1033"/>
    <mergeCell ref="BG1031:BG1033"/>
    <mergeCell ref="BH1031:BH1033"/>
    <mergeCell ref="BC1035:BC1037"/>
    <mergeCell ref="BD1035:BD1037"/>
    <mergeCell ref="BE1035:BE1037"/>
    <mergeCell ref="BF1035:BF1037"/>
    <mergeCell ref="BG1035:BG1037"/>
    <mergeCell ref="BH1035:BH1037"/>
    <mergeCell ref="BC1038:BC1040"/>
    <mergeCell ref="BD1038:BD1040"/>
    <mergeCell ref="BE1038:BE1040"/>
    <mergeCell ref="BF1038:BF1040"/>
    <mergeCell ref="BG1038:BG1040"/>
    <mergeCell ref="BH1038:BH1040"/>
    <mergeCell ref="BC1041:BC1055"/>
    <mergeCell ref="BD1041:BD1055"/>
    <mergeCell ref="BE1041:BE1055"/>
    <mergeCell ref="BF1041:BF1055"/>
    <mergeCell ref="BG1041:BG1055"/>
    <mergeCell ref="BH1041:BH1055"/>
    <mergeCell ref="BC1056:BC1060"/>
    <mergeCell ref="BD1056:BD1060"/>
    <mergeCell ref="BE1056:BE1060"/>
    <mergeCell ref="BF1056:BF1060"/>
    <mergeCell ref="BG1056:BG1060"/>
    <mergeCell ref="BH1056:BH1060"/>
    <mergeCell ref="BC1061:BC1065"/>
    <mergeCell ref="BD1061:BD1065"/>
    <mergeCell ref="BE1061:BE1065"/>
    <mergeCell ref="BF1061:BF1065"/>
    <mergeCell ref="BG1061:BG1065"/>
    <mergeCell ref="BH1061:BH1065"/>
    <mergeCell ref="BC1066:BC1076"/>
    <mergeCell ref="BD1066:BD1076"/>
    <mergeCell ref="BE1066:BE1076"/>
    <mergeCell ref="BF1066:BF1076"/>
    <mergeCell ref="BG1066:BG1076"/>
    <mergeCell ref="BH1066:BH1076"/>
    <mergeCell ref="BC1077:BC1086"/>
    <mergeCell ref="BD1077:BD1086"/>
    <mergeCell ref="BE1077:BE1086"/>
    <mergeCell ref="BF1077:BF1086"/>
    <mergeCell ref="BG1077:BG1086"/>
    <mergeCell ref="BH1077:BH1086"/>
    <mergeCell ref="BC1087:BC1091"/>
    <mergeCell ref="BD1087:BD1091"/>
    <mergeCell ref="BE1087:BE1091"/>
    <mergeCell ref="BF1087:BF1091"/>
    <mergeCell ref="BG1087:BG1091"/>
    <mergeCell ref="BH1087:BH1091"/>
    <mergeCell ref="BC1092:BC1116"/>
    <mergeCell ref="BD1092:BD1116"/>
    <mergeCell ref="BE1092:BE1116"/>
    <mergeCell ref="BF1092:BF1116"/>
    <mergeCell ref="BG1092:BG1116"/>
    <mergeCell ref="BH1092:BH1116"/>
    <mergeCell ref="BC1117:BC1126"/>
    <mergeCell ref="BD1117:BD1126"/>
    <mergeCell ref="BE1117:BE1126"/>
    <mergeCell ref="BF1117:BF1126"/>
    <mergeCell ref="BG1117:BG1126"/>
    <mergeCell ref="BH1117:BH1126"/>
    <mergeCell ref="BC1127:BC1131"/>
    <mergeCell ref="BD1127:BD1131"/>
    <mergeCell ref="BE1127:BE1131"/>
    <mergeCell ref="BF1127:BF1131"/>
    <mergeCell ref="BG1127:BG1131"/>
    <mergeCell ref="BH1127:BH1131"/>
    <mergeCell ref="BC1132:BC1137"/>
    <mergeCell ref="BD1132:BD1137"/>
    <mergeCell ref="BE1132:BE1137"/>
    <mergeCell ref="BF1132:BF1137"/>
    <mergeCell ref="BG1132:BG1137"/>
    <mergeCell ref="BH1132:BH1137"/>
    <mergeCell ref="BC1138:BC1142"/>
    <mergeCell ref="BD1138:BD1142"/>
    <mergeCell ref="BE1138:BE1142"/>
    <mergeCell ref="BF1138:BF1142"/>
    <mergeCell ref="BG1138:BG1142"/>
    <mergeCell ref="BH1138:BH1142"/>
    <mergeCell ref="BC1143:BC1145"/>
    <mergeCell ref="BD1143:BD1145"/>
    <mergeCell ref="BE1143:BE1145"/>
    <mergeCell ref="BF1143:BF1145"/>
    <mergeCell ref="BG1143:BG1145"/>
    <mergeCell ref="BH1143:BH1145"/>
    <mergeCell ref="BC1146:BC1150"/>
    <mergeCell ref="BD1146:BD1150"/>
    <mergeCell ref="BE1146:BE1150"/>
    <mergeCell ref="BF1146:BF1150"/>
    <mergeCell ref="BG1146:BG1150"/>
    <mergeCell ref="BH1146:BH1150"/>
    <mergeCell ref="BC1151:BC1152"/>
    <mergeCell ref="BD1151:BD1152"/>
    <mergeCell ref="BE1151:BE1152"/>
    <mergeCell ref="BF1151:BF1152"/>
    <mergeCell ref="BG1151:BG1152"/>
    <mergeCell ref="BH1151:BH1152"/>
    <mergeCell ref="BC1153:BC1162"/>
    <mergeCell ref="BD1153:BD1162"/>
    <mergeCell ref="BE1153:BE1162"/>
    <mergeCell ref="BF1153:BF1162"/>
    <mergeCell ref="BG1153:BG1162"/>
    <mergeCell ref="BH1153:BH1162"/>
    <mergeCell ref="BC1163:BC1172"/>
    <mergeCell ref="BD1163:BD1172"/>
    <mergeCell ref="BE1163:BE1172"/>
    <mergeCell ref="BF1163:BF1172"/>
    <mergeCell ref="BG1163:BG1172"/>
    <mergeCell ref="BH1163:BH1172"/>
    <mergeCell ref="BC1173:BC1177"/>
    <mergeCell ref="BD1173:BD1177"/>
    <mergeCell ref="BE1173:BE1177"/>
    <mergeCell ref="BF1173:BF1177"/>
    <mergeCell ref="BG1173:BG1177"/>
    <mergeCell ref="BH1173:BH1177"/>
    <mergeCell ref="BC1178:BC1187"/>
    <mergeCell ref="BD1178:BD1187"/>
    <mergeCell ref="BE1178:BE1187"/>
    <mergeCell ref="BF1178:BF1187"/>
    <mergeCell ref="BG1178:BG1187"/>
    <mergeCell ref="BH1178:BH1187"/>
    <mergeCell ref="BC1188:BC1189"/>
    <mergeCell ref="BD1188:BD1189"/>
    <mergeCell ref="BE1188:BE1189"/>
    <mergeCell ref="BF1188:BF1189"/>
    <mergeCell ref="BG1188:BG1189"/>
    <mergeCell ref="BH1188:BH1189"/>
    <mergeCell ref="BC1190:BC1192"/>
    <mergeCell ref="BD1190:BD1192"/>
    <mergeCell ref="BE1190:BE1192"/>
    <mergeCell ref="BF1190:BF1192"/>
    <mergeCell ref="BG1190:BG1192"/>
    <mergeCell ref="BH1190:BH1192"/>
    <mergeCell ref="BC1193:BC1197"/>
    <mergeCell ref="BD1193:BD1197"/>
    <mergeCell ref="BE1193:BE1197"/>
    <mergeCell ref="BF1193:BF1197"/>
    <mergeCell ref="BG1193:BG1197"/>
    <mergeCell ref="BH1193:BH1197"/>
    <mergeCell ref="BC1198:BC1202"/>
    <mergeCell ref="BD1198:BD1202"/>
    <mergeCell ref="BE1198:BE1202"/>
    <mergeCell ref="BF1198:BF1202"/>
    <mergeCell ref="BG1198:BG1202"/>
    <mergeCell ref="BH1198:BH1202"/>
    <mergeCell ref="BC1203:BC1212"/>
    <mergeCell ref="BD1203:BD1212"/>
    <mergeCell ref="BE1203:BE1212"/>
    <mergeCell ref="BF1203:BF1212"/>
    <mergeCell ref="BG1203:BG1212"/>
    <mergeCell ref="BH1203:BH1212"/>
    <mergeCell ref="BC1213:BC1214"/>
    <mergeCell ref="BD1213:BD1214"/>
    <mergeCell ref="BE1213:BE1214"/>
    <mergeCell ref="BF1213:BF1214"/>
    <mergeCell ref="BG1213:BG1214"/>
    <mergeCell ref="BH1213:BH1214"/>
    <mergeCell ref="BC1215:BC1224"/>
    <mergeCell ref="BD1215:BD1224"/>
    <mergeCell ref="BE1215:BE1224"/>
    <mergeCell ref="BF1215:BF1224"/>
    <mergeCell ref="BG1215:BG1224"/>
    <mergeCell ref="BH1215:BH1224"/>
    <mergeCell ref="BC1225:BC1230"/>
    <mergeCell ref="BD1225:BD1230"/>
    <mergeCell ref="BE1225:BE1230"/>
    <mergeCell ref="BF1225:BF1230"/>
    <mergeCell ref="BG1225:BG1230"/>
    <mergeCell ref="BH1225:BH1230"/>
    <mergeCell ref="BC1231:BC1239"/>
    <mergeCell ref="BD1231:BD1239"/>
    <mergeCell ref="BE1231:BE1239"/>
    <mergeCell ref="BF1231:BF1239"/>
    <mergeCell ref="BG1231:BG1239"/>
    <mergeCell ref="BH1231:BH1239"/>
    <mergeCell ref="BC1240:BC1251"/>
    <mergeCell ref="BD1240:BD1251"/>
    <mergeCell ref="BE1240:BE1251"/>
    <mergeCell ref="BF1240:BF1251"/>
    <mergeCell ref="BG1240:BG1251"/>
    <mergeCell ref="BH1240:BH1251"/>
    <mergeCell ref="BC1252:BC1260"/>
    <mergeCell ref="BD1252:BD1260"/>
    <mergeCell ref="BE1252:BE1260"/>
    <mergeCell ref="BF1252:BF1260"/>
    <mergeCell ref="BG1252:BG1260"/>
    <mergeCell ref="BH1252:BH1260"/>
    <mergeCell ref="BC1261:BC1262"/>
    <mergeCell ref="BD1261:BD1262"/>
    <mergeCell ref="BE1261:BE1262"/>
    <mergeCell ref="BF1261:BF1262"/>
    <mergeCell ref="BG1261:BG1262"/>
    <mergeCell ref="BH1261:BH1262"/>
    <mergeCell ref="BC1263:BC1268"/>
    <mergeCell ref="BD1263:BD1268"/>
    <mergeCell ref="BE1263:BE1268"/>
    <mergeCell ref="BF1263:BF1268"/>
    <mergeCell ref="BG1263:BG1268"/>
    <mergeCell ref="BH1263:BH1268"/>
    <mergeCell ref="BC1269:BC1272"/>
    <mergeCell ref="BD1269:BD1272"/>
    <mergeCell ref="BE1269:BE1272"/>
    <mergeCell ref="BF1269:BF1272"/>
    <mergeCell ref="BG1269:BG1272"/>
    <mergeCell ref="BH1269:BH1272"/>
    <mergeCell ref="BC1273:BC1278"/>
    <mergeCell ref="BD1273:BD1278"/>
    <mergeCell ref="BE1273:BE1278"/>
    <mergeCell ref="BF1273:BF1278"/>
    <mergeCell ref="BG1273:BG1278"/>
    <mergeCell ref="BH1273:BH1278"/>
    <mergeCell ref="BC1279:BC1286"/>
    <mergeCell ref="BD1279:BD1286"/>
    <mergeCell ref="BE1279:BE1286"/>
    <mergeCell ref="BF1279:BF1286"/>
    <mergeCell ref="BG1279:BG1286"/>
    <mergeCell ref="BH1279:BH1286"/>
    <mergeCell ref="BC1287:BC1292"/>
    <mergeCell ref="BD1287:BD1292"/>
    <mergeCell ref="BE1287:BE1292"/>
    <mergeCell ref="BF1287:BF1292"/>
    <mergeCell ref="BG1287:BG1292"/>
    <mergeCell ref="BH1287:BH1292"/>
    <mergeCell ref="BC1293:BC1294"/>
    <mergeCell ref="BD1293:BD1294"/>
    <mergeCell ref="BE1293:BE1294"/>
    <mergeCell ref="BF1293:BF1294"/>
    <mergeCell ref="BG1293:BG1294"/>
    <mergeCell ref="BH1293:BH1294"/>
    <mergeCell ref="BC1295:BC1296"/>
    <mergeCell ref="BD1295:BD1296"/>
    <mergeCell ref="BE1295:BE1296"/>
    <mergeCell ref="BF1295:BF1296"/>
    <mergeCell ref="BG1295:BG1296"/>
    <mergeCell ref="BH1295:BH1296"/>
    <mergeCell ref="BC1297:BC1300"/>
    <mergeCell ref="BD1297:BD1300"/>
    <mergeCell ref="BE1297:BE1300"/>
    <mergeCell ref="BF1297:BF1300"/>
    <mergeCell ref="BG1297:BG1300"/>
    <mergeCell ref="BH1297:BH1300"/>
    <mergeCell ref="BC1301:BC1308"/>
    <mergeCell ref="BD1301:BD1308"/>
    <mergeCell ref="BE1301:BE1308"/>
    <mergeCell ref="BF1301:BF1308"/>
    <mergeCell ref="BG1301:BG1308"/>
    <mergeCell ref="BH1301:BH1308"/>
    <mergeCell ref="BC1309:BC1316"/>
    <mergeCell ref="BD1309:BD1316"/>
    <mergeCell ref="BE1309:BE1316"/>
    <mergeCell ref="BF1309:BF1316"/>
    <mergeCell ref="BG1309:BG1316"/>
    <mergeCell ref="BH1309:BH1316"/>
    <mergeCell ref="BC1318:BC1319"/>
    <mergeCell ref="BD1318:BD1319"/>
    <mergeCell ref="BE1318:BE1319"/>
    <mergeCell ref="BF1318:BF1319"/>
    <mergeCell ref="BG1318:BG1319"/>
    <mergeCell ref="BH1318:BH1319"/>
    <mergeCell ref="BC1321:BC1324"/>
    <mergeCell ref="BD1321:BD1324"/>
    <mergeCell ref="BE1321:BE1324"/>
    <mergeCell ref="BF1321:BF1324"/>
    <mergeCell ref="BG1321:BG1324"/>
    <mergeCell ref="BH1321:BH1324"/>
    <mergeCell ref="BC1325:BC1326"/>
    <mergeCell ref="BD1325:BD1326"/>
    <mergeCell ref="BE1325:BE1326"/>
    <mergeCell ref="BF1325:BF1326"/>
    <mergeCell ref="BG1325:BG1326"/>
    <mergeCell ref="BH1325:BH1326"/>
    <mergeCell ref="BC1327:BC1330"/>
    <mergeCell ref="BD1327:BD1330"/>
    <mergeCell ref="BE1327:BE1330"/>
    <mergeCell ref="BF1327:BF1330"/>
    <mergeCell ref="BG1327:BG1330"/>
    <mergeCell ref="BH1327:BH1330"/>
    <mergeCell ref="BC1331:BC1332"/>
    <mergeCell ref="BD1331:BD1332"/>
    <mergeCell ref="BE1331:BE1332"/>
    <mergeCell ref="BF1331:BF1332"/>
    <mergeCell ref="BG1331:BG1332"/>
    <mergeCell ref="BH1331:BH1332"/>
    <mergeCell ref="BC1333:BC1335"/>
    <mergeCell ref="BD1333:BD1335"/>
    <mergeCell ref="BE1333:BE1335"/>
    <mergeCell ref="BF1333:BF1335"/>
    <mergeCell ref="BG1333:BG1335"/>
    <mergeCell ref="BH1333:BH1335"/>
    <mergeCell ref="BC1336:BC1340"/>
    <mergeCell ref="BD1336:BD1340"/>
    <mergeCell ref="BE1336:BE1340"/>
    <mergeCell ref="BF1336:BF1340"/>
    <mergeCell ref="BG1336:BG1340"/>
    <mergeCell ref="BH1336:BH1340"/>
    <mergeCell ref="BC1341:BC1342"/>
    <mergeCell ref="BD1341:BD1342"/>
    <mergeCell ref="BE1341:BE1342"/>
    <mergeCell ref="BF1341:BF1342"/>
    <mergeCell ref="BG1341:BG1342"/>
    <mergeCell ref="BH1341:BH1342"/>
    <mergeCell ref="BC1343:BC1347"/>
    <mergeCell ref="BD1343:BD1347"/>
    <mergeCell ref="BE1343:BE1347"/>
    <mergeCell ref="BF1343:BF1347"/>
    <mergeCell ref="BG1343:BG1347"/>
    <mergeCell ref="BH1343:BH1347"/>
    <mergeCell ref="BC1348:BC1349"/>
    <mergeCell ref="BD1348:BD1349"/>
    <mergeCell ref="BE1348:BE1349"/>
    <mergeCell ref="BF1348:BF1349"/>
    <mergeCell ref="BG1348:BG1349"/>
    <mergeCell ref="BH1348:BH1349"/>
    <mergeCell ref="BC1350:BC1351"/>
    <mergeCell ref="BD1350:BD1351"/>
    <mergeCell ref="BE1350:BE1351"/>
    <mergeCell ref="BF1350:BF1351"/>
    <mergeCell ref="BG1350:BG1351"/>
    <mergeCell ref="BH1350:BH1351"/>
    <mergeCell ref="BC1352:BC1355"/>
    <mergeCell ref="BD1352:BD1355"/>
    <mergeCell ref="BE1352:BE1355"/>
    <mergeCell ref="BF1352:BF1355"/>
    <mergeCell ref="BG1352:BG1355"/>
    <mergeCell ref="BH1352:BH1355"/>
    <mergeCell ref="BC1356:BC1357"/>
    <mergeCell ref="BD1356:BD1357"/>
    <mergeCell ref="BE1356:BE1357"/>
    <mergeCell ref="BF1356:BF1357"/>
    <mergeCell ref="BG1356:BG1357"/>
    <mergeCell ref="BH1356:BH1357"/>
    <mergeCell ref="BC1358:BC1362"/>
    <mergeCell ref="BD1358:BD1362"/>
    <mergeCell ref="BE1358:BE1362"/>
    <mergeCell ref="BF1358:BF1362"/>
    <mergeCell ref="BG1358:BG1362"/>
    <mergeCell ref="BH1358:BH1362"/>
    <mergeCell ref="BC1363:BC1365"/>
    <mergeCell ref="BD1363:BD1365"/>
    <mergeCell ref="BE1363:BE1365"/>
    <mergeCell ref="BF1363:BF1365"/>
    <mergeCell ref="BG1363:BG1365"/>
    <mergeCell ref="BH1363:BH1365"/>
    <mergeCell ref="BC1366:BC1367"/>
    <mergeCell ref="BD1366:BD1367"/>
    <mergeCell ref="BE1366:BE1367"/>
    <mergeCell ref="BF1366:BF1367"/>
    <mergeCell ref="BG1366:BG1367"/>
    <mergeCell ref="BH1366:BH1367"/>
    <mergeCell ref="BC1368:BC1369"/>
    <mergeCell ref="BD1368:BD1369"/>
    <mergeCell ref="BE1368:BE1369"/>
    <mergeCell ref="BF1368:BF1369"/>
    <mergeCell ref="BG1368:BG1369"/>
    <mergeCell ref="BH1368:BH1369"/>
    <mergeCell ref="BC1370:BC1375"/>
    <mergeCell ref="BD1370:BD1375"/>
    <mergeCell ref="BE1370:BE1375"/>
    <mergeCell ref="BF1370:BF1375"/>
    <mergeCell ref="BG1370:BG1375"/>
    <mergeCell ref="BH1370:BH1375"/>
    <mergeCell ref="BC1376:BC1377"/>
    <mergeCell ref="BD1376:BD1377"/>
    <mergeCell ref="BE1376:BE1377"/>
    <mergeCell ref="BF1376:BF1377"/>
    <mergeCell ref="BG1376:BG1377"/>
    <mergeCell ref="BH1376:BH1377"/>
    <mergeCell ref="BC1378:BC1379"/>
    <mergeCell ref="BD1378:BD1379"/>
    <mergeCell ref="BE1378:BE1379"/>
    <mergeCell ref="BF1378:BF1379"/>
    <mergeCell ref="BG1378:BG1379"/>
    <mergeCell ref="BH1378:BH1379"/>
    <mergeCell ref="BC1380:BC1383"/>
    <mergeCell ref="BD1380:BD1383"/>
    <mergeCell ref="BE1380:BE1383"/>
    <mergeCell ref="BF1380:BF1383"/>
    <mergeCell ref="BG1380:BG1383"/>
    <mergeCell ref="BH1380:BH1383"/>
    <mergeCell ref="BC1385:BC1388"/>
    <mergeCell ref="BD1385:BD1388"/>
    <mergeCell ref="BE1385:BE1388"/>
    <mergeCell ref="BF1385:BF1388"/>
    <mergeCell ref="BG1385:BG1388"/>
    <mergeCell ref="BH1385:BH1388"/>
    <mergeCell ref="BC1389:BC1390"/>
    <mergeCell ref="BD1389:BD1390"/>
    <mergeCell ref="BE1389:BE1390"/>
    <mergeCell ref="BF1389:BF1390"/>
    <mergeCell ref="BG1389:BG1390"/>
    <mergeCell ref="BH1389:BH1390"/>
    <mergeCell ref="BC1391:BC1398"/>
    <mergeCell ref="BD1391:BD1398"/>
    <mergeCell ref="BE1391:BE1398"/>
    <mergeCell ref="BF1391:BF1398"/>
    <mergeCell ref="BG1391:BG1398"/>
    <mergeCell ref="BH1391:BH1398"/>
    <mergeCell ref="BC1399:BC1406"/>
    <mergeCell ref="BD1399:BD1406"/>
    <mergeCell ref="BE1399:BE1406"/>
    <mergeCell ref="BF1399:BF1406"/>
    <mergeCell ref="BG1399:BG1406"/>
    <mergeCell ref="BH1399:BH1406"/>
    <mergeCell ref="BC1408:BC1409"/>
    <mergeCell ref="BD1408:BD1409"/>
    <mergeCell ref="BE1408:BE1409"/>
    <mergeCell ref="BF1408:BF1409"/>
    <mergeCell ref="BG1408:BG1409"/>
    <mergeCell ref="BH1408:BH1409"/>
    <mergeCell ref="BC1410:BC1417"/>
    <mergeCell ref="BD1410:BD1417"/>
    <mergeCell ref="BE1410:BE1417"/>
    <mergeCell ref="BF1410:BF1417"/>
    <mergeCell ref="BG1410:BG1417"/>
    <mergeCell ref="BH1410:BH1417"/>
    <mergeCell ref="BC1418:BC1419"/>
    <mergeCell ref="BD1418:BD1419"/>
    <mergeCell ref="BE1418:BE1419"/>
    <mergeCell ref="BF1418:BF1419"/>
    <mergeCell ref="BG1418:BG1419"/>
    <mergeCell ref="BH1418:BH1419"/>
    <mergeCell ref="BC1420:BC1423"/>
    <mergeCell ref="BD1420:BD1423"/>
    <mergeCell ref="BE1420:BE1423"/>
    <mergeCell ref="BF1420:BF1423"/>
    <mergeCell ref="BG1420:BG1423"/>
    <mergeCell ref="BH1420:BH1423"/>
    <mergeCell ref="BC1424:BC1427"/>
    <mergeCell ref="BD1424:BD1427"/>
    <mergeCell ref="BE1424:BE1427"/>
    <mergeCell ref="BF1424:BF1427"/>
    <mergeCell ref="BG1424:BG1427"/>
    <mergeCell ref="BH1424:BH1427"/>
    <mergeCell ref="BC1428:BC1429"/>
    <mergeCell ref="BD1428:BD1429"/>
    <mergeCell ref="BE1428:BE1429"/>
    <mergeCell ref="BF1428:BF1429"/>
    <mergeCell ref="BG1428:BG1429"/>
    <mergeCell ref="BH1428:BH1429"/>
    <mergeCell ref="BC1430:BC1433"/>
    <mergeCell ref="BD1430:BD1433"/>
    <mergeCell ref="BE1430:BE1433"/>
    <mergeCell ref="BF1430:BF1433"/>
    <mergeCell ref="BG1430:BG1433"/>
    <mergeCell ref="BH1430:BH1433"/>
    <mergeCell ref="BC1434:BC1435"/>
    <mergeCell ref="BD1434:BD1435"/>
    <mergeCell ref="BE1434:BE1435"/>
    <mergeCell ref="BF1434:BF1435"/>
    <mergeCell ref="BG1434:BG1435"/>
    <mergeCell ref="BH1434:BH1435"/>
    <mergeCell ref="BC1436:BC1440"/>
    <mergeCell ref="BD1436:BD1440"/>
    <mergeCell ref="BE1436:BE1440"/>
    <mergeCell ref="BF1436:BF1440"/>
    <mergeCell ref="BG1436:BG1440"/>
    <mergeCell ref="BH1436:BH1440"/>
    <mergeCell ref="BC1441:BC1442"/>
    <mergeCell ref="BD1441:BD1442"/>
    <mergeCell ref="BE1441:BE1442"/>
    <mergeCell ref="BF1441:BF1442"/>
    <mergeCell ref="BG1441:BG1442"/>
    <mergeCell ref="BH1441:BH1442"/>
    <mergeCell ref="BC1455:BC1469"/>
    <mergeCell ref="BD1455:BD1469"/>
    <mergeCell ref="BE1455:BE1469"/>
    <mergeCell ref="BF1455:BF1469"/>
    <mergeCell ref="BG1455:BG1469"/>
    <mergeCell ref="BH1455:BH1469"/>
    <mergeCell ref="BC1470:BC1481"/>
    <mergeCell ref="BD1470:BD1481"/>
    <mergeCell ref="BE1470:BE1481"/>
    <mergeCell ref="BF1470:BF1481"/>
    <mergeCell ref="BG1470:BG1481"/>
    <mergeCell ref="BH1470:BH1481"/>
    <mergeCell ref="BC1482:BC1493"/>
    <mergeCell ref="BD1482:BD1493"/>
    <mergeCell ref="BE1482:BE1493"/>
    <mergeCell ref="BF1482:BF1493"/>
    <mergeCell ref="BG1482:BG1493"/>
    <mergeCell ref="BH1482:BH1493"/>
    <mergeCell ref="BC1494:BC1511"/>
    <mergeCell ref="BD1494:BD1511"/>
    <mergeCell ref="BE1494:BE1511"/>
    <mergeCell ref="BF1494:BF1511"/>
    <mergeCell ref="BG1494:BG1511"/>
    <mergeCell ref="BH1494:BH1511"/>
    <mergeCell ref="BC1512:BC1576"/>
    <mergeCell ref="BD1512:BD1576"/>
    <mergeCell ref="BE1512:BE1576"/>
    <mergeCell ref="BF1512:BF1576"/>
    <mergeCell ref="BG1512:BG1576"/>
    <mergeCell ref="BH1512:BH1576"/>
    <mergeCell ref="BC1577:BC1582"/>
    <mergeCell ref="BD1577:BD1582"/>
    <mergeCell ref="BE1577:BE1582"/>
    <mergeCell ref="BF1577:BF1582"/>
    <mergeCell ref="BG1577:BG1582"/>
    <mergeCell ref="BH1577:BH1582"/>
    <mergeCell ref="BC1583:BC1588"/>
    <mergeCell ref="BD1583:BD1588"/>
    <mergeCell ref="BE1583:BE1588"/>
    <mergeCell ref="BF1583:BF1588"/>
    <mergeCell ref="BG1583:BG1588"/>
    <mergeCell ref="BH1583:BH1588"/>
    <mergeCell ref="BC1589:BC1597"/>
    <mergeCell ref="BD1589:BD1597"/>
    <mergeCell ref="BE1589:BE1597"/>
    <mergeCell ref="BF1589:BF1597"/>
    <mergeCell ref="BG1589:BG1597"/>
    <mergeCell ref="BH1589:BH1597"/>
    <mergeCell ref="BC1598:BC1603"/>
    <mergeCell ref="BD1598:BD1603"/>
    <mergeCell ref="BE1598:BE1603"/>
    <mergeCell ref="BF1598:BF1603"/>
    <mergeCell ref="BG1598:BG1603"/>
    <mergeCell ref="BH1598:BH1603"/>
    <mergeCell ref="BC1604:BC1609"/>
    <mergeCell ref="BD1604:BD1609"/>
    <mergeCell ref="BE1604:BE1609"/>
    <mergeCell ref="BF1604:BF1609"/>
    <mergeCell ref="BG1604:BG1609"/>
    <mergeCell ref="BH1604:BH1609"/>
    <mergeCell ref="BC1610:BC1618"/>
    <mergeCell ref="BD1610:BD1618"/>
    <mergeCell ref="BE1610:BE1618"/>
    <mergeCell ref="BF1610:BF1618"/>
    <mergeCell ref="BG1610:BG1618"/>
    <mergeCell ref="BH1610:BH1618"/>
    <mergeCell ref="BC1619:BC1627"/>
    <mergeCell ref="BD1619:BD1627"/>
    <mergeCell ref="BE1619:BE1627"/>
    <mergeCell ref="BF1619:BF1627"/>
    <mergeCell ref="BG1619:BG1627"/>
    <mergeCell ref="BH1619:BH1627"/>
    <mergeCell ref="BC1628:BC1633"/>
    <mergeCell ref="BD1628:BD1633"/>
    <mergeCell ref="BE1628:BE1633"/>
    <mergeCell ref="BF1628:BF1633"/>
    <mergeCell ref="BG1628:BG1633"/>
    <mergeCell ref="BH1628:BH1633"/>
    <mergeCell ref="BC1634:BC1649"/>
    <mergeCell ref="BD1634:BD1649"/>
    <mergeCell ref="BE1634:BE1649"/>
    <mergeCell ref="BF1634:BF1649"/>
    <mergeCell ref="BG1634:BG1649"/>
    <mergeCell ref="BH1634:BH1649"/>
    <mergeCell ref="BC1650:BC1661"/>
    <mergeCell ref="BD1650:BD1661"/>
    <mergeCell ref="BE1650:BE1661"/>
    <mergeCell ref="BF1650:BF1661"/>
    <mergeCell ref="BG1650:BG1661"/>
    <mergeCell ref="BH1650:BH1661"/>
    <mergeCell ref="BC1662:BC1726"/>
    <mergeCell ref="BD1662:BD1726"/>
    <mergeCell ref="BE1662:BE1726"/>
    <mergeCell ref="BF1662:BF1726"/>
    <mergeCell ref="BG1662:BG1726"/>
    <mergeCell ref="BH1662:BH1726"/>
    <mergeCell ref="BC1727:BC1735"/>
    <mergeCell ref="BD1727:BD1735"/>
    <mergeCell ref="BE1727:BE1735"/>
    <mergeCell ref="BF1727:BF1735"/>
    <mergeCell ref="BG1727:BG1735"/>
    <mergeCell ref="BH1727:BH1735"/>
    <mergeCell ref="BC1736:BC1744"/>
    <mergeCell ref="BD1736:BD1744"/>
    <mergeCell ref="BE1736:BE1744"/>
    <mergeCell ref="BF1736:BF1744"/>
    <mergeCell ref="BG1736:BG1744"/>
    <mergeCell ref="BH1736:BH1744"/>
    <mergeCell ref="BC1745:BC1756"/>
    <mergeCell ref="BD1745:BD1756"/>
    <mergeCell ref="BE1745:BE1756"/>
    <mergeCell ref="BF1745:BF1756"/>
    <mergeCell ref="BG1745:BG1756"/>
    <mergeCell ref="BH1745:BH1756"/>
    <mergeCell ref="BC1757:BC1760"/>
    <mergeCell ref="BD1757:BD1760"/>
    <mergeCell ref="BE1757:BE1760"/>
    <mergeCell ref="BF1757:BF1760"/>
    <mergeCell ref="BG1757:BG1760"/>
    <mergeCell ref="BH1757:BH1760"/>
    <mergeCell ref="BC1761:BC1764"/>
    <mergeCell ref="BD1761:BD1764"/>
    <mergeCell ref="BE1761:BE1764"/>
    <mergeCell ref="BF1761:BF1764"/>
    <mergeCell ref="BG1761:BG1764"/>
    <mergeCell ref="BH1761:BH1764"/>
    <mergeCell ref="BC1765:BC1769"/>
    <mergeCell ref="BD1765:BD1769"/>
    <mergeCell ref="BE1765:BE1769"/>
    <mergeCell ref="BF1765:BF1769"/>
    <mergeCell ref="BG1765:BG1769"/>
    <mergeCell ref="BH1765:BH1769"/>
    <mergeCell ref="BC1770:BC1771"/>
    <mergeCell ref="BD1770:BD1771"/>
    <mergeCell ref="BE1770:BE1771"/>
    <mergeCell ref="BF1770:BF1771"/>
    <mergeCell ref="BG1770:BG1771"/>
    <mergeCell ref="BH1770:BH1771"/>
    <mergeCell ref="BC1772:BC1773"/>
    <mergeCell ref="BD1772:BD1773"/>
    <mergeCell ref="BE1772:BE1773"/>
    <mergeCell ref="BF1772:BF1773"/>
    <mergeCell ref="BG1772:BG1773"/>
    <mergeCell ref="BH1772:BH1773"/>
    <mergeCell ref="BC1774:BC1775"/>
    <mergeCell ref="BD1774:BD1775"/>
    <mergeCell ref="BE1774:BE1775"/>
    <mergeCell ref="BF1774:BF1775"/>
    <mergeCell ref="BG1774:BG1775"/>
    <mergeCell ref="BH1774:BH1775"/>
    <mergeCell ref="BC1776:BC1784"/>
    <mergeCell ref="BD1776:BD1784"/>
    <mergeCell ref="BE1776:BE1784"/>
    <mergeCell ref="BF1776:BF1784"/>
    <mergeCell ref="BG1776:BG1784"/>
    <mergeCell ref="BH1776:BH1784"/>
    <mergeCell ref="BC1785:BC1787"/>
    <mergeCell ref="BD1785:BD1787"/>
    <mergeCell ref="BE1785:BE1787"/>
    <mergeCell ref="BF1785:BF1787"/>
    <mergeCell ref="BG1785:BG1787"/>
    <mergeCell ref="BH1785:BH1787"/>
    <mergeCell ref="BC1788:BC1791"/>
    <mergeCell ref="BD1788:BD1791"/>
    <mergeCell ref="BE1788:BE1791"/>
    <mergeCell ref="BF1788:BF1791"/>
    <mergeCell ref="BG1788:BG1791"/>
    <mergeCell ref="BH1788:BH1791"/>
    <mergeCell ref="BC1792:BC1795"/>
    <mergeCell ref="BD1792:BD1795"/>
    <mergeCell ref="BE1792:BE1795"/>
    <mergeCell ref="BF1792:BF1795"/>
    <mergeCell ref="BG1792:BG1795"/>
    <mergeCell ref="BH1792:BH1795"/>
    <mergeCell ref="BC1796:BC1799"/>
    <mergeCell ref="BD1796:BD1799"/>
    <mergeCell ref="BE1796:BE1799"/>
    <mergeCell ref="BF1796:BF1799"/>
    <mergeCell ref="BG1796:BG1799"/>
    <mergeCell ref="BH1796:BH1799"/>
    <mergeCell ref="BC1800:BC1801"/>
    <mergeCell ref="BD1800:BD1801"/>
    <mergeCell ref="BE1800:BE1801"/>
    <mergeCell ref="BF1800:BF1801"/>
    <mergeCell ref="BG1800:BG1801"/>
    <mergeCell ref="BH1800:BH1801"/>
    <mergeCell ref="BC1802:BC1809"/>
    <mergeCell ref="BD1802:BD1809"/>
    <mergeCell ref="BE1802:BE1809"/>
    <mergeCell ref="BF1802:BF1809"/>
    <mergeCell ref="BG1802:BG1809"/>
    <mergeCell ref="BH1802:BH1809"/>
    <mergeCell ref="BC1810:BC1813"/>
    <mergeCell ref="BD1810:BD1813"/>
    <mergeCell ref="BE1810:BE1813"/>
    <mergeCell ref="BF1810:BF1813"/>
    <mergeCell ref="BG1810:BG1813"/>
    <mergeCell ref="BH1810:BH1813"/>
    <mergeCell ref="BC1814:BC1817"/>
    <mergeCell ref="BD1814:BD1817"/>
    <mergeCell ref="BE1814:BE1817"/>
    <mergeCell ref="BF1814:BF1817"/>
    <mergeCell ref="BG1814:BG1817"/>
    <mergeCell ref="BH1814:BH1817"/>
    <mergeCell ref="BC1818:BC1821"/>
    <mergeCell ref="BD1818:BD1821"/>
    <mergeCell ref="BE1818:BE1821"/>
    <mergeCell ref="BF1818:BF1821"/>
    <mergeCell ref="BG1818:BG1821"/>
    <mergeCell ref="BH1818:BH1821"/>
    <mergeCell ref="BC1822:BC1823"/>
    <mergeCell ref="BD1822:BD1823"/>
    <mergeCell ref="BE1822:BE1823"/>
    <mergeCell ref="BF1822:BF1823"/>
    <mergeCell ref="BG1822:BG1823"/>
    <mergeCell ref="BH1822:BH1823"/>
    <mergeCell ref="BC1824:BC1826"/>
    <mergeCell ref="BD1824:BD1826"/>
    <mergeCell ref="BE1824:BE1826"/>
    <mergeCell ref="BF1824:BF1826"/>
    <mergeCell ref="BG1824:BG1826"/>
    <mergeCell ref="BH1824:BH1826"/>
    <mergeCell ref="BC1827:BC1828"/>
    <mergeCell ref="BD1827:BD1828"/>
    <mergeCell ref="BE1827:BE1828"/>
    <mergeCell ref="BF1827:BF1828"/>
    <mergeCell ref="BG1827:BG1828"/>
    <mergeCell ref="BH1827:BH1828"/>
    <mergeCell ref="BC1829:BC1830"/>
    <mergeCell ref="BD1829:BD1830"/>
    <mergeCell ref="BE1829:BE1830"/>
    <mergeCell ref="BF1829:BF1830"/>
    <mergeCell ref="BG1829:BG1830"/>
    <mergeCell ref="BH1829:BH1830"/>
    <mergeCell ref="BC1831:BC1832"/>
    <mergeCell ref="BD1831:BD1832"/>
    <mergeCell ref="BE1831:BE1832"/>
    <mergeCell ref="BF1831:BF1832"/>
    <mergeCell ref="BG1831:BG1832"/>
    <mergeCell ref="BH1831:BH1832"/>
    <mergeCell ref="BC1833:BC1834"/>
    <mergeCell ref="BD1833:BD1834"/>
    <mergeCell ref="BE1833:BE1834"/>
    <mergeCell ref="BF1833:BF1834"/>
    <mergeCell ref="BG1833:BG1834"/>
    <mergeCell ref="BH1833:BH1834"/>
    <mergeCell ref="BC1835:BC1836"/>
    <mergeCell ref="BD1835:BD1836"/>
    <mergeCell ref="BE1835:BE1836"/>
    <mergeCell ref="BF1835:BF1836"/>
    <mergeCell ref="BG1835:BG1836"/>
    <mergeCell ref="BH1835:BH1836"/>
    <mergeCell ref="BC1837:BC1838"/>
    <mergeCell ref="BD1837:BD1838"/>
    <mergeCell ref="BE1837:BE1838"/>
    <mergeCell ref="BF1837:BF1838"/>
    <mergeCell ref="BG1837:BG1838"/>
    <mergeCell ref="BH1837:BH1838"/>
    <mergeCell ref="BC1839:BC1842"/>
    <mergeCell ref="BD1839:BD1842"/>
    <mergeCell ref="BE1839:BE1842"/>
    <mergeCell ref="BF1839:BF1842"/>
    <mergeCell ref="BG1839:BG1842"/>
    <mergeCell ref="BH1839:BH1842"/>
    <mergeCell ref="BC1843:BC1844"/>
    <mergeCell ref="BD1843:BD1844"/>
    <mergeCell ref="BE1843:BE1844"/>
    <mergeCell ref="BF1843:BF1844"/>
    <mergeCell ref="BG1843:BG1844"/>
    <mergeCell ref="BH1843:BH1844"/>
    <mergeCell ref="BC1845:BC1848"/>
    <mergeCell ref="BD1845:BD1848"/>
    <mergeCell ref="BE1845:BE1848"/>
    <mergeCell ref="BF1845:BF1848"/>
    <mergeCell ref="BG1845:BG1848"/>
    <mergeCell ref="BH1845:BH1848"/>
    <mergeCell ref="BC1849:BC1852"/>
    <mergeCell ref="BD1849:BD1852"/>
    <mergeCell ref="BE1849:BE1852"/>
    <mergeCell ref="BF1849:BF1852"/>
    <mergeCell ref="BG1849:BG1852"/>
    <mergeCell ref="BH1849:BH1852"/>
    <mergeCell ref="BC1853:BC1854"/>
    <mergeCell ref="BD1853:BD1854"/>
    <mergeCell ref="BE1853:BE1854"/>
    <mergeCell ref="BF1853:BF1854"/>
    <mergeCell ref="BG1853:BG1854"/>
    <mergeCell ref="BH1853:BH1854"/>
    <mergeCell ref="BC1855:BC1856"/>
    <mergeCell ref="BD1855:BD1856"/>
    <mergeCell ref="BE1855:BE1856"/>
    <mergeCell ref="BF1855:BF1856"/>
    <mergeCell ref="BG1855:BG1856"/>
    <mergeCell ref="BH1855:BH1856"/>
    <mergeCell ref="BC1857:BC1858"/>
    <mergeCell ref="BD1857:BD1858"/>
    <mergeCell ref="BE1857:BE1858"/>
    <mergeCell ref="BF1857:BF1858"/>
    <mergeCell ref="BG1857:BG1858"/>
    <mergeCell ref="BH1857:BH1858"/>
    <mergeCell ref="BC1859:BC1860"/>
    <mergeCell ref="BD1859:BD1860"/>
    <mergeCell ref="BE1859:BE1860"/>
    <mergeCell ref="BF1859:BF1860"/>
    <mergeCell ref="BG1859:BG1860"/>
    <mergeCell ref="BH1859:BH1860"/>
    <mergeCell ref="BC1861:BC1865"/>
    <mergeCell ref="BD1861:BD1865"/>
    <mergeCell ref="BE1861:BE1865"/>
    <mergeCell ref="BF1861:BF1865"/>
    <mergeCell ref="BG1861:BG1865"/>
    <mergeCell ref="BH1861:BH1865"/>
    <mergeCell ref="BC1866:BC1867"/>
    <mergeCell ref="BD1866:BD1867"/>
    <mergeCell ref="BE1866:BE1867"/>
    <mergeCell ref="BF1866:BF1867"/>
    <mergeCell ref="BG1866:BG1867"/>
    <mergeCell ref="BH1866:BH1867"/>
    <mergeCell ref="BC1868:BC1869"/>
    <mergeCell ref="BD1868:BD1869"/>
    <mergeCell ref="BE1868:BE1869"/>
    <mergeCell ref="BF1868:BF1869"/>
    <mergeCell ref="BG1868:BG1869"/>
    <mergeCell ref="BH1868:BH1869"/>
    <mergeCell ref="BC1874:BC1876"/>
    <mergeCell ref="BD1874:BD1876"/>
    <mergeCell ref="BE1874:BE1876"/>
    <mergeCell ref="BF1874:BF1876"/>
    <mergeCell ref="BG1874:BG1876"/>
    <mergeCell ref="BH1874:BH1876"/>
    <mergeCell ref="BC1877:BC1880"/>
    <mergeCell ref="BD1877:BD1880"/>
    <mergeCell ref="BE1877:BE1880"/>
    <mergeCell ref="BF1877:BF1880"/>
    <mergeCell ref="BG1877:BG1880"/>
    <mergeCell ref="BH1877:BH1880"/>
    <mergeCell ref="BC1881:BC1882"/>
    <mergeCell ref="BD1881:BD1882"/>
    <mergeCell ref="BE1881:BE1882"/>
    <mergeCell ref="BF1881:BF1882"/>
    <mergeCell ref="BG1881:BG1882"/>
    <mergeCell ref="BH1881:BH1882"/>
    <mergeCell ref="BC1883:BC1886"/>
    <mergeCell ref="BD1883:BD1886"/>
    <mergeCell ref="BE1883:BE1886"/>
    <mergeCell ref="BF1883:BF1886"/>
    <mergeCell ref="BG1883:BG1886"/>
    <mergeCell ref="BH1883:BH1886"/>
    <mergeCell ref="BC1887:BC1888"/>
    <mergeCell ref="BD1887:BD1888"/>
    <mergeCell ref="BE1887:BE1888"/>
    <mergeCell ref="BF1887:BF1888"/>
    <mergeCell ref="BG1887:BG1888"/>
    <mergeCell ref="BH1887:BH1888"/>
    <mergeCell ref="BC1889:BC1890"/>
    <mergeCell ref="BD1889:BD1890"/>
    <mergeCell ref="BE1889:BE1890"/>
    <mergeCell ref="BF1889:BF1890"/>
    <mergeCell ref="BG1889:BG1890"/>
    <mergeCell ref="BH1889:BH1890"/>
    <mergeCell ref="BC1891:BC1892"/>
    <mergeCell ref="BD1891:BD1892"/>
    <mergeCell ref="BE1891:BE1892"/>
    <mergeCell ref="BF1891:BF1892"/>
    <mergeCell ref="BG1891:BG1892"/>
    <mergeCell ref="BH1891:BH1892"/>
    <mergeCell ref="BC1893:BC1894"/>
    <mergeCell ref="BD1893:BD1894"/>
    <mergeCell ref="BE1893:BE1894"/>
    <mergeCell ref="BF1893:BF1894"/>
    <mergeCell ref="BG1893:BG1894"/>
    <mergeCell ref="BH1893:BH1894"/>
    <mergeCell ref="BC1895:BC1896"/>
    <mergeCell ref="BD1895:BD1896"/>
    <mergeCell ref="BE1895:BE1896"/>
    <mergeCell ref="BF1895:BF1896"/>
    <mergeCell ref="BG1895:BG1896"/>
    <mergeCell ref="BH1895:BH1896"/>
    <mergeCell ref="BC1897:BC1898"/>
    <mergeCell ref="BD1897:BD1898"/>
    <mergeCell ref="BE1897:BE1898"/>
    <mergeCell ref="BF1897:BF1898"/>
    <mergeCell ref="BG1897:BG1898"/>
    <mergeCell ref="BH1897:BH1898"/>
    <mergeCell ref="BC1899:BC1900"/>
    <mergeCell ref="BD1899:BD1900"/>
    <mergeCell ref="BE1899:BE1900"/>
    <mergeCell ref="BF1899:BF1900"/>
    <mergeCell ref="BG1899:BG1900"/>
    <mergeCell ref="BH1899:BH1900"/>
    <mergeCell ref="BC1901:BC1903"/>
    <mergeCell ref="BD1901:BD1903"/>
    <mergeCell ref="BE1901:BE1903"/>
    <mergeCell ref="BF1901:BF1903"/>
    <mergeCell ref="BG1901:BG1903"/>
    <mergeCell ref="BH1901:BH1903"/>
    <mergeCell ref="BC1904:BC1905"/>
    <mergeCell ref="BD1904:BD1905"/>
    <mergeCell ref="BE1904:BE1905"/>
    <mergeCell ref="BF1904:BF1905"/>
    <mergeCell ref="BG1904:BG1905"/>
    <mergeCell ref="BH1904:BH1905"/>
    <mergeCell ref="BC1906:BC1907"/>
    <mergeCell ref="BD1906:BD1907"/>
    <mergeCell ref="BE1906:BE1907"/>
    <mergeCell ref="BF1906:BF1907"/>
    <mergeCell ref="BG1906:BG1907"/>
    <mergeCell ref="BH1906:BH1907"/>
    <mergeCell ref="BC1908:BC1909"/>
    <mergeCell ref="BD1908:BD1909"/>
    <mergeCell ref="BE1908:BE1909"/>
    <mergeCell ref="BF1908:BF1909"/>
    <mergeCell ref="BG1908:BG1909"/>
    <mergeCell ref="BH1908:BH1909"/>
    <mergeCell ref="BC1910:BC1911"/>
    <mergeCell ref="BD1910:BD1911"/>
    <mergeCell ref="BE1910:BE1911"/>
    <mergeCell ref="BF1910:BF1911"/>
    <mergeCell ref="BG1910:BG1911"/>
    <mergeCell ref="BH1910:BH1911"/>
    <mergeCell ref="BC1914:BC1917"/>
    <mergeCell ref="BD1914:BD1917"/>
    <mergeCell ref="BE1914:BE1917"/>
    <mergeCell ref="BF1914:BF1917"/>
    <mergeCell ref="BG1914:BG1917"/>
    <mergeCell ref="BH1914:BH1917"/>
    <mergeCell ref="BC1918:BC1922"/>
    <mergeCell ref="BD1918:BD1922"/>
    <mergeCell ref="BE1918:BE1922"/>
    <mergeCell ref="BF1918:BF1922"/>
    <mergeCell ref="BG1918:BG1922"/>
    <mergeCell ref="BH1918:BH1922"/>
    <mergeCell ref="BC1923:BC1925"/>
    <mergeCell ref="BD1923:BD1925"/>
    <mergeCell ref="BE1923:BE1925"/>
    <mergeCell ref="BF1923:BF1925"/>
    <mergeCell ref="BG1923:BG1925"/>
    <mergeCell ref="BH1923:BH1925"/>
    <mergeCell ref="BC1927:BC1929"/>
    <mergeCell ref="BD1927:BD1929"/>
    <mergeCell ref="BE1927:BE1929"/>
    <mergeCell ref="BF1927:BF1929"/>
    <mergeCell ref="BG1927:BG1929"/>
    <mergeCell ref="BH1927:BH1929"/>
    <mergeCell ref="BC1930:BC1931"/>
    <mergeCell ref="BD1930:BD1931"/>
    <mergeCell ref="BE1930:BE1931"/>
    <mergeCell ref="BF1930:BF1931"/>
    <mergeCell ref="BG1930:BG1931"/>
    <mergeCell ref="BH1930:BH1931"/>
    <mergeCell ref="BC1941:BC1942"/>
    <mergeCell ref="BD1941:BD1942"/>
    <mergeCell ref="BE1941:BE1942"/>
    <mergeCell ref="BF1941:BF1942"/>
    <mergeCell ref="BG1941:BG1942"/>
    <mergeCell ref="BH1941:BH1942"/>
    <mergeCell ref="BC1943:BC1944"/>
    <mergeCell ref="BD1943:BD1944"/>
    <mergeCell ref="BE1943:BE1944"/>
    <mergeCell ref="BF1943:BF1944"/>
    <mergeCell ref="BG1943:BG1944"/>
    <mergeCell ref="BH1943:BH1944"/>
    <mergeCell ref="BC1945:BC1946"/>
    <mergeCell ref="BD1945:BD1946"/>
    <mergeCell ref="BE1945:BE1946"/>
    <mergeCell ref="BF1945:BF1946"/>
    <mergeCell ref="BG1945:BG1946"/>
    <mergeCell ref="BH1945:BH1946"/>
    <mergeCell ref="BC1947:BC1948"/>
    <mergeCell ref="BD1947:BD1948"/>
    <mergeCell ref="BE1947:BE1948"/>
    <mergeCell ref="BF1947:BF1948"/>
    <mergeCell ref="BG1947:BG1948"/>
    <mergeCell ref="BH1947:BH1948"/>
    <mergeCell ref="BC1949:BC1950"/>
    <mergeCell ref="BD1949:BD1950"/>
    <mergeCell ref="BE1949:BE1950"/>
    <mergeCell ref="BF1949:BF1950"/>
    <mergeCell ref="BG1949:BG1950"/>
    <mergeCell ref="BH1949:BH1950"/>
    <mergeCell ref="BC1951:BC1952"/>
    <mergeCell ref="BD1951:BD1952"/>
    <mergeCell ref="BE1951:BE1952"/>
    <mergeCell ref="BF1951:BF1952"/>
    <mergeCell ref="BG1951:BG1952"/>
    <mergeCell ref="BH1951:BH1952"/>
    <mergeCell ref="BC1953:BC1958"/>
    <mergeCell ref="BD1953:BD1958"/>
    <mergeCell ref="BE1953:BE1958"/>
    <mergeCell ref="BF1953:BF1958"/>
    <mergeCell ref="BG1953:BG1958"/>
    <mergeCell ref="BH1953:BH1958"/>
    <mergeCell ref="BC1959:BC1960"/>
    <mergeCell ref="BD1959:BD1960"/>
    <mergeCell ref="BE1959:BE1960"/>
    <mergeCell ref="BF1959:BF1960"/>
    <mergeCell ref="BG1959:BG1960"/>
    <mergeCell ref="BH1959:BH1960"/>
    <mergeCell ref="BC1962:BC1963"/>
    <mergeCell ref="BD1962:BD1963"/>
    <mergeCell ref="BE1962:BE1963"/>
    <mergeCell ref="BF1962:BF1963"/>
    <mergeCell ref="BG1962:BG1963"/>
    <mergeCell ref="BH1962:BH1963"/>
    <mergeCell ref="BC1964:BC1965"/>
    <mergeCell ref="BD1964:BD1965"/>
    <mergeCell ref="BE1964:BE1965"/>
    <mergeCell ref="BF1964:BF1965"/>
    <mergeCell ref="BG1964:BG1965"/>
    <mergeCell ref="BH1964:BH1965"/>
    <mergeCell ref="BC1966:BC1967"/>
    <mergeCell ref="BD1966:BD1967"/>
    <mergeCell ref="BE1966:BE1967"/>
    <mergeCell ref="BF1966:BF1967"/>
    <mergeCell ref="BG1966:BG1967"/>
    <mergeCell ref="BH1966:BH1967"/>
    <mergeCell ref="BC1968:BC1969"/>
    <mergeCell ref="BD1968:BD1969"/>
    <mergeCell ref="BE1968:BE1969"/>
    <mergeCell ref="BF1968:BF1969"/>
    <mergeCell ref="BG1968:BG1969"/>
    <mergeCell ref="BH1968:BH1969"/>
    <mergeCell ref="BC1970:BC1971"/>
    <mergeCell ref="BD1970:BD1971"/>
    <mergeCell ref="BE1970:BE1971"/>
    <mergeCell ref="BF1970:BF1971"/>
    <mergeCell ref="BG1970:BG1971"/>
    <mergeCell ref="BH1970:BH1971"/>
    <mergeCell ref="BC1972:BC1973"/>
    <mergeCell ref="BD1972:BD1973"/>
    <mergeCell ref="BE1972:BE1973"/>
    <mergeCell ref="BF1972:BF1973"/>
    <mergeCell ref="BG1972:BG1973"/>
    <mergeCell ref="BH1972:BH1973"/>
    <mergeCell ref="BC1974:BC1975"/>
    <mergeCell ref="BD1974:BD1975"/>
    <mergeCell ref="BE1974:BE1975"/>
    <mergeCell ref="BF1974:BF1975"/>
    <mergeCell ref="BG1974:BG1975"/>
    <mergeCell ref="BH1974:BH1975"/>
    <mergeCell ref="BC1976:BC1977"/>
    <mergeCell ref="BD1976:BD1977"/>
    <mergeCell ref="BE1976:BE1977"/>
    <mergeCell ref="BF1976:BF1977"/>
    <mergeCell ref="BG1976:BG1977"/>
    <mergeCell ref="BH1976:BH1977"/>
    <mergeCell ref="BC1978:BC1979"/>
    <mergeCell ref="BD1978:BD1979"/>
    <mergeCell ref="BE1978:BE1979"/>
    <mergeCell ref="BF1978:BF1979"/>
    <mergeCell ref="BG1978:BG1979"/>
    <mergeCell ref="BH1978:BH1979"/>
    <mergeCell ref="BC1981:BC1984"/>
    <mergeCell ref="BD1981:BD1984"/>
    <mergeCell ref="BE1981:BE1984"/>
    <mergeCell ref="BF1981:BF1984"/>
    <mergeCell ref="BG1981:BG1984"/>
    <mergeCell ref="BH1981:BH1984"/>
    <mergeCell ref="BC1985:BC1986"/>
    <mergeCell ref="BD1985:BD1986"/>
    <mergeCell ref="BE1985:BE1986"/>
    <mergeCell ref="BF1985:BF1986"/>
    <mergeCell ref="BG1985:BG1986"/>
    <mergeCell ref="BH1985:BH1986"/>
    <mergeCell ref="BC1987:BC1992"/>
    <mergeCell ref="BD1987:BD1992"/>
    <mergeCell ref="BE1987:BE1992"/>
    <mergeCell ref="BF1987:BF1992"/>
    <mergeCell ref="BG1987:BG1992"/>
    <mergeCell ref="BH1987:BH1992"/>
    <mergeCell ref="BC1993:BC1996"/>
    <mergeCell ref="BD1993:BD1996"/>
    <mergeCell ref="BE1993:BE1996"/>
    <mergeCell ref="BF1993:BF1996"/>
    <mergeCell ref="BG1993:BG1996"/>
    <mergeCell ref="BH1993:BH1996"/>
    <mergeCell ref="BC1997:BC2000"/>
    <mergeCell ref="BD1997:BD2000"/>
    <mergeCell ref="BE1997:BE2000"/>
    <mergeCell ref="BF1997:BF2000"/>
    <mergeCell ref="BG1997:BG2000"/>
    <mergeCell ref="BH1997:BH2000"/>
    <mergeCell ref="BC2001:BC2004"/>
    <mergeCell ref="BD2001:BD2004"/>
    <mergeCell ref="BE2001:BE2004"/>
    <mergeCell ref="BF2001:BF2004"/>
    <mergeCell ref="BG2001:BG2004"/>
    <mergeCell ref="BH2001:BH2004"/>
    <mergeCell ref="BC2005:BC2008"/>
    <mergeCell ref="BD2005:BD2008"/>
    <mergeCell ref="BE2005:BE2008"/>
    <mergeCell ref="BF2005:BF2008"/>
    <mergeCell ref="BG2005:BG2008"/>
    <mergeCell ref="BH2005:BH2008"/>
    <mergeCell ref="BC2009:BC2012"/>
    <mergeCell ref="BD2009:BD2012"/>
    <mergeCell ref="BE2009:BE2012"/>
    <mergeCell ref="BF2009:BF2012"/>
    <mergeCell ref="BG2009:BG2012"/>
    <mergeCell ref="BH2009:BH2012"/>
    <mergeCell ref="BC2013:BC2015"/>
    <mergeCell ref="BD2013:BD2015"/>
    <mergeCell ref="BE2013:BE2015"/>
    <mergeCell ref="BF2013:BF2015"/>
    <mergeCell ref="BG2013:BG2015"/>
    <mergeCell ref="BH2013:BH2015"/>
    <mergeCell ref="BC2017:BC2020"/>
    <mergeCell ref="BD2017:BD2020"/>
    <mergeCell ref="BE2017:BE2020"/>
    <mergeCell ref="BF2017:BF2020"/>
    <mergeCell ref="BG2017:BG2020"/>
    <mergeCell ref="BH2017:BH2020"/>
    <mergeCell ref="BC2021:BC2024"/>
    <mergeCell ref="BD2021:BD2024"/>
    <mergeCell ref="BE2021:BE2024"/>
    <mergeCell ref="BF2021:BF2024"/>
    <mergeCell ref="BG2021:BG2024"/>
    <mergeCell ref="BH2021:BH2024"/>
    <mergeCell ref="BC2025:BC2027"/>
    <mergeCell ref="BD2025:BD2027"/>
    <mergeCell ref="BE2025:BE2027"/>
    <mergeCell ref="BF2025:BF2027"/>
    <mergeCell ref="BG2025:BG2027"/>
    <mergeCell ref="BH2025:BH2027"/>
    <mergeCell ref="BC2028:BC2031"/>
    <mergeCell ref="BD2028:BD2031"/>
    <mergeCell ref="BE2028:BE2031"/>
    <mergeCell ref="BF2028:BF2031"/>
    <mergeCell ref="BG2028:BG2031"/>
    <mergeCell ref="BH2028:BH2031"/>
    <mergeCell ref="BC2032:BC2034"/>
    <mergeCell ref="BD2032:BD2034"/>
    <mergeCell ref="BE2032:BE2034"/>
    <mergeCell ref="BF2032:BF2034"/>
    <mergeCell ref="BG2032:BG2034"/>
    <mergeCell ref="BH2032:BH2034"/>
    <mergeCell ref="BC2035:BC2036"/>
    <mergeCell ref="BD2035:BD2036"/>
    <mergeCell ref="BE2035:BE2036"/>
    <mergeCell ref="BF2035:BF2036"/>
    <mergeCell ref="BG2035:BG2036"/>
    <mergeCell ref="BH2035:BH2036"/>
    <mergeCell ref="BC2037:BC2040"/>
    <mergeCell ref="BD2037:BD2040"/>
    <mergeCell ref="BE2037:BE2040"/>
    <mergeCell ref="BF2037:BF2040"/>
    <mergeCell ref="BG2037:BG2040"/>
    <mergeCell ref="BH2037:BH2040"/>
    <mergeCell ref="BC2041:BC2044"/>
    <mergeCell ref="BD2041:BD2044"/>
    <mergeCell ref="BE2041:BE2044"/>
    <mergeCell ref="BF2041:BF2044"/>
    <mergeCell ref="BG2041:BG2044"/>
    <mergeCell ref="BH2041:BH2044"/>
    <mergeCell ref="BC2045:BC2046"/>
    <mergeCell ref="BD2045:BD2046"/>
    <mergeCell ref="BE2045:BE2046"/>
    <mergeCell ref="BF2045:BF2046"/>
    <mergeCell ref="BG2045:BG2046"/>
    <mergeCell ref="BH2045:BH2046"/>
    <mergeCell ref="BC2047:BC2048"/>
    <mergeCell ref="BD2047:BD2048"/>
    <mergeCell ref="BE2047:BE2048"/>
    <mergeCell ref="BF2047:BF2048"/>
    <mergeCell ref="BG2047:BG2048"/>
    <mergeCell ref="BH2047:BH2048"/>
    <mergeCell ref="BC2049:BC2050"/>
    <mergeCell ref="BD2049:BD2050"/>
    <mergeCell ref="BE2049:BE2050"/>
    <mergeCell ref="BF2049:BF2050"/>
    <mergeCell ref="BG2049:BG2050"/>
    <mergeCell ref="BH2049:BH2050"/>
    <mergeCell ref="BC2051:BC2052"/>
    <mergeCell ref="BD2051:BD2052"/>
    <mergeCell ref="BE2051:BE2052"/>
    <mergeCell ref="BF2051:BF2052"/>
    <mergeCell ref="BG2051:BG2052"/>
    <mergeCell ref="BH2051:BH2052"/>
    <mergeCell ref="BC2053:BC2054"/>
    <mergeCell ref="BD2053:BD2054"/>
    <mergeCell ref="BE2053:BE2054"/>
    <mergeCell ref="BF2053:BF2054"/>
    <mergeCell ref="BG2053:BG2054"/>
    <mergeCell ref="BH2053:BH2054"/>
    <mergeCell ref="BC2055:BC2056"/>
    <mergeCell ref="BD2055:BD2056"/>
    <mergeCell ref="BE2055:BE2056"/>
    <mergeCell ref="BF2055:BF2056"/>
    <mergeCell ref="BG2055:BG2056"/>
    <mergeCell ref="BH2055:BH2056"/>
    <mergeCell ref="BC2057:BC2058"/>
    <mergeCell ref="BD2057:BD2058"/>
    <mergeCell ref="BE2057:BE2058"/>
    <mergeCell ref="BF2057:BF2058"/>
    <mergeCell ref="BG2057:BG2058"/>
    <mergeCell ref="BH2057:BH2058"/>
    <mergeCell ref="BC2059:BC2062"/>
    <mergeCell ref="BD2059:BD2062"/>
    <mergeCell ref="BE2059:BE2062"/>
    <mergeCell ref="BF2059:BF2062"/>
    <mergeCell ref="BG2059:BG2062"/>
    <mergeCell ref="BH2059:BH2062"/>
    <mergeCell ref="BC2063:BC2064"/>
    <mergeCell ref="BD2063:BD2064"/>
    <mergeCell ref="BE2063:BE2064"/>
    <mergeCell ref="BF2063:BF2064"/>
    <mergeCell ref="BG2063:BG2064"/>
    <mergeCell ref="BH2063:BH2064"/>
    <mergeCell ref="BC2065:BC2066"/>
    <mergeCell ref="BD2065:BD2066"/>
    <mergeCell ref="BE2065:BE2066"/>
    <mergeCell ref="BF2065:BF2066"/>
    <mergeCell ref="BG2065:BG2066"/>
    <mergeCell ref="BH2065:BH2066"/>
    <mergeCell ref="BC2067:BC2068"/>
    <mergeCell ref="BD2067:BD2068"/>
    <mergeCell ref="BE2067:BE2068"/>
    <mergeCell ref="BF2067:BF2068"/>
    <mergeCell ref="BG2067:BG2068"/>
    <mergeCell ref="BH2067:BH2068"/>
    <mergeCell ref="BC2070:BC2073"/>
    <mergeCell ref="BD2070:BD2073"/>
    <mergeCell ref="BE2070:BE2073"/>
    <mergeCell ref="BF2070:BF2073"/>
    <mergeCell ref="BG2070:BG2073"/>
    <mergeCell ref="BH2070:BH2073"/>
    <mergeCell ref="BC2074:BC2075"/>
    <mergeCell ref="BD2074:BD2075"/>
    <mergeCell ref="BE2074:BE2075"/>
    <mergeCell ref="BF2074:BF2075"/>
    <mergeCell ref="BG2074:BG2075"/>
    <mergeCell ref="BH2074:BH2075"/>
    <mergeCell ref="BC2076:BC2081"/>
    <mergeCell ref="BD2076:BD2081"/>
    <mergeCell ref="BE2076:BE2081"/>
    <mergeCell ref="BF2076:BF2081"/>
    <mergeCell ref="BG2076:BG2081"/>
    <mergeCell ref="BH2076:BH2081"/>
    <mergeCell ref="BC2082:BC2087"/>
    <mergeCell ref="BD2082:BD2087"/>
    <mergeCell ref="BE2082:BE2087"/>
    <mergeCell ref="BF2082:BF2087"/>
    <mergeCell ref="BG2082:BG2087"/>
    <mergeCell ref="BH2082:BH2087"/>
    <mergeCell ref="BC2088:BC2090"/>
    <mergeCell ref="BD2088:BD2090"/>
    <mergeCell ref="BE2088:BE2090"/>
    <mergeCell ref="BF2088:BF2090"/>
    <mergeCell ref="BG2088:BG2090"/>
    <mergeCell ref="BH2088:BH2090"/>
    <mergeCell ref="BC2091:BC2093"/>
    <mergeCell ref="BD2091:BD2093"/>
    <mergeCell ref="BE2091:BE2093"/>
    <mergeCell ref="BF2091:BF2093"/>
    <mergeCell ref="BG2091:BG2093"/>
    <mergeCell ref="BH2091:BH2093"/>
    <mergeCell ref="BC2094:BC2097"/>
    <mergeCell ref="BD2094:BD2097"/>
    <mergeCell ref="BE2094:BE2097"/>
    <mergeCell ref="BF2094:BF2097"/>
    <mergeCell ref="BG2094:BG2097"/>
    <mergeCell ref="BH2094:BH2097"/>
    <mergeCell ref="BC2098:BC2102"/>
    <mergeCell ref="BD2098:BD2102"/>
    <mergeCell ref="BE2098:BE2102"/>
    <mergeCell ref="BF2098:BF2102"/>
    <mergeCell ref="BG2098:BG2102"/>
    <mergeCell ref="BH2098:BH2102"/>
    <mergeCell ref="BC2103:BC2106"/>
    <mergeCell ref="BD2103:BD2106"/>
    <mergeCell ref="BE2103:BE2106"/>
    <mergeCell ref="BF2103:BF2106"/>
    <mergeCell ref="BG2103:BG2106"/>
    <mergeCell ref="BH2103:BH2106"/>
    <mergeCell ref="BC2107:BC2111"/>
    <mergeCell ref="BD2107:BD2111"/>
    <mergeCell ref="BE2107:BE2111"/>
    <mergeCell ref="BF2107:BF2111"/>
    <mergeCell ref="BG2107:BG2111"/>
    <mergeCell ref="BH2107:BH2111"/>
    <mergeCell ref="BC2112:BC2113"/>
    <mergeCell ref="BD2112:BD2113"/>
    <mergeCell ref="BE2112:BE2113"/>
    <mergeCell ref="BF2112:BF2113"/>
    <mergeCell ref="BG2112:BG2113"/>
    <mergeCell ref="BH2112:BH2113"/>
    <mergeCell ref="BC2114:BC2115"/>
    <mergeCell ref="BD2114:BD2115"/>
    <mergeCell ref="BE2114:BE2115"/>
    <mergeCell ref="BF2114:BF2115"/>
    <mergeCell ref="BG2114:BG2115"/>
    <mergeCell ref="BH2114:BH2115"/>
    <mergeCell ref="BC2116:BC2117"/>
    <mergeCell ref="BD2116:BD2117"/>
    <mergeCell ref="BE2116:BE2117"/>
    <mergeCell ref="BF2116:BF2117"/>
    <mergeCell ref="BG2116:BG2117"/>
    <mergeCell ref="BH2116:BH2117"/>
    <mergeCell ref="BC2118:BC2120"/>
    <mergeCell ref="BD2118:BD2120"/>
    <mergeCell ref="BE2118:BE2120"/>
    <mergeCell ref="BF2118:BF2120"/>
    <mergeCell ref="BG2118:BG2120"/>
    <mergeCell ref="BH2118:BH2120"/>
    <mergeCell ref="BC2123:BC2124"/>
    <mergeCell ref="BD2123:BD2124"/>
    <mergeCell ref="BE2123:BE2124"/>
    <mergeCell ref="BF2123:BF2124"/>
    <mergeCell ref="BG2123:BG2124"/>
    <mergeCell ref="BH2123:BH2124"/>
    <mergeCell ref="BC2125:BC2126"/>
    <mergeCell ref="BD2125:BD2126"/>
    <mergeCell ref="BE2125:BE2126"/>
    <mergeCell ref="BF2125:BF2126"/>
    <mergeCell ref="BG2125:BG2126"/>
    <mergeCell ref="BH2125:BH2126"/>
    <mergeCell ref="BC2127:BC2132"/>
    <mergeCell ref="BD2127:BD2132"/>
    <mergeCell ref="BE2127:BE2132"/>
    <mergeCell ref="BF2127:BF2132"/>
    <mergeCell ref="BG2127:BG2132"/>
    <mergeCell ref="BH2127:BH2132"/>
    <mergeCell ref="BC2134:BC2135"/>
    <mergeCell ref="BD2134:BD2135"/>
    <mergeCell ref="BE2134:BE2135"/>
    <mergeCell ref="BF2134:BF2135"/>
    <mergeCell ref="BG2134:BG2135"/>
    <mergeCell ref="BH2134:BH2135"/>
    <mergeCell ref="BC2136:BC2137"/>
    <mergeCell ref="BD2136:BD2137"/>
    <mergeCell ref="BE2136:BE2137"/>
    <mergeCell ref="BF2136:BF2137"/>
    <mergeCell ref="BG2136:BG2137"/>
    <mergeCell ref="BH2136:BH2137"/>
    <mergeCell ref="BC2138:BC2139"/>
    <mergeCell ref="BD2138:BD2139"/>
    <mergeCell ref="BE2138:BE2139"/>
    <mergeCell ref="BF2138:BF2139"/>
    <mergeCell ref="BG2138:BG2139"/>
    <mergeCell ref="BH2138:BH2139"/>
    <mergeCell ref="BC2140:BC2141"/>
    <mergeCell ref="BD2140:BD2141"/>
    <mergeCell ref="BE2140:BE2141"/>
    <mergeCell ref="BF2140:BF2141"/>
    <mergeCell ref="BG2140:BG2141"/>
    <mergeCell ref="BH2140:BH2141"/>
    <mergeCell ref="BC2143:BC2144"/>
    <mergeCell ref="BD2143:BD2144"/>
    <mergeCell ref="BE2143:BE2144"/>
    <mergeCell ref="BF2143:BF2144"/>
    <mergeCell ref="BG2143:BG2144"/>
    <mergeCell ref="BH2143:BH2144"/>
    <mergeCell ref="BC2145:BC2146"/>
    <mergeCell ref="BD2145:BD2146"/>
    <mergeCell ref="BE2145:BE2146"/>
    <mergeCell ref="BF2145:BF2146"/>
    <mergeCell ref="BG2145:BG2146"/>
    <mergeCell ref="BH2145:BH2146"/>
    <mergeCell ref="BC2148:BC2151"/>
    <mergeCell ref="BD2148:BD2151"/>
    <mergeCell ref="BE2148:BE2151"/>
    <mergeCell ref="BF2148:BF2151"/>
    <mergeCell ref="BG2148:BG2151"/>
    <mergeCell ref="BH2148:BH2151"/>
    <mergeCell ref="BC2152:BC2153"/>
    <mergeCell ref="BD2152:BD2153"/>
    <mergeCell ref="BE2152:BE2153"/>
    <mergeCell ref="BF2152:BF2153"/>
    <mergeCell ref="BG2152:BG2153"/>
    <mergeCell ref="BH2152:BH2153"/>
    <mergeCell ref="BC2154:BC2155"/>
    <mergeCell ref="BD2154:BD2155"/>
    <mergeCell ref="BE2154:BE2155"/>
    <mergeCell ref="BF2154:BF2155"/>
    <mergeCell ref="BG2154:BG2155"/>
    <mergeCell ref="BH2154:BH2155"/>
    <mergeCell ref="BC2157:BC2158"/>
    <mergeCell ref="BD2157:BD2158"/>
    <mergeCell ref="BE2157:BE2158"/>
    <mergeCell ref="BF2157:BF2158"/>
    <mergeCell ref="BG2157:BG2158"/>
    <mergeCell ref="BH2157:BH2158"/>
    <mergeCell ref="BC2159:BC2161"/>
    <mergeCell ref="BD2159:BD2161"/>
    <mergeCell ref="BE2159:BE2161"/>
    <mergeCell ref="BF2159:BF2161"/>
    <mergeCell ref="BG2159:BG2161"/>
    <mergeCell ref="BH2159:BH2161"/>
    <mergeCell ref="BC2162:BC2163"/>
    <mergeCell ref="BD2162:BD2163"/>
    <mergeCell ref="BE2162:BE2163"/>
    <mergeCell ref="BF2162:BF2163"/>
    <mergeCell ref="BG2162:BG2163"/>
    <mergeCell ref="BH2162:BH2163"/>
    <mergeCell ref="BC2164:BC2167"/>
    <mergeCell ref="BD2164:BD2167"/>
    <mergeCell ref="BE2164:BE2167"/>
    <mergeCell ref="BF2164:BF2167"/>
    <mergeCell ref="BG2164:BG2167"/>
    <mergeCell ref="BH2164:BH2167"/>
    <mergeCell ref="BC2168:BC2169"/>
    <mergeCell ref="BD2168:BD2169"/>
    <mergeCell ref="BE2168:BE2169"/>
    <mergeCell ref="BF2168:BF2169"/>
    <mergeCell ref="BG2168:BG2169"/>
    <mergeCell ref="BH2168:BH2169"/>
    <mergeCell ref="BC2171:BC2173"/>
    <mergeCell ref="BD2171:BD2173"/>
    <mergeCell ref="BE2171:BE2173"/>
    <mergeCell ref="BF2171:BF2173"/>
    <mergeCell ref="BG2171:BG2173"/>
    <mergeCell ref="BH2171:BH2173"/>
    <mergeCell ref="BC2174:BC2175"/>
    <mergeCell ref="BD2174:BD2175"/>
    <mergeCell ref="BE2174:BE2175"/>
    <mergeCell ref="BF2174:BF2175"/>
    <mergeCell ref="BG2174:BG2175"/>
    <mergeCell ref="BH2174:BH2175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7"/>
    <mergeCell ref="AW14:AW17"/>
    <mergeCell ref="AX14:AX17"/>
    <mergeCell ref="AY14:AY17"/>
    <mergeCell ref="AZ14:AZ17"/>
    <mergeCell ref="BA14:BA17"/>
    <mergeCell ref="BI14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30"/>
    <mergeCell ref="AW27:AW30"/>
    <mergeCell ref="AX27:AX30"/>
    <mergeCell ref="AY27:AY30"/>
    <mergeCell ref="AZ27:AZ30"/>
    <mergeCell ref="BA27:BA30"/>
    <mergeCell ref="BI27:BI30"/>
    <mergeCell ref="AV31:AV34"/>
    <mergeCell ref="AW31:AW34"/>
    <mergeCell ref="AX31:AX34"/>
    <mergeCell ref="AY31:AY34"/>
    <mergeCell ref="AZ31:AZ34"/>
    <mergeCell ref="BA31:BA34"/>
    <mergeCell ref="BI31:BI34"/>
    <mergeCell ref="AV35:AV37"/>
    <mergeCell ref="AW35:AW37"/>
    <mergeCell ref="AX35:AX37"/>
    <mergeCell ref="AY35:AY37"/>
    <mergeCell ref="AZ35:AZ37"/>
    <mergeCell ref="BA35:BA37"/>
    <mergeCell ref="BI35:BI37"/>
    <mergeCell ref="AV38:AV40"/>
    <mergeCell ref="AW38:AW40"/>
    <mergeCell ref="AX38:AX40"/>
    <mergeCell ref="AY38:AY40"/>
    <mergeCell ref="AZ38:AZ40"/>
    <mergeCell ref="BA38:BA40"/>
    <mergeCell ref="BI38:BI40"/>
    <mergeCell ref="AV41:AV43"/>
    <mergeCell ref="AW41:AW43"/>
    <mergeCell ref="AX41:AX43"/>
    <mergeCell ref="AY41:AY43"/>
    <mergeCell ref="AZ41:AZ43"/>
    <mergeCell ref="BA41:BA43"/>
    <mergeCell ref="BI41:BI43"/>
    <mergeCell ref="AV44:AV46"/>
    <mergeCell ref="AW44:AW46"/>
    <mergeCell ref="AX44:AX46"/>
    <mergeCell ref="AY44:AY46"/>
    <mergeCell ref="AZ44:AZ46"/>
    <mergeCell ref="BA44:BA46"/>
    <mergeCell ref="BI44:BI46"/>
    <mergeCell ref="AV47:AV49"/>
    <mergeCell ref="AW47:AW49"/>
    <mergeCell ref="AX47:AX49"/>
    <mergeCell ref="AY47:AY49"/>
    <mergeCell ref="AZ47:AZ49"/>
    <mergeCell ref="BA47:BA49"/>
    <mergeCell ref="BI47:BI49"/>
    <mergeCell ref="AV50:AV52"/>
    <mergeCell ref="AW50:AW52"/>
    <mergeCell ref="AX50:AX52"/>
    <mergeCell ref="AY50:AY52"/>
    <mergeCell ref="AZ50:AZ52"/>
    <mergeCell ref="BA50:BA52"/>
    <mergeCell ref="BI50:BI52"/>
    <mergeCell ref="AV53:AV55"/>
    <mergeCell ref="AW53:AW55"/>
    <mergeCell ref="AX53:AX55"/>
    <mergeCell ref="AY53:AY55"/>
    <mergeCell ref="AZ53:AZ55"/>
    <mergeCell ref="BA53:BA55"/>
    <mergeCell ref="BI53:BI55"/>
    <mergeCell ref="AV56:AV58"/>
    <mergeCell ref="AW56:AW58"/>
    <mergeCell ref="AX56:AX58"/>
    <mergeCell ref="AY56:AY58"/>
    <mergeCell ref="AZ56:AZ58"/>
    <mergeCell ref="BA56:BA58"/>
    <mergeCell ref="BI56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2"/>
    <mergeCell ref="AW89:AW92"/>
    <mergeCell ref="AX89:AX92"/>
    <mergeCell ref="AY89:AY92"/>
    <mergeCell ref="AZ89:AZ92"/>
    <mergeCell ref="BA89:BA92"/>
    <mergeCell ref="BI89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1"/>
    <mergeCell ref="AW108:AW111"/>
    <mergeCell ref="AX108:AX111"/>
    <mergeCell ref="AY108:AY111"/>
    <mergeCell ref="AZ108:AZ111"/>
    <mergeCell ref="BA108:BA111"/>
    <mergeCell ref="BI108:BI111"/>
    <mergeCell ref="AV112:AV115"/>
    <mergeCell ref="AW112:AW115"/>
    <mergeCell ref="AX112:AX115"/>
    <mergeCell ref="AY112:AY115"/>
    <mergeCell ref="AZ112:AZ115"/>
    <mergeCell ref="BA112:BA115"/>
    <mergeCell ref="BI112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2"/>
    <mergeCell ref="AW149:AW152"/>
    <mergeCell ref="AX149:AX152"/>
    <mergeCell ref="AY149:AY152"/>
    <mergeCell ref="AZ149:AZ152"/>
    <mergeCell ref="BA149:BA152"/>
    <mergeCell ref="BI149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9"/>
    <mergeCell ref="AW156:AW159"/>
    <mergeCell ref="AX156:AX159"/>
    <mergeCell ref="AY156:AY159"/>
    <mergeCell ref="AZ156:AZ159"/>
    <mergeCell ref="BA156:BA159"/>
    <mergeCell ref="BI156:BI159"/>
    <mergeCell ref="AV160:AV163"/>
    <mergeCell ref="AW160:AW163"/>
    <mergeCell ref="AX160:AX163"/>
    <mergeCell ref="AY160:AY163"/>
    <mergeCell ref="AZ160:AZ163"/>
    <mergeCell ref="BA160:BA163"/>
    <mergeCell ref="BI160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4"/>
    <mergeCell ref="AW241:AW244"/>
    <mergeCell ref="AX241:AX244"/>
    <mergeCell ref="AY241:AY244"/>
    <mergeCell ref="AZ241:AZ244"/>
    <mergeCell ref="BA241:BA244"/>
    <mergeCell ref="BI241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4"/>
    <mergeCell ref="AW251:AW254"/>
    <mergeCell ref="AX251:AX254"/>
    <mergeCell ref="AY251:AY254"/>
    <mergeCell ref="AZ251:AZ254"/>
    <mergeCell ref="BA251:BA254"/>
    <mergeCell ref="BI251:BI254"/>
    <mergeCell ref="AV255:AV258"/>
    <mergeCell ref="AW255:AW258"/>
    <mergeCell ref="AX255:AX258"/>
    <mergeCell ref="AY255:AY258"/>
    <mergeCell ref="AZ255:AZ258"/>
    <mergeCell ref="BA255:BA258"/>
    <mergeCell ref="BI255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6"/>
    <mergeCell ref="AW304:AW306"/>
    <mergeCell ref="AX304:AX306"/>
    <mergeCell ref="AY304:AY306"/>
    <mergeCell ref="AZ304:AZ306"/>
    <mergeCell ref="BA304:BA306"/>
    <mergeCell ref="AV307:AV309"/>
    <mergeCell ref="AW307:AW309"/>
    <mergeCell ref="AX307:AX309"/>
    <mergeCell ref="AY307:AY309"/>
    <mergeCell ref="AZ307:AZ309"/>
    <mergeCell ref="BA307:BA309"/>
    <mergeCell ref="AV310:AV312"/>
    <mergeCell ref="AW310:AW312"/>
    <mergeCell ref="AX310:AX312"/>
    <mergeCell ref="AY310:AY312"/>
    <mergeCell ref="AZ310:AZ312"/>
    <mergeCell ref="BA310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9"/>
    <mergeCell ref="AW317:AW319"/>
    <mergeCell ref="AX317:AX319"/>
    <mergeCell ref="AY317:AY319"/>
    <mergeCell ref="AZ317:AZ319"/>
    <mergeCell ref="BA317:BA319"/>
    <mergeCell ref="AV320:AV322"/>
    <mergeCell ref="AW320:AW322"/>
    <mergeCell ref="AX320:AX322"/>
    <mergeCell ref="AY320:AY322"/>
    <mergeCell ref="AZ320:AZ322"/>
    <mergeCell ref="BA320:BA322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30"/>
    <mergeCell ref="AW328:AW330"/>
    <mergeCell ref="AX328:AX330"/>
    <mergeCell ref="AY328:AY330"/>
    <mergeCell ref="AZ328:AZ330"/>
    <mergeCell ref="BA328:BA330"/>
    <mergeCell ref="AV331:AV333"/>
    <mergeCell ref="AW331:AW333"/>
    <mergeCell ref="AX331:AX333"/>
    <mergeCell ref="AY331:AY333"/>
    <mergeCell ref="AZ331:AZ333"/>
    <mergeCell ref="BA331:BA333"/>
    <mergeCell ref="AV334:AV336"/>
    <mergeCell ref="AW334:AW336"/>
    <mergeCell ref="AX334:AX336"/>
    <mergeCell ref="AY334:AY336"/>
    <mergeCell ref="AZ334:AZ336"/>
    <mergeCell ref="BA334:BA336"/>
    <mergeCell ref="AV337:AV339"/>
    <mergeCell ref="AW337:AW339"/>
    <mergeCell ref="AX337:AX339"/>
    <mergeCell ref="AY337:AY339"/>
    <mergeCell ref="AZ337:AZ339"/>
    <mergeCell ref="BA337:BA339"/>
    <mergeCell ref="AV340:AV342"/>
    <mergeCell ref="AW340:AW342"/>
    <mergeCell ref="AX340:AX342"/>
    <mergeCell ref="AY340:AY342"/>
    <mergeCell ref="AZ340:AZ342"/>
    <mergeCell ref="BA340:BA342"/>
    <mergeCell ref="AV343:AV345"/>
    <mergeCell ref="AW343:AW345"/>
    <mergeCell ref="AX343:AX345"/>
    <mergeCell ref="AY343:AY345"/>
    <mergeCell ref="AZ343:AZ345"/>
    <mergeCell ref="BA343:BA345"/>
    <mergeCell ref="AV346:AV347"/>
    <mergeCell ref="AW346:AW347"/>
    <mergeCell ref="AX346:AX347"/>
    <mergeCell ref="AY346:AY347"/>
    <mergeCell ref="AZ346:AZ347"/>
    <mergeCell ref="BA346:BA347"/>
    <mergeCell ref="AV348:AV351"/>
    <mergeCell ref="AW348:AW351"/>
    <mergeCell ref="AX348:AX351"/>
    <mergeCell ref="AY348:AY351"/>
    <mergeCell ref="AZ348:AZ351"/>
    <mergeCell ref="BA348:BA351"/>
    <mergeCell ref="AV352:AV355"/>
    <mergeCell ref="AW352:AW355"/>
    <mergeCell ref="AX352:AX355"/>
    <mergeCell ref="AY352:AY355"/>
    <mergeCell ref="AZ352:AZ355"/>
    <mergeCell ref="BA352:BA355"/>
    <mergeCell ref="AV357:AV358"/>
    <mergeCell ref="AW357:AW358"/>
    <mergeCell ref="AX357:AX358"/>
    <mergeCell ref="AY357:AY358"/>
    <mergeCell ref="AZ357:AZ358"/>
    <mergeCell ref="BA357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7"/>
    <mergeCell ref="AW365:AW367"/>
    <mergeCell ref="AX365:AX367"/>
    <mergeCell ref="AY365:AY367"/>
    <mergeCell ref="AZ365:AZ367"/>
    <mergeCell ref="BA365:BA367"/>
    <mergeCell ref="AV368:AV370"/>
    <mergeCell ref="AW368:AW370"/>
    <mergeCell ref="AX368:AX370"/>
    <mergeCell ref="AY368:AY370"/>
    <mergeCell ref="AZ368:AZ370"/>
    <mergeCell ref="BA368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AV377:AV379"/>
    <mergeCell ref="AW377:AW379"/>
    <mergeCell ref="AX377:AX379"/>
    <mergeCell ref="AY377:AY379"/>
    <mergeCell ref="AZ377:AZ379"/>
    <mergeCell ref="BA377:BA379"/>
    <mergeCell ref="AV380:AV382"/>
    <mergeCell ref="AW380:AW382"/>
    <mergeCell ref="AX380:AX382"/>
    <mergeCell ref="AY380:AY382"/>
    <mergeCell ref="AZ380:AZ382"/>
    <mergeCell ref="BA380:BA382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AV388:AV389"/>
    <mergeCell ref="AW388:AW389"/>
    <mergeCell ref="AX388:AX389"/>
    <mergeCell ref="AY388:AY389"/>
    <mergeCell ref="AZ388:AZ389"/>
    <mergeCell ref="BA388:BA389"/>
    <mergeCell ref="AV390:AV391"/>
    <mergeCell ref="AW390:AW391"/>
    <mergeCell ref="AX390:AX391"/>
    <mergeCell ref="AY390:AY391"/>
    <mergeCell ref="AZ390:AZ391"/>
    <mergeCell ref="BA390:BA391"/>
    <mergeCell ref="AV392:AV393"/>
    <mergeCell ref="AW392:AW393"/>
    <mergeCell ref="AX392:AX393"/>
    <mergeCell ref="AY392:AY393"/>
    <mergeCell ref="AZ392:AZ393"/>
    <mergeCell ref="BA392:BA393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AV398:AV400"/>
    <mergeCell ref="AW398:AW400"/>
    <mergeCell ref="AX398:AX400"/>
    <mergeCell ref="AY398:AY400"/>
    <mergeCell ref="AZ398:AZ400"/>
    <mergeCell ref="BA398:BA400"/>
    <mergeCell ref="AV401:AV403"/>
    <mergeCell ref="AW401:AW403"/>
    <mergeCell ref="AX401:AX403"/>
    <mergeCell ref="AY401:AY403"/>
    <mergeCell ref="AZ401:AZ403"/>
    <mergeCell ref="BA401:BA403"/>
    <mergeCell ref="AV404:AV405"/>
    <mergeCell ref="AW404:AW405"/>
    <mergeCell ref="AX404:AX405"/>
    <mergeCell ref="AY404:AY405"/>
    <mergeCell ref="AZ404:AZ405"/>
    <mergeCell ref="BA404:BA405"/>
    <mergeCell ref="AV406:AV408"/>
    <mergeCell ref="AW406:AW408"/>
    <mergeCell ref="AX406:AX408"/>
    <mergeCell ref="AY406:AY408"/>
    <mergeCell ref="AZ406:AZ408"/>
    <mergeCell ref="BA406:BA408"/>
    <mergeCell ref="AV409:AV410"/>
    <mergeCell ref="AW409:AW410"/>
    <mergeCell ref="AX409:AX410"/>
    <mergeCell ref="AY409:AY410"/>
    <mergeCell ref="AZ409:AZ410"/>
    <mergeCell ref="BA409:BA410"/>
    <mergeCell ref="AV411:AV413"/>
    <mergeCell ref="AW411:AW413"/>
    <mergeCell ref="AX411:AX413"/>
    <mergeCell ref="AY411:AY413"/>
    <mergeCell ref="AZ411:AZ413"/>
    <mergeCell ref="BA411:BA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2:AV424"/>
    <mergeCell ref="AW422:AW424"/>
    <mergeCell ref="AX422:AX424"/>
    <mergeCell ref="AY422:AY424"/>
    <mergeCell ref="AZ422:AZ424"/>
    <mergeCell ref="BA422:BA424"/>
    <mergeCell ref="AV425:AV427"/>
    <mergeCell ref="AW425:AW427"/>
    <mergeCell ref="AX425:AX427"/>
    <mergeCell ref="AY425:AY427"/>
    <mergeCell ref="AZ425:AZ427"/>
    <mergeCell ref="BA425:BA427"/>
    <mergeCell ref="AV430:AV432"/>
    <mergeCell ref="AW430:AW432"/>
    <mergeCell ref="AX430:AX432"/>
    <mergeCell ref="AY430:AY432"/>
    <mergeCell ref="AZ430:AZ432"/>
    <mergeCell ref="BA430:BA432"/>
    <mergeCell ref="AV433:AV435"/>
    <mergeCell ref="AW433:AW435"/>
    <mergeCell ref="AX433:AX435"/>
    <mergeCell ref="AY433:AY435"/>
    <mergeCell ref="AZ433:AZ435"/>
    <mergeCell ref="BA433:BA435"/>
    <mergeCell ref="AV436:AV437"/>
    <mergeCell ref="AW436:AW437"/>
    <mergeCell ref="AX436:AX437"/>
    <mergeCell ref="AY436:AY437"/>
    <mergeCell ref="AZ436:AZ437"/>
    <mergeCell ref="BA436:BA437"/>
    <mergeCell ref="AV438:AV440"/>
    <mergeCell ref="AW438:AW440"/>
    <mergeCell ref="AX438:AX440"/>
    <mergeCell ref="AY438:AY440"/>
    <mergeCell ref="AZ438:AZ440"/>
    <mergeCell ref="BA438:BA440"/>
    <mergeCell ref="AV441:AV443"/>
    <mergeCell ref="AW441:AW443"/>
    <mergeCell ref="AX441:AX443"/>
    <mergeCell ref="AY441:AY443"/>
    <mergeCell ref="AZ441:AZ443"/>
    <mergeCell ref="BA441:BA443"/>
    <mergeCell ref="AV444:AV446"/>
    <mergeCell ref="AW444:AW446"/>
    <mergeCell ref="AX444:AX446"/>
    <mergeCell ref="AY444:AY446"/>
    <mergeCell ref="AZ444:AZ446"/>
    <mergeCell ref="BA444:BA446"/>
    <mergeCell ref="AV447:AV448"/>
    <mergeCell ref="AW447:AW448"/>
    <mergeCell ref="AX447:AX448"/>
    <mergeCell ref="AY447:AY448"/>
    <mergeCell ref="AZ447:AZ448"/>
    <mergeCell ref="BA447:BA448"/>
    <mergeCell ref="AV449:AV451"/>
    <mergeCell ref="AW449:AW451"/>
    <mergeCell ref="AX449:AX451"/>
    <mergeCell ref="AY449:AY451"/>
    <mergeCell ref="AZ449:AZ451"/>
    <mergeCell ref="BA449:BA451"/>
    <mergeCell ref="AV452:AV454"/>
    <mergeCell ref="AW452:AW454"/>
    <mergeCell ref="AX452:AX454"/>
    <mergeCell ref="AY452:AY454"/>
    <mergeCell ref="AZ452:AZ454"/>
    <mergeCell ref="BA452:BA454"/>
    <mergeCell ref="AV455:AV457"/>
    <mergeCell ref="AW455:AW457"/>
    <mergeCell ref="AX455:AX457"/>
    <mergeCell ref="AY455:AY457"/>
    <mergeCell ref="AZ455:AZ457"/>
    <mergeCell ref="BA455:BA457"/>
    <mergeCell ref="AV459:AV461"/>
    <mergeCell ref="AW459:AW461"/>
    <mergeCell ref="AX459:AX461"/>
    <mergeCell ref="AY459:AY461"/>
    <mergeCell ref="AZ459:AZ461"/>
    <mergeCell ref="BA459:BA461"/>
    <mergeCell ref="AV462:AV466"/>
    <mergeCell ref="AW462:AW466"/>
    <mergeCell ref="AX462:AX466"/>
    <mergeCell ref="AY462:AY466"/>
    <mergeCell ref="AZ462:AZ466"/>
    <mergeCell ref="BA462:BA466"/>
    <mergeCell ref="AV468:AV469"/>
    <mergeCell ref="AW468:AW469"/>
    <mergeCell ref="AX468:AX469"/>
    <mergeCell ref="AY468:AY469"/>
    <mergeCell ref="AZ468:AZ469"/>
    <mergeCell ref="BA468:BA469"/>
    <mergeCell ref="AV470:AV472"/>
    <mergeCell ref="AW470:AW472"/>
    <mergeCell ref="AX470:AX472"/>
    <mergeCell ref="AY470:AY472"/>
    <mergeCell ref="AZ470:AZ472"/>
    <mergeCell ref="BA470:BA472"/>
    <mergeCell ref="AV473:AV475"/>
    <mergeCell ref="AW473:AW475"/>
    <mergeCell ref="AX473:AX475"/>
    <mergeCell ref="AY473:AY475"/>
    <mergeCell ref="AZ473:AZ475"/>
    <mergeCell ref="BA473:BA475"/>
    <mergeCell ref="AV476:AV478"/>
    <mergeCell ref="AW476:AW478"/>
    <mergeCell ref="AX476:AX478"/>
    <mergeCell ref="AY476:AY478"/>
    <mergeCell ref="AZ476:AZ478"/>
    <mergeCell ref="BA476:BA478"/>
    <mergeCell ref="AV479:AV481"/>
    <mergeCell ref="AW479:AW481"/>
    <mergeCell ref="AX479:AX481"/>
    <mergeCell ref="AY479:AY481"/>
    <mergeCell ref="AZ479:AZ481"/>
    <mergeCell ref="BA479:BA481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7:AV490"/>
    <mergeCell ref="AW487:AW490"/>
    <mergeCell ref="AX487:AX490"/>
    <mergeCell ref="AY487:AY490"/>
    <mergeCell ref="AZ487:AZ490"/>
    <mergeCell ref="BA487:BA490"/>
    <mergeCell ref="BI487:BI490"/>
    <mergeCell ref="AV491:AV494"/>
    <mergeCell ref="AW491:AW494"/>
    <mergeCell ref="AX491:AX494"/>
    <mergeCell ref="AY491:AY494"/>
    <mergeCell ref="AZ491:AZ494"/>
    <mergeCell ref="BA491:BA494"/>
    <mergeCell ref="BI491:BI494"/>
    <mergeCell ref="AV495:AV497"/>
    <mergeCell ref="AW495:AW497"/>
    <mergeCell ref="AX495:AX497"/>
    <mergeCell ref="AY495:AY497"/>
    <mergeCell ref="AZ495:AZ497"/>
    <mergeCell ref="BA495:BA497"/>
    <mergeCell ref="BI495:BI497"/>
    <mergeCell ref="AV498:AV500"/>
    <mergeCell ref="AW498:AW500"/>
    <mergeCell ref="AX498:AX500"/>
    <mergeCell ref="AY498:AY500"/>
    <mergeCell ref="AZ498:AZ500"/>
    <mergeCell ref="BA498:BA500"/>
    <mergeCell ref="BI498:BI500"/>
    <mergeCell ref="AV501:AV503"/>
    <mergeCell ref="AW501:AW503"/>
    <mergeCell ref="AX501:AX503"/>
    <mergeCell ref="AY501:AY503"/>
    <mergeCell ref="AZ501:AZ503"/>
    <mergeCell ref="BA501:BA503"/>
    <mergeCell ref="BI501:BI503"/>
    <mergeCell ref="AV504:AV506"/>
    <mergeCell ref="AW504:AW506"/>
    <mergeCell ref="AX504:AX506"/>
    <mergeCell ref="AY504:AY506"/>
    <mergeCell ref="AZ504:AZ506"/>
    <mergeCell ref="BA504:BA506"/>
    <mergeCell ref="BI504:BI506"/>
    <mergeCell ref="AV507:AV509"/>
    <mergeCell ref="AW507:AW509"/>
    <mergeCell ref="AX507:AX509"/>
    <mergeCell ref="AY507:AY509"/>
    <mergeCell ref="AZ507:AZ509"/>
    <mergeCell ref="BA507:BA509"/>
    <mergeCell ref="BI507:BI509"/>
    <mergeCell ref="AV510:AV512"/>
    <mergeCell ref="AW510:AW512"/>
    <mergeCell ref="AX510:AX512"/>
    <mergeCell ref="AY510:AY512"/>
    <mergeCell ref="AZ510:AZ512"/>
    <mergeCell ref="BA510:BA512"/>
    <mergeCell ref="AV513:AV514"/>
    <mergeCell ref="AW513:AW514"/>
    <mergeCell ref="AX513:AX514"/>
    <mergeCell ref="AY513:AY514"/>
    <mergeCell ref="AZ513:AZ514"/>
    <mergeCell ref="BA513:BA514"/>
    <mergeCell ref="AV515:AV517"/>
    <mergeCell ref="AW515:AW517"/>
    <mergeCell ref="AX515:AX517"/>
    <mergeCell ref="AY515:AY517"/>
    <mergeCell ref="AZ515:AZ517"/>
    <mergeCell ref="BA515:BA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AV542:AV544"/>
    <mergeCell ref="AW542:AW544"/>
    <mergeCell ref="AX542:AX544"/>
    <mergeCell ref="AY542:AY544"/>
    <mergeCell ref="AZ542:AZ544"/>
    <mergeCell ref="BA542:BA544"/>
    <mergeCell ref="AV545:AV546"/>
    <mergeCell ref="AW545:AW546"/>
    <mergeCell ref="AX545:AX546"/>
    <mergeCell ref="AY545:AY546"/>
    <mergeCell ref="AZ545:AZ546"/>
    <mergeCell ref="BA545:BA546"/>
    <mergeCell ref="AV547:AV548"/>
    <mergeCell ref="AW547:AW548"/>
    <mergeCell ref="AX547:AX548"/>
    <mergeCell ref="AY547:AY548"/>
    <mergeCell ref="AZ547:AZ548"/>
    <mergeCell ref="BA547:BA548"/>
    <mergeCell ref="AV549:AV550"/>
    <mergeCell ref="AW549:AW550"/>
    <mergeCell ref="AX549:AX550"/>
    <mergeCell ref="AY549:AY550"/>
    <mergeCell ref="AZ549:AZ550"/>
    <mergeCell ref="BA549:BA550"/>
    <mergeCell ref="AV551:AV552"/>
    <mergeCell ref="AW551:AW552"/>
    <mergeCell ref="AX551:AX552"/>
    <mergeCell ref="AY551:AY552"/>
    <mergeCell ref="AZ551:AZ552"/>
    <mergeCell ref="BA551:BA552"/>
    <mergeCell ref="AV553:AV554"/>
    <mergeCell ref="AW553:AW554"/>
    <mergeCell ref="AX553:AX554"/>
    <mergeCell ref="AY553:AY554"/>
    <mergeCell ref="AZ553:AZ554"/>
    <mergeCell ref="BA553:BA554"/>
    <mergeCell ref="AV555:AV556"/>
    <mergeCell ref="AW555:AW556"/>
    <mergeCell ref="AX555:AX556"/>
    <mergeCell ref="AY555:AY556"/>
    <mergeCell ref="AZ555:AZ556"/>
    <mergeCell ref="BA555:BA556"/>
    <mergeCell ref="AV557:AV558"/>
    <mergeCell ref="AW557:AW558"/>
    <mergeCell ref="AX557:AX558"/>
    <mergeCell ref="AY557:AY558"/>
    <mergeCell ref="AZ557:AZ558"/>
    <mergeCell ref="BA557:BA558"/>
    <mergeCell ref="AV559:AV560"/>
    <mergeCell ref="AW559:AW560"/>
    <mergeCell ref="AX559:AX560"/>
    <mergeCell ref="AY559:AY560"/>
    <mergeCell ref="AZ559:AZ560"/>
    <mergeCell ref="BA559:BA560"/>
    <mergeCell ref="AV561:AV564"/>
    <mergeCell ref="AW561:AW564"/>
    <mergeCell ref="AX561:AX564"/>
    <mergeCell ref="AY561:AY564"/>
    <mergeCell ref="AZ561:AZ564"/>
    <mergeCell ref="BA561:BA564"/>
    <mergeCell ref="BI561:BI564"/>
    <mergeCell ref="AV565:AV568"/>
    <mergeCell ref="AW565:AW568"/>
    <mergeCell ref="AX565:AX568"/>
    <mergeCell ref="AY565:AY568"/>
    <mergeCell ref="AZ565:AZ568"/>
    <mergeCell ref="BA565:BA568"/>
    <mergeCell ref="BI565:BI568"/>
    <mergeCell ref="AV569:AV572"/>
    <mergeCell ref="AW569:AW572"/>
    <mergeCell ref="AX569:AX572"/>
    <mergeCell ref="AY569:AY572"/>
    <mergeCell ref="AZ569:AZ572"/>
    <mergeCell ref="BA569:BA572"/>
    <mergeCell ref="BI569:BI572"/>
    <mergeCell ref="AV573:AV574"/>
    <mergeCell ref="AW573:AW574"/>
    <mergeCell ref="AX573:AX574"/>
    <mergeCell ref="AY573:AY574"/>
    <mergeCell ref="AZ573:AZ574"/>
    <mergeCell ref="BA573:BA574"/>
    <mergeCell ref="BI573:BI574"/>
    <mergeCell ref="AV575:AV576"/>
    <mergeCell ref="AW575:AW576"/>
    <mergeCell ref="AX575:AX576"/>
    <mergeCell ref="AY575:AY576"/>
    <mergeCell ref="AZ575:AZ576"/>
    <mergeCell ref="BA575:BA576"/>
    <mergeCell ref="BI575:BI576"/>
    <mergeCell ref="AV577:AV578"/>
    <mergeCell ref="AW577:AW578"/>
    <mergeCell ref="AX577:AX578"/>
    <mergeCell ref="AY577:AY578"/>
    <mergeCell ref="AZ577:AZ578"/>
    <mergeCell ref="BA577:BA578"/>
    <mergeCell ref="BI577:BI578"/>
    <mergeCell ref="AV579:AV581"/>
    <mergeCell ref="AW579:AW581"/>
    <mergeCell ref="AX579:AX581"/>
    <mergeCell ref="AY579:AY581"/>
    <mergeCell ref="AZ579:AZ581"/>
    <mergeCell ref="BA579:BA581"/>
    <mergeCell ref="BI579:BI581"/>
    <mergeCell ref="AV582:AV583"/>
    <mergeCell ref="AW582:AW583"/>
    <mergeCell ref="AX582:AX583"/>
    <mergeCell ref="AY582:AY583"/>
    <mergeCell ref="AZ582:AZ583"/>
    <mergeCell ref="BA582:BA583"/>
    <mergeCell ref="BI582:BI583"/>
    <mergeCell ref="AV584:AV585"/>
    <mergeCell ref="AW584:AW585"/>
    <mergeCell ref="AX584:AX585"/>
    <mergeCell ref="AY584:AY585"/>
    <mergeCell ref="AZ584:AZ585"/>
    <mergeCell ref="BA584:BA585"/>
    <mergeCell ref="BI584:BI585"/>
    <mergeCell ref="AV586:AV589"/>
    <mergeCell ref="AW586:AW589"/>
    <mergeCell ref="AX586:AX589"/>
    <mergeCell ref="AY586:AY589"/>
    <mergeCell ref="AZ586:AZ589"/>
    <mergeCell ref="BA586:BA589"/>
    <mergeCell ref="BI586:BI589"/>
    <mergeCell ref="AV590:AV591"/>
    <mergeCell ref="AW590:AW591"/>
    <mergeCell ref="AX590:AX591"/>
    <mergeCell ref="AY590:AY591"/>
    <mergeCell ref="AZ590:AZ591"/>
    <mergeCell ref="BA590:BA591"/>
    <mergeCell ref="BI590:BI591"/>
    <mergeCell ref="AV592:AV593"/>
    <mergeCell ref="AW592:AW593"/>
    <mergeCell ref="AX592:AX593"/>
    <mergeCell ref="AY592:AY593"/>
    <mergeCell ref="AZ592:AZ593"/>
    <mergeCell ref="BA592:BA593"/>
    <mergeCell ref="BI592:BI593"/>
    <mergeCell ref="AV594:AV595"/>
    <mergeCell ref="AW594:AW595"/>
    <mergeCell ref="AX594:AX595"/>
    <mergeCell ref="AY594:AY595"/>
    <mergeCell ref="AZ594:AZ595"/>
    <mergeCell ref="BA594:BA595"/>
    <mergeCell ref="BI594:BI595"/>
    <mergeCell ref="AV596:AV597"/>
    <mergeCell ref="AW596:AW597"/>
    <mergeCell ref="AX596:AX597"/>
    <mergeCell ref="AY596:AY597"/>
    <mergeCell ref="AZ596:AZ597"/>
    <mergeCell ref="BA596:BA597"/>
    <mergeCell ref="BI596:BI597"/>
    <mergeCell ref="AV598:AV599"/>
    <mergeCell ref="AW598:AW599"/>
    <mergeCell ref="AX598:AX599"/>
    <mergeCell ref="AY598:AY599"/>
    <mergeCell ref="AZ598:AZ599"/>
    <mergeCell ref="BA598:BA599"/>
    <mergeCell ref="BI598:BI599"/>
    <mergeCell ref="AV600:AV601"/>
    <mergeCell ref="AW600:AW601"/>
    <mergeCell ref="AX600:AX601"/>
    <mergeCell ref="AY600:AY601"/>
    <mergeCell ref="AZ600:AZ601"/>
    <mergeCell ref="BA600:BA601"/>
    <mergeCell ref="BI600:BI601"/>
    <mergeCell ref="AV602:AV603"/>
    <mergeCell ref="AW602:AW603"/>
    <mergeCell ref="AX602:AX603"/>
    <mergeCell ref="AY602:AY603"/>
    <mergeCell ref="AZ602:AZ603"/>
    <mergeCell ref="BA602:BA603"/>
    <mergeCell ref="BI602:BI603"/>
    <mergeCell ref="AV604:AV605"/>
    <mergeCell ref="AW604:AW605"/>
    <mergeCell ref="AX604:AX605"/>
    <mergeCell ref="AY604:AY605"/>
    <mergeCell ref="AZ604:AZ605"/>
    <mergeCell ref="BA604:BA605"/>
    <mergeCell ref="BI604:BI605"/>
    <mergeCell ref="AV606:AV607"/>
    <mergeCell ref="AW606:AW607"/>
    <mergeCell ref="AX606:AX607"/>
    <mergeCell ref="AY606:AY607"/>
    <mergeCell ref="AZ606:AZ607"/>
    <mergeCell ref="BA606:BA607"/>
    <mergeCell ref="BI606:BI607"/>
    <mergeCell ref="AV608:AV609"/>
    <mergeCell ref="AW608:AW609"/>
    <mergeCell ref="AX608:AX609"/>
    <mergeCell ref="AY608:AY609"/>
    <mergeCell ref="AZ608:AZ609"/>
    <mergeCell ref="BA608:BA609"/>
    <mergeCell ref="BI608:BI609"/>
    <mergeCell ref="AV610:AV611"/>
    <mergeCell ref="AW610:AW611"/>
    <mergeCell ref="AX610:AX611"/>
    <mergeCell ref="AY610:AY611"/>
    <mergeCell ref="AZ610:AZ611"/>
    <mergeCell ref="BA610:BA611"/>
    <mergeCell ref="BI610:BI611"/>
    <mergeCell ref="AV612:AV613"/>
    <mergeCell ref="AW612:AW613"/>
    <mergeCell ref="AX612:AX613"/>
    <mergeCell ref="AY612:AY613"/>
    <mergeCell ref="AZ612:AZ613"/>
    <mergeCell ref="BA612:BA613"/>
    <mergeCell ref="BI612:BI613"/>
    <mergeCell ref="AV614:AV615"/>
    <mergeCell ref="AW614:AW615"/>
    <mergeCell ref="AX614:AX615"/>
    <mergeCell ref="AY614:AY615"/>
    <mergeCell ref="AZ614:AZ615"/>
    <mergeCell ref="BA614:BA615"/>
    <mergeCell ref="AV616:AV617"/>
    <mergeCell ref="AW616:AW617"/>
    <mergeCell ref="AX616:AX617"/>
    <mergeCell ref="AY616:AY617"/>
    <mergeCell ref="AZ616:AZ617"/>
    <mergeCell ref="BA616:BA617"/>
    <mergeCell ref="AV618:AV619"/>
    <mergeCell ref="AW618:AW619"/>
    <mergeCell ref="AX618:AX619"/>
    <mergeCell ref="AY618:AY619"/>
    <mergeCell ref="AZ618:AZ619"/>
    <mergeCell ref="BA618:BA619"/>
    <mergeCell ref="BI618:BI619"/>
    <mergeCell ref="AV620:AV621"/>
    <mergeCell ref="AW620:AW621"/>
    <mergeCell ref="AX620:AX621"/>
    <mergeCell ref="AY620:AY621"/>
    <mergeCell ref="AZ620:AZ621"/>
    <mergeCell ref="BA620:BA621"/>
    <mergeCell ref="BI620:BI621"/>
    <mergeCell ref="AV622:AV623"/>
    <mergeCell ref="AW622:AW623"/>
    <mergeCell ref="AX622:AX623"/>
    <mergeCell ref="AY622:AY623"/>
    <mergeCell ref="AZ622:AZ623"/>
    <mergeCell ref="BA622:BA623"/>
    <mergeCell ref="BI622:BI623"/>
    <mergeCell ref="AV624:AV625"/>
    <mergeCell ref="AW624:AW625"/>
    <mergeCell ref="AX624:AX625"/>
    <mergeCell ref="AY624:AY625"/>
    <mergeCell ref="AZ624:AZ625"/>
    <mergeCell ref="BA624:BA625"/>
    <mergeCell ref="BI624:BI625"/>
    <mergeCell ref="AV626:AV627"/>
    <mergeCell ref="AW626:AW627"/>
    <mergeCell ref="AX626:AX627"/>
    <mergeCell ref="AY626:AY627"/>
    <mergeCell ref="AZ626:AZ627"/>
    <mergeCell ref="BA626:BA627"/>
    <mergeCell ref="BI626:BI627"/>
    <mergeCell ref="AV628:AV629"/>
    <mergeCell ref="AW628:AW629"/>
    <mergeCell ref="AX628:AX629"/>
    <mergeCell ref="AY628:AY629"/>
    <mergeCell ref="AZ628:AZ629"/>
    <mergeCell ref="BA628:BA629"/>
    <mergeCell ref="BI628:BI629"/>
    <mergeCell ref="AV630:AV631"/>
    <mergeCell ref="AW630:AW631"/>
    <mergeCell ref="AX630:AX631"/>
    <mergeCell ref="AY630:AY631"/>
    <mergeCell ref="AZ630:AZ631"/>
    <mergeCell ref="BA630:BA631"/>
    <mergeCell ref="BI630:BI631"/>
    <mergeCell ref="AV632:AV633"/>
    <mergeCell ref="AW632:AW633"/>
    <mergeCell ref="AX632:AX633"/>
    <mergeCell ref="AY632:AY633"/>
    <mergeCell ref="AZ632:AZ633"/>
    <mergeCell ref="BA632:BA633"/>
    <mergeCell ref="BI632:BI633"/>
    <mergeCell ref="AV634:AV635"/>
    <mergeCell ref="AW634:AW635"/>
    <mergeCell ref="AX634:AX635"/>
    <mergeCell ref="AY634:AY635"/>
    <mergeCell ref="AZ634:AZ635"/>
    <mergeCell ref="BA634:BA635"/>
    <mergeCell ref="BI634:BI635"/>
    <mergeCell ref="AV636:AV637"/>
    <mergeCell ref="AW636:AW637"/>
    <mergeCell ref="AX636:AX637"/>
    <mergeCell ref="AY636:AY637"/>
    <mergeCell ref="AZ636:AZ637"/>
    <mergeCell ref="BA636:BA637"/>
    <mergeCell ref="BI636:BI637"/>
    <mergeCell ref="AV638:AV639"/>
    <mergeCell ref="AW638:AW639"/>
    <mergeCell ref="AX638:AX639"/>
    <mergeCell ref="AY638:AY639"/>
    <mergeCell ref="AZ638:AZ639"/>
    <mergeCell ref="BA638:BA639"/>
    <mergeCell ref="BI638:BI639"/>
    <mergeCell ref="AV641:AV642"/>
    <mergeCell ref="AW641:AW642"/>
    <mergeCell ref="AX641:AX642"/>
    <mergeCell ref="AY641:AY642"/>
    <mergeCell ref="AZ641:AZ642"/>
    <mergeCell ref="BA641:BA642"/>
    <mergeCell ref="BI641:BI642"/>
    <mergeCell ref="AV643:AV644"/>
    <mergeCell ref="AW643:AW644"/>
    <mergeCell ref="AX643:AX644"/>
    <mergeCell ref="AY643:AY644"/>
    <mergeCell ref="AZ643:AZ644"/>
    <mergeCell ref="BA643:BA644"/>
    <mergeCell ref="BI643:BI644"/>
    <mergeCell ref="AV645:AV646"/>
    <mergeCell ref="AW645:AW646"/>
    <mergeCell ref="AX645:AX646"/>
    <mergeCell ref="AY645:AY646"/>
    <mergeCell ref="AZ645:AZ646"/>
    <mergeCell ref="BA645:BA646"/>
    <mergeCell ref="AV647:AV648"/>
    <mergeCell ref="AW647:AW648"/>
    <mergeCell ref="AX647:AX648"/>
    <mergeCell ref="AY647:AY648"/>
    <mergeCell ref="AZ647:AZ648"/>
    <mergeCell ref="BA647:BA648"/>
    <mergeCell ref="AV649:AV650"/>
    <mergeCell ref="AW649:AW650"/>
    <mergeCell ref="AX649:AX650"/>
    <mergeCell ref="AY649:AY650"/>
    <mergeCell ref="AZ649:AZ650"/>
    <mergeCell ref="BA649:BA650"/>
    <mergeCell ref="AV651:AV653"/>
    <mergeCell ref="AW651:AW653"/>
    <mergeCell ref="AX651:AX653"/>
    <mergeCell ref="AY651:AY653"/>
    <mergeCell ref="AZ651:AZ653"/>
    <mergeCell ref="BA651:BA653"/>
    <mergeCell ref="AV654:AV655"/>
    <mergeCell ref="AW654:AW655"/>
    <mergeCell ref="AX654:AX655"/>
    <mergeCell ref="AY654:AY655"/>
    <mergeCell ref="AZ654:AZ655"/>
    <mergeCell ref="BA654:BA655"/>
    <mergeCell ref="AV656:AV657"/>
    <mergeCell ref="AW656:AW657"/>
    <mergeCell ref="AX656:AX657"/>
    <mergeCell ref="AY656:AY657"/>
    <mergeCell ref="AZ656:AZ657"/>
    <mergeCell ref="BA656:BA657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662:AV663"/>
    <mergeCell ref="AW662:AW663"/>
    <mergeCell ref="AX662:AX663"/>
    <mergeCell ref="AY662:AY663"/>
    <mergeCell ref="AZ662:AZ663"/>
    <mergeCell ref="BA662:BA663"/>
    <mergeCell ref="AV664:AV665"/>
    <mergeCell ref="AW664:AW665"/>
    <mergeCell ref="AX664:AX665"/>
    <mergeCell ref="AY664:AY665"/>
    <mergeCell ref="AZ664:AZ665"/>
    <mergeCell ref="BA664:BA665"/>
    <mergeCell ref="AV666:AV667"/>
    <mergeCell ref="AW666:AW667"/>
    <mergeCell ref="AX666:AX667"/>
    <mergeCell ref="AY666:AY667"/>
    <mergeCell ref="AZ666:AZ667"/>
    <mergeCell ref="BA666:BA667"/>
    <mergeCell ref="AV668:AV669"/>
    <mergeCell ref="AW668:AW669"/>
    <mergeCell ref="AX668:AX669"/>
    <mergeCell ref="AY668:AY669"/>
    <mergeCell ref="AZ668:AZ669"/>
    <mergeCell ref="BA668:BA669"/>
    <mergeCell ref="AV670:AV671"/>
    <mergeCell ref="AW670:AW671"/>
    <mergeCell ref="AX670:AX671"/>
    <mergeCell ref="AY670:AY671"/>
    <mergeCell ref="AZ670:AZ671"/>
    <mergeCell ref="BA670:BA671"/>
    <mergeCell ref="AV672:AV673"/>
    <mergeCell ref="AW672:AW673"/>
    <mergeCell ref="AX672:AX673"/>
    <mergeCell ref="AY672:AY673"/>
    <mergeCell ref="AZ672:AZ673"/>
    <mergeCell ref="BA672:BA673"/>
    <mergeCell ref="AV674:AV675"/>
    <mergeCell ref="AW674:AW675"/>
    <mergeCell ref="AX674:AX675"/>
    <mergeCell ref="AY674:AY675"/>
    <mergeCell ref="AZ674:AZ675"/>
    <mergeCell ref="BA674:BA675"/>
    <mergeCell ref="AV676:AV677"/>
    <mergeCell ref="AW676:AW677"/>
    <mergeCell ref="AX676:AX677"/>
    <mergeCell ref="AY676:AY677"/>
    <mergeCell ref="AZ676:AZ677"/>
    <mergeCell ref="BA676:BA677"/>
    <mergeCell ref="AV678:AV679"/>
    <mergeCell ref="AW678:AW679"/>
    <mergeCell ref="AX678:AX679"/>
    <mergeCell ref="AY678:AY679"/>
    <mergeCell ref="AZ678:AZ679"/>
    <mergeCell ref="BA678:BA679"/>
    <mergeCell ref="AV680:AV681"/>
    <mergeCell ref="AW680:AW681"/>
    <mergeCell ref="AX680:AX681"/>
    <mergeCell ref="AY680:AY681"/>
    <mergeCell ref="AZ680:AZ681"/>
    <mergeCell ref="BA680:BA681"/>
    <mergeCell ref="AV682:AV683"/>
    <mergeCell ref="AW682:AW683"/>
    <mergeCell ref="AX682:AX683"/>
    <mergeCell ref="AY682:AY683"/>
    <mergeCell ref="AZ682:AZ683"/>
    <mergeCell ref="BA682:BA683"/>
    <mergeCell ref="AV684:AV685"/>
    <mergeCell ref="AW684:AW685"/>
    <mergeCell ref="AX684:AX685"/>
    <mergeCell ref="AY684:AY685"/>
    <mergeCell ref="AZ684:AZ685"/>
    <mergeCell ref="BA684:BA685"/>
    <mergeCell ref="AV686:AV687"/>
    <mergeCell ref="AW686:AW687"/>
    <mergeCell ref="AX686:AX687"/>
    <mergeCell ref="AY686:AY687"/>
    <mergeCell ref="AZ686:AZ687"/>
    <mergeCell ref="BA686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2:AV693"/>
    <mergeCell ref="AW692:AW693"/>
    <mergeCell ref="AX692:AX693"/>
    <mergeCell ref="AY692:AY693"/>
    <mergeCell ref="AZ692:AZ693"/>
    <mergeCell ref="BA692:BA693"/>
    <mergeCell ref="AV694:AV695"/>
    <mergeCell ref="AW694:AW695"/>
    <mergeCell ref="AX694:AX695"/>
    <mergeCell ref="AY694:AY695"/>
    <mergeCell ref="AZ694:AZ695"/>
    <mergeCell ref="BA694:BA695"/>
    <mergeCell ref="AV696:AV697"/>
    <mergeCell ref="AW696:AW697"/>
    <mergeCell ref="AX696:AX697"/>
    <mergeCell ref="AY696:AY697"/>
    <mergeCell ref="AZ696:AZ697"/>
    <mergeCell ref="BA696:BA697"/>
    <mergeCell ref="AV698:AV699"/>
    <mergeCell ref="AW698:AW699"/>
    <mergeCell ref="AX698:AX699"/>
    <mergeCell ref="AY698:AY699"/>
    <mergeCell ref="AZ698:AZ699"/>
    <mergeCell ref="BA698:BA699"/>
    <mergeCell ref="AV700:AV701"/>
    <mergeCell ref="AW700:AW701"/>
    <mergeCell ref="AX700:AX701"/>
    <mergeCell ref="AY700:AY701"/>
    <mergeCell ref="AZ700:AZ701"/>
    <mergeCell ref="BA700:BA701"/>
    <mergeCell ref="AV702:AV703"/>
    <mergeCell ref="AW702:AW703"/>
    <mergeCell ref="AX702:AX703"/>
    <mergeCell ref="AY702:AY703"/>
    <mergeCell ref="AZ702:AZ703"/>
    <mergeCell ref="BA702:BA703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08:AV710"/>
    <mergeCell ref="AW708:AW710"/>
    <mergeCell ref="AX708:AX710"/>
    <mergeCell ref="AY708:AY710"/>
    <mergeCell ref="AZ708:AZ710"/>
    <mergeCell ref="BA708:BA710"/>
    <mergeCell ref="AV711:AV712"/>
    <mergeCell ref="AW711:AW712"/>
    <mergeCell ref="AX711:AX712"/>
    <mergeCell ref="AY711:AY712"/>
    <mergeCell ref="AZ711:AZ712"/>
    <mergeCell ref="BA711:BA712"/>
    <mergeCell ref="BI711:BI712"/>
    <mergeCell ref="AV713:AV714"/>
    <mergeCell ref="AW713:AW714"/>
    <mergeCell ref="AX713:AX714"/>
    <mergeCell ref="AY713:AY714"/>
    <mergeCell ref="AZ713:AZ714"/>
    <mergeCell ref="BA713:BA714"/>
    <mergeCell ref="BI713:BI714"/>
    <mergeCell ref="AV715:AV716"/>
    <mergeCell ref="AW715:AW716"/>
    <mergeCell ref="AX715:AX716"/>
    <mergeCell ref="AY715:AY716"/>
    <mergeCell ref="AZ715:AZ716"/>
    <mergeCell ref="BA715:BA716"/>
    <mergeCell ref="BI715:BI716"/>
    <mergeCell ref="AV717:AV718"/>
    <mergeCell ref="AW717:AW718"/>
    <mergeCell ref="AX717:AX718"/>
    <mergeCell ref="AY717:AY718"/>
    <mergeCell ref="AZ717:AZ718"/>
    <mergeCell ref="BA717:BA718"/>
    <mergeCell ref="BI717:BI718"/>
    <mergeCell ref="AV719:AV720"/>
    <mergeCell ref="AW719:AW720"/>
    <mergeCell ref="AX719:AX720"/>
    <mergeCell ref="AY719:AY720"/>
    <mergeCell ref="AZ719:AZ720"/>
    <mergeCell ref="BA719:BA720"/>
    <mergeCell ref="BI719:BI720"/>
    <mergeCell ref="AV721:AV722"/>
    <mergeCell ref="AW721:AW722"/>
    <mergeCell ref="AX721:AX722"/>
    <mergeCell ref="AY721:AY722"/>
    <mergeCell ref="AZ721:AZ722"/>
    <mergeCell ref="BA721:BA722"/>
    <mergeCell ref="BI721:BI722"/>
    <mergeCell ref="AV723:AV725"/>
    <mergeCell ref="AW723:AW725"/>
    <mergeCell ref="AX723:AX725"/>
    <mergeCell ref="AY723:AY725"/>
    <mergeCell ref="AZ723:AZ725"/>
    <mergeCell ref="BA723:BA725"/>
    <mergeCell ref="BI723:BI725"/>
    <mergeCell ref="AV726:AV728"/>
    <mergeCell ref="AW726:AW728"/>
    <mergeCell ref="AX726:AX728"/>
    <mergeCell ref="AY726:AY728"/>
    <mergeCell ref="AZ726:AZ728"/>
    <mergeCell ref="BA726:BA728"/>
    <mergeCell ref="BI726:BI728"/>
    <mergeCell ref="AV729:AV731"/>
    <mergeCell ref="AW729:AW731"/>
    <mergeCell ref="AX729:AX731"/>
    <mergeCell ref="AY729:AY731"/>
    <mergeCell ref="AZ729:AZ731"/>
    <mergeCell ref="BA729:BA731"/>
    <mergeCell ref="BI729:BI731"/>
    <mergeCell ref="AV732:AV733"/>
    <mergeCell ref="AW732:AW733"/>
    <mergeCell ref="AX732:AX733"/>
    <mergeCell ref="AY732:AY733"/>
    <mergeCell ref="AZ732:AZ733"/>
    <mergeCell ref="BA732:BA733"/>
    <mergeCell ref="BI732:BI733"/>
    <mergeCell ref="AV734:AV735"/>
    <mergeCell ref="AW734:AW735"/>
    <mergeCell ref="AX734:AX735"/>
    <mergeCell ref="AY734:AY735"/>
    <mergeCell ref="AZ734:AZ735"/>
    <mergeCell ref="BA734:BA735"/>
    <mergeCell ref="BI734:BI735"/>
    <mergeCell ref="AV736:AV737"/>
    <mergeCell ref="AW736:AW737"/>
    <mergeCell ref="AX736:AX737"/>
    <mergeCell ref="AY736:AY737"/>
    <mergeCell ref="AZ736:AZ737"/>
    <mergeCell ref="BA736:BA737"/>
    <mergeCell ref="BI736:BI737"/>
    <mergeCell ref="AV738:AV740"/>
    <mergeCell ref="AW738:AW740"/>
    <mergeCell ref="AX738:AX740"/>
    <mergeCell ref="AY738:AY740"/>
    <mergeCell ref="AZ738:AZ740"/>
    <mergeCell ref="BA738:BA740"/>
    <mergeCell ref="BI738:BI740"/>
    <mergeCell ref="AV741:AV743"/>
    <mergeCell ref="AW741:AW743"/>
    <mergeCell ref="AX741:AX743"/>
    <mergeCell ref="AY741:AY743"/>
    <mergeCell ref="AZ741:AZ743"/>
    <mergeCell ref="BA741:BA743"/>
    <mergeCell ref="BI741:BI743"/>
    <mergeCell ref="AV744:AV746"/>
    <mergeCell ref="AW744:AW746"/>
    <mergeCell ref="AX744:AX746"/>
    <mergeCell ref="AY744:AY746"/>
    <mergeCell ref="AZ744:AZ746"/>
    <mergeCell ref="BA744:BA746"/>
    <mergeCell ref="BI744:BI746"/>
    <mergeCell ref="AV747:AV748"/>
    <mergeCell ref="AW747:AW748"/>
    <mergeCell ref="AX747:AX748"/>
    <mergeCell ref="AY747:AY748"/>
    <mergeCell ref="AZ747:AZ748"/>
    <mergeCell ref="BA747:BA748"/>
    <mergeCell ref="BI747:BI748"/>
    <mergeCell ref="AV749:AV751"/>
    <mergeCell ref="AW749:AW751"/>
    <mergeCell ref="AX749:AX751"/>
    <mergeCell ref="AY749:AY751"/>
    <mergeCell ref="AZ749:AZ751"/>
    <mergeCell ref="BA749:BA751"/>
    <mergeCell ref="BI749:BI751"/>
    <mergeCell ref="AV752:AV753"/>
    <mergeCell ref="AW752:AW753"/>
    <mergeCell ref="AX752:AX753"/>
    <mergeCell ref="AY752:AY753"/>
    <mergeCell ref="AZ752:AZ753"/>
    <mergeCell ref="BA752:BA753"/>
    <mergeCell ref="BI752:BI753"/>
    <mergeCell ref="AV754:AV755"/>
    <mergeCell ref="AW754:AW755"/>
    <mergeCell ref="AX754:AX755"/>
    <mergeCell ref="AY754:AY755"/>
    <mergeCell ref="AZ754:AZ755"/>
    <mergeCell ref="BA754:BA755"/>
    <mergeCell ref="BI754:BI755"/>
    <mergeCell ref="AV756:AV758"/>
    <mergeCell ref="AW756:AW758"/>
    <mergeCell ref="AX756:AX758"/>
    <mergeCell ref="AY756:AY758"/>
    <mergeCell ref="AZ756:AZ758"/>
    <mergeCell ref="BA756:BA758"/>
    <mergeCell ref="BI756:BI758"/>
    <mergeCell ref="AV759:AV760"/>
    <mergeCell ref="AW759:AW760"/>
    <mergeCell ref="AX759:AX760"/>
    <mergeCell ref="AY759:AY760"/>
    <mergeCell ref="AZ759:AZ760"/>
    <mergeCell ref="BA759:BA760"/>
    <mergeCell ref="BI759:BI760"/>
    <mergeCell ref="AV761:AV762"/>
    <mergeCell ref="AW761:AW762"/>
    <mergeCell ref="AX761:AX762"/>
    <mergeCell ref="AY761:AY762"/>
    <mergeCell ref="AZ761:AZ762"/>
    <mergeCell ref="BA761:BA762"/>
    <mergeCell ref="BI761:BI762"/>
    <mergeCell ref="AV763:AV764"/>
    <mergeCell ref="AW763:AW764"/>
    <mergeCell ref="AX763:AX764"/>
    <mergeCell ref="AY763:AY764"/>
    <mergeCell ref="AZ763:AZ764"/>
    <mergeCell ref="BA763:BA764"/>
    <mergeCell ref="BI763:BI764"/>
    <mergeCell ref="AV765:AV766"/>
    <mergeCell ref="AW765:AW766"/>
    <mergeCell ref="AX765:AX766"/>
    <mergeCell ref="AY765:AY766"/>
    <mergeCell ref="AZ765:AZ766"/>
    <mergeCell ref="BA765:BA766"/>
    <mergeCell ref="BI765:BI766"/>
    <mergeCell ref="AV767:AV769"/>
    <mergeCell ref="AW767:AW769"/>
    <mergeCell ref="AX767:AX769"/>
    <mergeCell ref="AY767:AY769"/>
    <mergeCell ref="AZ767:AZ769"/>
    <mergeCell ref="BA767:BA769"/>
    <mergeCell ref="BI767:BI769"/>
    <mergeCell ref="AV770:AV772"/>
    <mergeCell ref="AW770:AW772"/>
    <mergeCell ref="AX770:AX772"/>
    <mergeCell ref="AY770:AY772"/>
    <mergeCell ref="AZ770:AZ772"/>
    <mergeCell ref="BA770:BA772"/>
    <mergeCell ref="BI770:BI772"/>
    <mergeCell ref="AV773:AV775"/>
    <mergeCell ref="AW773:AW775"/>
    <mergeCell ref="AX773:AX775"/>
    <mergeCell ref="AY773:AY775"/>
    <mergeCell ref="AZ773:AZ775"/>
    <mergeCell ref="BA773:BA775"/>
    <mergeCell ref="BI773:BI775"/>
    <mergeCell ref="AV776:AV778"/>
    <mergeCell ref="AW776:AW778"/>
    <mergeCell ref="AX776:AX778"/>
    <mergeCell ref="AY776:AY778"/>
    <mergeCell ref="AZ776:AZ778"/>
    <mergeCell ref="BA776:BA778"/>
    <mergeCell ref="BI776:BI778"/>
    <mergeCell ref="AV779:AV781"/>
    <mergeCell ref="AW779:AW781"/>
    <mergeCell ref="AX779:AX781"/>
    <mergeCell ref="AY779:AY781"/>
    <mergeCell ref="AZ779:AZ781"/>
    <mergeCell ref="BA779:BA781"/>
    <mergeCell ref="BI779:BI781"/>
    <mergeCell ref="AV782:AV783"/>
    <mergeCell ref="AW782:AW783"/>
    <mergeCell ref="AX782:AX783"/>
    <mergeCell ref="AY782:AY783"/>
    <mergeCell ref="AZ782:AZ783"/>
    <mergeCell ref="BA782:BA783"/>
    <mergeCell ref="BI782:BI783"/>
    <mergeCell ref="AV784:AV785"/>
    <mergeCell ref="AW784:AW785"/>
    <mergeCell ref="AX784:AX785"/>
    <mergeCell ref="AY784:AY785"/>
    <mergeCell ref="AZ784:AZ785"/>
    <mergeCell ref="BA784:BA785"/>
    <mergeCell ref="BI784:BI785"/>
    <mergeCell ref="AV786:AV787"/>
    <mergeCell ref="AW786:AW787"/>
    <mergeCell ref="AX786:AX787"/>
    <mergeCell ref="AY786:AY787"/>
    <mergeCell ref="AZ786:AZ787"/>
    <mergeCell ref="BA786:BA787"/>
    <mergeCell ref="AV789:AV790"/>
    <mergeCell ref="AW789:AW790"/>
    <mergeCell ref="AX789:AX790"/>
    <mergeCell ref="AY789:AY790"/>
    <mergeCell ref="AZ789:AZ790"/>
    <mergeCell ref="BA789:BA790"/>
    <mergeCell ref="AV791:AV792"/>
    <mergeCell ref="AW791:AW792"/>
    <mergeCell ref="AX791:AX792"/>
    <mergeCell ref="AY791:AY792"/>
    <mergeCell ref="AZ791:AZ792"/>
    <mergeCell ref="BA791:BA792"/>
    <mergeCell ref="AV793:AV794"/>
    <mergeCell ref="AW793:AW794"/>
    <mergeCell ref="AX793:AX794"/>
    <mergeCell ref="AY793:AY794"/>
    <mergeCell ref="AZ793:AZ794"/>
    <mergeCell ref="BA793:BA794"/>
    <mergeCell ref="AV795:AV796"/>
    <mergeCell ref="AW795:AW796"/>
    <mergeCell ref="AX795:AX796"/>
    <mergeCell ref="AY795:AY796"/>
    <mergeCell ref="AZ795:AZ796"/>
    <mergeCell ref="BA795:BA796"/>
    <mergeCell ref="AV797:AV798"/>
    <mergeCell ref="AW797:AW798"/>
    <mergeCell ref="AX797:AX798"/>
    <mergeCell ref="AY797:AY798"/>
    <mergeCell ref="AZ797:AZ798"/>
    <mergeCell ref="BA797:BA798"/>
    <mergeCell ref="AV799:AV800"/>
    <mergeCell ref="AW799:AW800"/>
    <mergeCell ref="AX799:AX800"/>
    <mergeCell ref="AY799:AY800"/>
    <mergeCell ref="AZ799:AZ800"/>
    <mergeCell ref="BA799:BA800"/>
    <mergeCell ref="AV801:AV802"/>
    <mergeCell ref="AW801:AW802"/>
    <mergeCell ref="AX801:AX802"/>
    <mergeCell ref="AY801:AY802"/>
    <mergeCell ref="AZ801:AZ802"/>
    <mergeCell ref="BA801:BA802"/>
    <mergeCell ref="AV803:AV804"/>
    <mergeCell ref="AW803:AW804"/>
    <mergeCell ref="AX803:AX804"/>
    <mergeCell ref="AY803:AY804"/>
    <mergeCell ref="AZ803:AZ804"/>
    <mergeCell ref="BA803:BA804"/>
    <mergeCell ref="AV805:AV806"/>
    <mergeCell ref="AW805:AW806"/>
    <mergeCell ref="AX805:AX806"/>
    <mergeCell ref="AY805:AY806"/>
    <mergeCell ref="AZ805:AZ806"/>
    <mergeCell ref="BA805:BA806"/>
    <mergeCell ref="AV807:AV808"/>
    <mergeCell ref="AW807:AW808"/>
    <mergeCell ref="AX807:AX808"/>
    <mergeCell ref="AY807:AY808"/>
    <mergeCell ref="AZ807:AZ808"/>
    <mergeCell ref="BA807:BA808"/>
    <mergeCell ref="AV809:AV810"/>
    <mergeCell ref="AW809:AW810"/>
    <mergeCell ref="AX809:AX810"/>
    <mergeCell ref="AY809:AY810"/>
    <mergeCell ref="AZ809:AZ810"/>
    <mergeCell ref="BA809:BA810"/>
    <mergeCell ref="AV811:AV812"/>
    <mergeCell ref="AW811:AW812"/>
    <mergeCell ref="AX811:AX812"/>
    <mergeCell ref="AY811:AY812"/>
    <mergeCell ref="AZ811:AZ812"/>
    <mergeCell ref="BA811:BA812"/>
    <mergeCell ref="AV813:AV814"/>
    <mergeCell ref="AW813:AW814"/>
    <mergeCell ref="AX813:AX814"/>
    <mergeCell ref="AY813:AY814"/>
    <mergeCell ref="AZ813:AZ814"/>
    <mergeCell ref="BA813:BA814"/>
    <mergeCell ref="AV815:AV816"/>
    <mergeCell ref="AW815:AW816"/>
    <mergeCell ref="AX815:AX816"/>
    <mergeCell ref="AY815:AY816"/>
    <mergeCell ref="AZ815:AZ816"/>
    <mergeCell ref="BA815:BA816"/>
    <mergeCell ref="BI815:BI816"/>
    <mergeCell ref="AV817:AV818"/>
    <mergeCell ref="AW817:AW818"/>
    <mergeCell ref="AX817:AX818"/>
    <mergeCell ref="AY817:AY818"/>
    <mergeCell ref="AZ817:AZ818"/>
    <mergeCell ref="BA817:BA818"/>
    <mergeCell ref="BI817:BI818"/>
    <mergeCell ref="AV819:AV820"/>
    <mergeCell ref="AW819:AW820"/>
    <mergeCell ref="AX819:AX820"/>
    <mergeCell ref="AY819:AY820"/>
    <mergeCell ref="AZ819:AZ820"/>
    <mergeCell ref="BA819:BA820"/>
    <mergeCell ref="BI819:BI820"/>
    <mergeCell ref="AV821:AV822"/>
    <mergeCell ref="AW821:AW822"/>
    <mergeCell ref="AX821:AX822"/>
    <mergeCell ref="AY821:AY822"/>
    <mergeCell ref="AZ821:AZ822"/>
    <mergeCell ref="BA821:BA822"/>
    <mergeCell ref="BI821:BI822"/>
    <mergeCell ref="AV823:AV824"/>
    <mergeCell ref="AW823:AW824"/>
    <mergeCell ref="AX823:AX824"/>
    <mergeCell ref="AY823:AY824"/>
    <mergeCell ref="AZ823:AZ824"/>
    <mergeCell ref="BA823:BA824"/>
    <mergeCell ref="AV825:AV826"/>
    <mergeCell ref="AW825:AW826"/>
    <mergeCell ref="AX825:AX826"/>
    <mergeCell ref="AY825:AY826"/>
    <mergeCell ref="AZ825:AZ826"/>
    <mergeCell ref="BA825:BA826"/>
    <mergeCell ref="AV853:AV854"/>
    <mergeCell ref="AW853:AW854"/>
    <mergeCell ref="AX853:AX854"/>
    <mergeCell ref="AY853:AY854"/>
    <mergeCell ref="AZ853:AZ854"/>
    <mergeCell ref="BA853:BA854"/>
    <mergeCell ref="AV855:AV856"/>
    <mergeCell ref="AW855:AW856"/>
    <mergeCell ref="AX855:AX856"/>
    <mergeCell ref="AY855:AY856"/>
    <mergeCell ref="AZ855:AZ856"/>
    <mergeCell ref="BA855:BA856"/>
    <mergeCell ref="AV857:AV858"/>
    <mergeCell ref="AW857:AW858"/>
    <mergeCell ref="AX857:AX858"/>
    <mergeCell ref="AY857:AY858"/>
    <mergeCell ref="AZ857:AZ858"/>
    <mergeCell ref="BA857:BA858"/>
    <mergeCell ref="AV859:AV860"/>
    <mergeCell ref="AW859:AW860"/>
    <mergeCell ref="AX859:AX860"/>
    <mergeCell ref="AY859:AY860"/>
    <mergeCell ref="AZ859:AZ860"/>
    <mergeCell ref="BA859:BA860"/>
    <mergeCell ref="BI859:BI860"/>
    <mergeCell ref="AV861:AV862"/>
    <mergeCell ref="AW861:AW862"/>
    <mergeCell ref="AX861:AX862"/>
    <mergeCell ref="AY861:AY862"/>
    <mergeCell ref="AZ861:AZ862"/>
    <mergeCell ref="BA861:BA862"/>
    <mergeCell ref="BI861:BI862"/>
    <mergeCell ref="AV863:AV864"/>
    <mergeCell ref="AW863:AW864"/>
    <mergeCell ref="AX863:AX864"/>
    <mergeCell ref="AY863:AY864"/>
    <mergeCell ref="AZ863:AZ864"/>
    <mergeCell ref="BA863:BA864"/>
    <mergeCell ref="BI863:BI864"/>
    <mergeCell ref="AV865:AV866"/>
    <mergeCell ref="AW865:AW866"/>
    <mergeCell ref="AX865:AX866"/>
    <mergeCell ref="AY865:AY866"/>
    <mergeCell ref="AZ865:AZ866"/>
    <mergeCell ref="BA865:BA866"/>
    <mergeCell ref="BI865:BI866"/>
    <mergeCell ref="AV867:AV868"/>
    <mergeCell ref="AW867:AW868"/>
    <mergeCell ref="AX867:AX868"/>
    <mergeCell ref="AY867:AY868"/>
    <mergeCell ref="AZ867:AZ868"/>
    <mergeCell ref="BA867:BA868"/>
    <mergeCell ref="BI867:BI868"/>
    <mergeCell ref="AV869:AV870"/>
    <mergeCell ref="AW869:AW870"/>
    <mergeCell ref="AX869:AX870"/>
    <mergeCell ref="AY869:AY870"/>
    <mergeCell ref="AZ869:AZ870"/>
    <mergeCell ref="BA869:BA870"/>
    <mergeCell ref="AV871:AV872"/>
    <mergeCell ref="AW871:AW872"/>
    <mergeCell ref="AX871:AX872"/>
    <mergeCell ref="AY871:AY872"/>
    <mergeCell ref="AZ871:AZ872"/>
    <mergeCell ref="BA871:BA872"/>
    <mergeCell ref="AV873:AV874"/>
    <mergeCell ref="AW873:AW874"/>
    <mergeCell ref="AX873:AX874"/>
    <mergeCell ref="AY873:AY874"/>
    <mergeCell ref="AZ873:AZ874"/>
    <mergeCell ref="BA873:BA874"/>
    <mergeCell ref="AV875:AV876"/>
    <mergeCell ref="AW875:AW876"/>
    <mergeCell ref="AX875:AX876"/>
    <mergeCell ref="AY875:AY876"/>
    <mergeCell ref="AZ875:AZ876"/>
    <mergeCell ref="BA875:BA876"/>
    <mergeCell ref="AV877:AV878"/>
    <mergeCell ref="AW877:AW878"/>
    <mergeCell ref="AX877:AX878"/>
    <mergeCell ref="AY877:AY878"/>
    <mergeCell ref="AZ877:AZ878"/>
    <mergeCell ref="BA877:BA878"/>
    <mergeCell ref="AV879:AV881"/>
    <mergeCell ref="AW879:AW881"/>
    <mergeCell ref="AX879:AX881"/>
    <mergeCell ref="AY879:AY881"/>
    <mergeCell ref="AZ879:AZ881"/>
    <mergeCell ref="BA879:BA881"/>
    <mergeCell ref="AV882:AV883"/>
    <mergeCell ref="AW882:AW883"/>
    <mergeCell ref="AX882:AX883"/>
    <mergeCell ref="AY882:AY883"/>
    <mergeCell ref="AZ882:AZ883"/>
    <mergeCell ref="BA882:BA883"/>
    <mergeCell ref="AV884:AV885"/>
    <mergeCell ref="AW884:AW885"/>
    <mergeCell ref="AX884:AX885"/>
    <mergeCell ref="AY884:AY885"/>
    <mergeCell ref="AZ884:AZ885"/>
    <mergeCell ref="BA884:BA885"/>
    <mergeCell ref="AV886:AV887"/>
    <mergeCell ref="AW886:AW887"/>
    <mergeCell ref="AX886:AX887"/>
    <mergeCell ref="AY886:AY887"/>
    <mergeCell ref="AZ886:AZ887"/>
    <mergeCell ref="BA886:BA887"/>
    <mergeCell ref="AV888:AV889"/>
    <mergeCell ref="AW888:AW889"/>
    <mergeCell ref="AX888:AX889"/>
    <mergeCell ref="AY888:AY889"/>
    <mergeCell ref="AZ888:AZ889"/>
    <mergeCell ref="BA888:BA889"/>
    <mergeCell ref="AV890:AV891"/>
    <mergeCell ref="AW890:AW891"/>
    <mergeCell ref="AX890:AX891"/>
    <mergeCell ref="AY890:AY891"/>
    <mergeCell ref="AZ890:AZ891"/>
    <mergeCell ref="BA890:BA891"/>
    <mergeCell ref="AV892:AV894"/>
    <mergeCell ref="AW892:AW894"/>
    <mergeCell ref="AX892:AX894"/>
    <mergeCell ref="AY892:AY894"/>
    <mergeCell ref="AZ892:AZ894"/>
    <mergeCell ref="BA892:BA894"/>
    <mergeCell ref="AV895:AV896"/>
    <mergeCell ref="AW895:AW896"/>
    <mergeCell ref="AX895:AX896"/>
    <mergeCell ref="AY895:AY896"/>
    <mergeCell ref="AZ895:AZ896"/>
    <mergeCell ref="BA895:BA896"/>
    <mergeCell ref="AV897:AV898"/>
    <mergeCell ref="AW897:AW898"/>
    <mergeCell ref="AX897:AX898"/>
    <mergeCell ref="AY897:AY898"/>
    <mergeCell ref="AZ897:AZ898"/>
    <mergeCell ref="BA897:BA898"/>
    <mergeCell ref="AV900:AV901"/>
    <mergeCell ref="AW900:AW901"/>
    <mergeCell ref="AX900:AX901"/>
    <mergeCell ref="AY900:AY901"/>
    <mergeCell ref="AZ900:AZ901"/>
    <mergeCell ref="BA900:BA901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BI906:BI907"/>
    <mergeCell ref="AV908:AV909"/>
    <mergeCell ref="AW908:AW909"/>
    <mergeCell ref="AX908:AX909"/>
    <mergeCell ref="AY908:AY909"/>
    <mergeCell ref="AZ908:AZ909"/>
    <mergeCell ref="BA908:BA909"/>
    <mergeCell ref="BI908:BI909"/>
    <mergeCell ref="AV910:AV911"/>
    <mergeCell ref="AW910:AW911"/>
    <mergeCell ref="AX910:AX911"/>
    <mergeCell ref="AY910:AY911"/>
    <mergeCell ref="AZ910:AZ911"/>
    <mergeCell ref="BA910:BA911"/>
    <mergeCell ref="AV912:AV913"/>
    <mergeCell ref="AW912:AW913"/>
    <mergeCell ref="AX912:AX913"/>
    <mergeCell ref="AY912:AY913"/>
    <mergeCell ref="AZ912:AZ913"/>
    <mergeCell ref="BA912:BA913"/>
    <mergeCell ref="AV914:AV915"/>
    <mergeCell ref="AW914:AW915"/>
    <mergeCell ref="AX914:AX915"/>
    <mergeCell ref="AY914:AY915"/>
    <mergeCell ref="AZ914:AZ915"/>
    <mergeCell ref="BA914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26:AV927"/>
    <mergeCell ref="AW926:AW927"/>
    <mergeCell ref="AX926:AX927"/>
    <mergeCell ref="AY926:AY927"/>
    <mergeCell ref="AZ926:AZ927"/>
    <mergeCell ref="BA926:BA927"/>
    <mergeCell ref="AV928:AV929"/>
    <mergeCell ref="AW928:AW929"/>
    <mergeCell ref="AX928:AX929"/>
    <mergeCell ref="AY928:AY929"/>
    <mergeCell ref="AZ928:AZ929"/>
    <mergeCell ref="BA928:BA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6:AV937"/>
    <mergeCell ref="AW936:AW937"/>
    <mergeCell ref="AX936:AX937"/>
    <mergeCell ref="AY936:AY937"/>
    <mergeCell ref="AZ936:AZ937"/>
    <mergeCell ref="BA936:BA937"/>
    <mergeCell ref="AV938:AV939"/>
    <mergeCell ref="AW938:AW939"/>
    <mergeCell ref="AX938:AX939"/>
    <mergeCell ref="AY938:AY939"/>
    <mergeCell ref="AZ938:AZ939"/>
    <mergeCell ref="BA938:BA939"/>
    <mergeCell ref="AV940:AV941"/>
    <mergeCell ref="AW940:AW941"/>
    <mergeCell ref="AX940:AX941"/>
    <mergeCell ref="AY940:AY941"/>
    <mergeCell ref="AZ940:AZ941"/>
    <mergeCell ref="BA940:BA941"/>
    <mergeCell ref="AV942:AV943"/>
    <mergeCell ref="AW942:AW943"/>
    <mergeCell ref="AX942:AX943"/>
    <mergeCell ref="AY942:AY943"/>
    <mergeCell ref="AZ942:AZ943"/>
    <mergeCell ref="BA942:BA943"/>
    <mergeCell ref="AV944:AV945"/>
    <mergeCell ref="AW944:AW945"/>
    <mergeCell ref="AX944:AX945"/>
    <mergeCell ref="AY944:AY945"/>
    <mergeCell ref="AZ944:AZ945"/>
    <mergeCell ref="BA944:BA945"/>
    <mergeCell ref="AV946:AV947"/>
    <mergeCell ref="AW946:AW947"/>
    <mergeCell ref="AX946:AX947"/>
    <mergeCell ref="AY946:AY947"/>
    <mergeCell ref="AZ946:AZ947"/>
    <mergeCell ref="BA946:BA947"/>
    <mergeCell ref="AV949:AV950"/>
    <mergeCell ref="AW949:AW950"/>
    <mergeCell ref="AX949:AX950"/>
    <mergeCell ref="AY949:AY950"/>
    <mergeCell ref="AZ949:AZ950"/>
    <mergeCell ref="BA949:BA950"/>
    <mergeCell ref="AV951:AV952"/>
    <mergeCell ref="AW951:AW952"/>
    <mergeCell ref="AX951:AX952"/>
    <mergeCell ref="AY951:AY952"/>
    <mergeCell ref="AZ951:AZ952"/>
    <mergeCell ref="BA951:BA952"/>
    <mergeCell ref="AV953:AV954"/>
    <mergeCell ref="AW953:AW954"/>
    <mergeCell ref="AX953:AX954"/>
    <mergeCell ref="AY953:AY954"/>
    <mergeCell ref="AZ953:AZ954"/>
    <mergeCell ref="BA953:BA954"/>
    <mergeCell ref="AV955:AV956"/>
    <mergeCell ref="AW955:AW956"/>
    <mergeCell ref="AX955:AX956"/>
    <mergeCell ref="AY955:AY956"/>
    <mergeCell ref="AZ955:AZ956"/>
    <mergeCell ref="BA955:BA956"/>
    <mergeCell ref="AV957:AV958"/>
    <mergeCell ref="AW957:AW958"/>
    <mergeCell ref="AX957:AX958"/>
    <mergeCell ref="AY957:AY958"/>
    <mergeCell ref="AZ957:AZ958"/>
    <mergeCell ref="BA957:BA958"/>
    <mergeCell ref="AV959:AV960"/>
    <mergeCell ref="AW959:AW960"/>
    <mergeCell ref="AX959:AX960"/>
    <mergeCell ref="AY959:AY960"/>
    <mergeCell ref="AZ959:AZ960"/>
    <mergeCell ref="BA959:BA960"/>
    <mergeCell ref="AV961:AV962"/>
    <mergeCell ref="AW961:AW962"/>
    <mergeCell ref="AX961:AX962"/>
    <mergeCell ref="AY961:AY962"/>
    <mergeCell ref="AZ961:AZ962"/>
    <mergeCell ref="BA961:BA962"/>
    <mergeCell ref="AV963:AV964"/>
    <mergeCell ref="AW963:AW964"/>
    <mergeCell ref="AX963:AX964"/>
    <mergeCell ref="AY963:AY964"/>
    <mergeCell ref="AZ963:AZ964"/>
    <mergeCell ref="BA963:BA964"/>
    <mergeCell ref="AV965:AV966"/>
    <mergeCell ref="AW965:AW966"/>
    <mergeCell ref="AX965:AX966"/>
    <mergeCell ref="AY965:AY966"/>
    <mergeCell ref="AZ965:AZ966"/>
    <mergeCell ref="BA965:BA966"/>
    <mergeCell ref="AV967:AV968"/>
    <mergeCell ref="AW967:AW968"/>
    <mergeCell ref="AX967:AX968"/>
    <mergeCell ref="AY967:AY968"/>
    <mergeCell ref="AZ967:AZ968"/>
    <mergeCell ref="BA967:BA968"/>
    <mergeCell ref="AV969:AV970"/>
    <mergeCell ref="AW969:AW970"/>
    <mergeCell ref="AX969:AX970"/>
    <mergeCell ref="AY969:AY970"/>
    <mergeCell ref="AZ969:AZ970"/>
    <mergeCell ref="BA969:BA970"/>
    <mergeCell ref="AV971:AV972"/>
    <mergeCell ref="AW971:AW972"/>
    <mergeCell ref="AX971:AX972"/>
    <mergeCell ref="AY971:AY972"/>
    <mergeCell ref="AZ971:AZ972"/>
    <mergeCell ref="BA971:BA972"/>
    <mergeCell ref="AV973:AV974"/>
    <mergeCell ref="AW973:AW974"/>
    <mergeCell ref="AX973:AX974"/>
    <mergeCell ref="AY973:AY974"/>
    <mergeCell ref="AZ973:AZ974"/>
    <mergeCell ref="BA973:BA974"/>
    <mergeCell ref="AV992:AV994"/>
    <mergeCell ref="AW992:AW994"/>
    <mergeCell ref="AX992:AX994"/>
    <mergeCell ref="AY992:AY994"/>
    <mergeCell ref="AZ992:AZ994"/>
    <mergeCell ref="BA992:BA994"/>
    <mergeCell ref="BI992:BI994"/>
    <mergeCell ref="AV995:AV997"/>
    <mergeCell ref="AW995:AW997"/>
    <mergeCell ref="AX995:AX997"/>
    <mergeCell ref="AY995:AY997"/>
    <mergeCell ref="AZ995:AZ997"/>
    <mergeCell ref="BA995:BA997"/>
    <mergeCell ref="BI995:BI997"/>
    <mergeCell ref="AV998:AV1000"/>
    <mergeCell ref="AW998:AW1000"/>
    <mergeCell ref="AX998:AX1000"/>
    <mergeCell ref="AY998:AY1000"/>
    <mergeCell ref="AZ998:AZ1000"/>
    <mergeCell ref="BA998:BA1000"/>
    <mergeCell ref="BI998:BI1000"/>
    <mergeCell ref="AV1001:AV1003"/>
    <mergeCell ref="AW1001:AW1003"/>
    <mergeCell ref="AX1001:AX1003"/>
    <mergeCell ref="AY1001:AY1003"/>
    <mergeCell ref="AZ1001:AZ1003"/>
    <mergeCell ref="BA1001:BA1003"/>
    <mergeCell ref="BI1001:BI1003"/>
    <mergeCell ref="AV1004:AV1006"/>
    <mergeCell ref="AW1004:AW1006"/>
    <mergeCell ref="AX1004:AX1006"/>
    <mergeCell ref="AY1004:AY1006"/>
    <mergeCell ref="AZ1004:AZ1006"/>
    <mergeCell ref="BA1004:BA1006"/>
    <mergeCell ref="BI1004:BI1006"/>
    <mergeCell ref="AV1007:AV1009"/>
    <mergeCell ref="AW1007:AW1009"/>
    <mergeCell ref="AX1007:AX1009"/>
    <mergeCell ref="AY1007:AY1009"/>
    <mergeCell ref="AZ1007:AZ1009"/>
    <mergeCell ref="BA1007:BA1009"/>
    <mergeCell ref="BI1007:BI1009"/>
    <mergeCell ref="AV1010:AV1012"/>
    <mergeCell ref="AW1010:AW1012"/>
    <mergeCell ref="AX1010:AX1012"/>
    <mergeCell ref="AY1010:AY1012"/>
    <mergeCell ref="AZ1010:AZ1012"/>
    <mergeCell ref="BA1010:BA1012"/>
    <mergeCell ref="BI1010:BI1012"/>
    <mergeCell ref="AV1013:AV1015"/>
    <mergeCell ref="AW1013:AW1015"/>
    <mergeCell ref="AX1013:AX1015"/>
    <mergeCell ref="AY1013:AY1015"/>
    <mergeCell ref="AZ1013:AZ1015"/>
    <mergeCell ref="BA1013:BA1015"/>
    <mergeCell ref="BI1013:BI1015"/>
    <mergeCell ref="AV1016:AV1018"/>
    <mergeCell ref="AW1016:AW1018"/>
    <mergeCell ref="AX1016:AX1018"/>
    <mergeCell ref="AY1016:AY1018"/>
    <mergeCell ref="AZ1016:AZ1018"/>
    <mergeCell ref="BA1016:BA1018"/>
    <mergeCell ref="BI1016:BI1018"/>
    <mergeCell ref="AV1019:AV1021"/>
    <mergeCell ref="AW1019:AW1021"/>
    <mergeCell ref="AX1019:AX1021"/>
    <mergeCell ref="AY1019:AY1021"/>
    <mergeCell ref="AZ1019:AZ1021"/>
    <mergeCell ref="BA1019:BA1021"/>
    <mergeCell ref="BI1019:BI1021"/>
    <mergeCell ref="AV1022:AV1024"/>
    <mergeCell ref="AW1022:AW1024"/>
    <mergeCell ref="AX1022:AX1024"/>
    <mergeCell ref="AY1022:AY1024"/>
    <mergeCell ref="AZ1022:AZ1024"/>
    <mergeCell ref="BA1022:BA1024"/>
    <mergeCell ref="BI1022:BI1024"/>
    <mergeCell ref="AV1025:AV1027"/>
    <mergeCell ref="AW1025:AW1027"/>
    <mergeCell ref="AX1025:AX1027"/>
    <mergeCell ref="AY1025:AY1027"/>
    <mergeCell ref="AZ1025:AZ1027"/>
    <mergeCell ref="BA1025:BA1027"/>
    <mergeCell ref="BI1025:BI1027"/>
    <mergeCell ref="AV1028:AV1030"/>
    <mergeCell ref="AW1028:AW1030"/>
    <mergeCell ref="AX1028:AX1030"/>
    <mergeCell ref="AY1028:AY1030"/>
    <mergeCell ref="AZ1028:AZ1030"/>
    <mergeCell ref="BA1028:BA1030"/>
    <mergeCell ref="BI1028:BI1030"/>
    <mergeCell ref="AV1031:AV1033"/>
    <mergeCell ref="AW1031:AW1033"/>
    <mergeCell ref="AX1031:AX1033"/>
    <mergeCell ref="AY1031:AY1033"/>
    <mergeCell ref="AZ1031:AZ1033"/>
    <mergeCell ref="BA1031:BA1033"/>
    <mergeCell ref="BI1031:BI1033"/>
    <mergeCell ref="AV1035:AV1037"/>
    <mergeCell ref="AW1035:AW1037"/>
    <mergeCell ref="AX1035:AX1037"/>
    <mergeCell ref="AY1035:AY1037"/>
    <mergeCell ref="AZ1035:AZ1037"/>
    <mergeCell ref="BA1035:BA1037"/>
    <mergeCell ref="AV1038:AV1040"/>
    <mergeCell ref="AW1038:AW1040"/>
    <mergeCell ref="AX1038:AX1040"/>
    <mergeCell ref="AY1038:AY1040"/>
    <mergeCell ref="AZ1038:AZ1040"/>
    <mergeCell ref="BA1038:BA1040"/>
    <mergeCell ref="AV1041:AV1045"/>
    <mergeCell ref="AW1041:AW1045"/>
    <mergeCell ref="AX1041:AX1045"/>
    <mergeCell ref="AY1041:AY1045"/>
    <mergeCell ref="AZ1041:AZ1045"/>
    <mergeCell ref="BA1041:BA1045"/>
    <mergeCell ref="BI1041:BI1045"/>
    <mergeCell ref="AV1046:AV1050"/>
    <mergeCell ref="AW1046:AW1050"/>
    <mergeCell ref="AX1046:AX1050"/>
    <mergeCell ref="AY1046:AY1050"/>
    <mergeCell ref="AZ1046:AZ1050"/>
    <mergeCell ref="BA1046:BA1050"/>
    <mergeCell ref="BI1046:BI1050"/>
    <mergeCell ref="AV1051:AV1055"/>
    <mergeCell ref="AW1051:AW1055"/>
    <mergeCell ref="AX1051:AX1055"/>
    <mergeCell ref="AY1051:AY1055"/>
    <mergeCell ref="AZ1051:AZ1055"/>
    <mergeCell ref="BA1051:BA1055"/>
    <mergeCell ref="BI1051:BI1055"/>
    <mergeCell ref="AV1056:AV1060"/>
    <mergeCell ref="AW1056:AW1060"/>
    <mergeCell ref="AX1056:AX1060"/>
    <mergeCell ref="AY1056:AY1060"/>
    <mergeCell ref="AZ1056:AZ1060"/>
    <mergeCell ref="BA1056:BA1060"/>
    <mergeCell ref="BI1056:BI1060"/>
    <mergeCell ref="AV1061:AV1065"/>
    <mergeCell ref="AW1061:AW1065"/>
    <mergeCell ref="AX1061:AX1065"/>
    <mergeCell ref="AY1061:AY1065"/>
    <mergeCell ref="AZ1061:AZ1065"/>
    <mergeCell ref="BA1061:BA1065"/>
    <mergeCell ref="BI1061:BI1065"/>
    <mergeCell ref="AV1066:AV1071"/>
    <mergeCell ref="AW1066:AW1071"/>
    <mergeCell ref="AX1066:AX1071"/>
    <mergeCell ref="AY1066:AY1071"/>
    <mergeCell ref="AZ1066:AZ1071"/>
    <mergeCell ref="BA1066:BA1071"/>
    <mergeCell ref="BI1066:BI1071"/>
    <mergeCell ref="AV1072:AV1076"/>
    <mergeCell ref="AW1072:AW1076"/>
    <mergeCell ref="AX1072:AX1076"/>
    <mergeCell ref="AY1072:AY1076"/>
    <mergeCell ref="AZ1072:AZ1076"/>
    <mergeCell ref="BA1072:BA1076"/>
    <mergeCell ref="BI1072:BI1076"/>
    <mergeCell ref="AV1077:AV1081"/>
    <mergeCell ref="AW1077:AW1081"/>
    <mergeCell ref="AX1077:AX1081"/>
    <mergeCell ref="AY1077:AY1081"/>
    <mergeCell ref="AZ1077:AZ1081"/>
    <mergeCell ref="BA1077:BA1081"/>
    <mergeCell ref="BI1077:BI1081"/>
    <mergeCell ref="AV1082:AV1086"/>
    <mergeCell ref="AW1082:AW1086"/>
    <mergeCell ref="AX1082:AX1086"/>
    <mergeCell ref="AY1082:AY1086"/>
    <mergeCell ref="AZ1082:AZ1086"/>
    <mergeCell ref="BA1082:BA1086"/>
    <mergeCell ref="BI1082:BI1086"/>
    <mergeCell ref="AV1087:AV1091"/>
    <mergeCell ref="AW1087:AW1091"/>
    <mergeCell ref="AX1087:AX1091"/>
    <mergeCell ref="AY1087:AY1091"/>
    <mergeCell ref="AZ1087:AZ1091"/>
    <mergeCell ref="BA1087:BA1091"/>
    <mergeCell ref="BI1087:BI1091"/>
    <mergeCell ref="AV1092:AV1096"/>
    <mergeCell ref="AW1092:AW1096"/>
    <mergeCell ref="AX1092:AX1096"/>
    <mergeCell ref="AY1092:AY1096"/>
    <mergeCell ref="AZ1092:AZ1096"/>
    <mergeCell ref="BA1092:BA1096"/>
    <mergeCell ref="BI1092:BI1096"/>
    <mergeCell ref="AV1097:AV1101"/>
    <mergeCell ref="AW1097:AW1101"/>
    <mergeCell ref="AX1097:AX1101"/>
    <mergeCell ref="AY1097:AY1101"/>
    <mergeCell ref="AZ1097:AZ1101"/>
    <mergeCell ref="BA1097:BA1101"/>
    <mergeCell ref="BI1097:BI1101"/>
    <mergeCell ref="AV1102:AV1106"/>
    <mergeCell ref="AW1102:AW1106"/>
    <mergeCell ref="AX1102:AX1106"/>
    <mergeCell ref="AY1102:AY1106"/>
    <mergeCell ref="AZ1102:AZ1106"/>
    <mergeCell ref="BA1102:BA1106"/>
    <mergeCell ref="BI1102:BI1106"/>
    <mergeCell ref="AV1107:AV1111"/>
    <mergeCell ref="AW1107:AW1111"/>
    <mergeCell ref="AX1107:AX1111"/>
    <mergeCell ref="AY1107:AY1111"/>
    <mergeCell ref="AZ1107:AZ1111"/>
    <mergeCell ref="BA1107:BA1111"/>
    <mergeCell ref="BI1107:BI1111"/>
    <mergeCell ref="AV1112:AV1116"/>
    <mergeCell ref="AW1112:AW1116"/>
    <mergeCell ref="AX1112:AX1116"/>
    <mergeCell ref="AY1112:AY1116"/>
    <mergeCell ref="AZ1112:AZ1116"/>
    <mergeCell ref="BA1112:BA1116"/>
    <mergeCell ref="BI1112:BI1116"/>
    <mergeCell ref="AV1117:AV1121"/>
    <mergeCell ref="AW1117:AW1121"/>
    <mergeCell ref="AX1117:AX1121"/>
    <mergeCell ref="AY1117:AY1121"/>
    <mergeCell ref="AZ1117:AZ1121"/>
    <mergeCell ref="BA1117:BA1121"/>
    <mergeCell ref="AV1122:AV1126"/>
    <mergeCell ref="AW1122:AW1126"/>
    <mergeCell ref="AX1122:AX1126"/>
    <mergeCell ref="AY1122:AY1126"/>
    <mergeCell ref="AZ1122:AZ1126"/>
    <mergeCell ref="BA1122:BA1126"/>
    <mergeCell ref="AV1127:AV1131"/>
    <mergeCell ref="AW1127:AW1131"/>
    <mergeCell ref="AX1127:AX1131"/>
    <mergeCell ref="AY1127:AY1131"/>
    <mergeCell ref="AZ1127:AZ1131"/>
    <mergeCell ref="BA1127:BA1131"/>
    <mergeCell ref="AV1133:AV1137"/>
    <mergeCell ref="AW1133:AW1137"/>
    <mergeCell ref="AX1133:AX1137"/>
    <mergeCell ref="AY1133:AY1137"/>
    <mergeCell ref="AZ1133:AZ1137"/>
    <mergeCell ref="BA1133:BA1137"/>
    <mergeCell ref="AV1138:AV1142"/>
    <mergeCell ref="AW1138:AW1142"/>
    <mergeCell ref="AX1138:AX1142"/>
    <mergeCell ref="AY1138:AY1142"/>
    <mergeCell ref="AZ1138:AZ1142"/>
    <mergeCell ref="BA1138:BA1142"/>
    <mergeCell ref="AV1143:AV1145"/>
    <mergeCell ref="AW1143:AW1145"/>
    <mergeCell ref="AX1143:AX1145"/>
    <mergeCell ref="AY1143:AY1145"/>
    <mergeCell ref="AZ1143:AZ1145"/>
    <mergeCell ref="BA1143:BA1145"/>
    <mergeCell ref="AV1146:AV1150"/>
    <mergeCell ref="AW1146:AW1150"/>
    <mergeCell ref="AX1146:AX1150"/>
    <mergeCell ref="AY1146:AY1150"/>
    <mergeCell ref="AZ1146:AZ1150"/>
    <mergeCell ref="BA1146:BA1150"/>
    <mergeCell ref="AV1151:AV1152"/>
    <mergeCell ref="AW1151:AW1152"/>
    <mergeCell ref="AX1151:AX1152"/>
    <mergeCell ref="AY1151:AY1152"/>
    <mergeCell ref="AZ1151:AZ1152"/>
    <mergeCell ref="BA1151:BA1152"/>
    <mergeCell ref="AV1153:AV1157"/>
    <mergeCell ref="AW1153:AW1157"/>
    <mergeCell ref="AX1153:AX1157"/>
    <mergeCell ref="AY1153:AY1157"/>
    <mergeCell ref="AZ1153:AZ1157"/>
    <mergeCell ref="BA1153:BA1157"/>
    <mergeCell ref="AV1158:AV1162"/>
    <mergeCell ref="AW1158:AW1162"/>
    <mergeCell ref="AX1158:AX1162"/>
    <mergeCell ref="AY1158:AY1162"/>
    <mergeCell ref="AZ1158:AZ1162"/>
    <mergeCell ref="BA1158:BA1162"/>
    <mergeCell ref="AV1163:AV1167"/>
    <mergeCell ref="AW1163:AW1167"/>
    <mergeCell ref="AX1163:AX1167"/>
    <mergeCell ref="AY1163:AY1167"/>
    <mergeCell ref="AZ1163:AZ1167"/>
    <mergeCell ref="BA1163:BA1167"/>
    <mergeCell ref="AV1168:AV1171"/>
    <mergeCell ref="AW1168:AW1171"/>
    <mergeCell ref="AX1168:AX1171"/>
    <mergeCell ref="AY1168:AY1171"/>
    <mergeCell ref="AZ1168:AZ1171"/>
    <mergeCell ref="BA1168:BA1171"/>
    <mergeCell ref="AV1173:AV1177"/>
    <mergeCell ref="AW1173:AW1177"/>
    <mergeCell ref="AX1173:AX1177"/>
    <mergeCell ref="AY1173:AY1177"/>
    <mergeCell ref="AZ1173:AZ1177"/>
    <mergeCell ref="BA1173:BA1177"/>
    <mergeCell ref="AV1178:AV1182"/>
    <mergeCell ref="AW1178:AW1182"/>
    <mergeCell ref="AX1178:AX1182"/>
    <mergeCell ref="AY1178:AY1182"/>
    <mergeCell ref="AZ1178:AZ1182"/>
    <mergeCell ref="BA1178:BA1182"/>
    <mergeCell ref="AV1183:AV1187"/>
    <mergeCell ref="AW1183:AW1187"/>
    <mergeCell ref="AX1183:AX1187"/>
    <mergeCell ref="AY1183:AY1187"/>
    <mergeCell ref="AZ1183:AZ1187"/>
    <mergeCell ref="BA1183:BA1187"/>
    <mergeCell ref="AV1188:AV1189"/>
    <mergeCell ref="AW1188:AW1189"/>
    <mergeCell ref="AX1188:AX1189"/>
    <mergeCell ref="AY1188:AY1189"/>
    <mergeCell ref="AZ1188:AZ1189"/>
    <mergeCell ref="BA1188:BA1189"/>
    <mergeCell ref="AV1190:AV1192"/>
    <mergeCell ref="AW1190:AW1192"/>
    <mergeCell ref="AX1190:AX1192"/>
    <mergeCell ref="AY1190:AY1192"/>
    <mergeCell ref="AZ1190:AZ1192"/>
    <mergeCell ref="BA1190:BA1192"/>
    <mergeCell ref="AV1193:AV1197"/>
    <mergeCell ref="AW1193:AW1197"/>
    <mergeCell ref="AX1193:AX1197"/>
    <mergeCell ref="AY1193:AY1197"/>
    <mergeCell ref="AZ1193:AZ1197"/>
    <mergeCell ref="BA1193:BA1197"/>
    <mergeCell ref="BI1193:BI1197"/>
    <mergeCell ref="AV1198:AV1202"/>
    <mergeCell ref="AW1198:AW1202"/>
    <mergeCell ref="AX1198:AX1202"/>
    <mergeCell ref="AY1198:AY1202"/>
    <mergeCell ref="AZ1198:AZ1202"/>
    <mergeCell ref="BA1198:BA1202"/>
    <mergeCell ref="BI1198:BI1202"/>
    <mergeCell ref="AV1203:AV1207"/>
    <mergeCell ref="AW1203:AW1207"/>
    <mergeCell ref="AX1203:AX1207"/>
    <mergeCell ref="AY1203:AY1207"/>
    <mergeCell ref="AZ1203:AZ1207"/>
    <mergeCell ref="BA1203:BA1207"/>
    <mergeCell ref="AV1208:AV1212"/>
    <mergeCell ref="AW1208:AW1212"/>
    <mergeCell ref="AX1208:AX1212"/>
    <mergeCell ref="AY1208:AY1212"/>
    <mergeCell ref="AZ1208:AZ1212"/>
    <mergeCell ref="BA1208:BA1212"/>
    <mergeCell ref="AV1215:AV1216"/>
    <mergeCell ref="AW1215:AW1216"/>
    <mergeCell ref="AX1215:AX1216"/>
    <mergeCell ref="AY1215:AY1216"/>
    <mergeCell ref="AZ1215:AZ1216"/>
    <mergeCell ref="BA1215:BA1216"/>
    <mergeCell ref="BI1215:BI1216"/>
    <mergeCell ref="AV1217:AV1218"/>
    <mergeCell ref="AW1217:AW1218"/>
    <mergeCell ref="AX1217:AX1218"/>
    <mergeCell ref="AY1217:AY1218"/>
    <mergeCell ref="AZ1217:AZ1218"/>
    <mergeCell ref="BA1217:BA1218"/>
    <mergeCell ref="BI1217:BI1218"/>
    <mergeCell ref="AV1219:AV1220"/>
    <mergeCell ref="AW1219:AW1220"/>
    <mergeCell ref="AX1219:AX1220"/>
    <mergeCell ref="AY1219:AY1220"/>
    <mergeCell ref="AZ1219:AZ1220"/>
    <mergeCell ref="BA1219:BA1220"/>
    <mergeCell ref="BI1219:BI1220"/>
    <mergeCell ref="AV1221:AV1222"/>
    <mergeCell ref="AW1221:AW1222"/>
    <mergeCell ref="AX1221:AX1222"/>
    <mergeCell ref="AY1221:AY1222"/>
    <mergeCell ref="AZ1221:AZ1222"/>
    <mergeCell ref="BA1221:BA1222"/>
    <mergeCell ref="BI1221:BI1222"/>
    <mergeCell ref="AV1223:AV1224"/>
    <mergeCell ref="AW1223:AW1224"/>
    <mergeCell ref="AX1223:AX1224"/>
    <mergeCell ref="AY1223:AY1224"/>
    <mergeCell ref="AZ1223:AZ1224"/>
    <mergeCell ref="BA1223:BA1224"/>
    <mergeCell ref="BI1223:BI1224"/>
    <mergeCell ref="AV1225:AV1226"/>
    <mergeCell ref="AW1225:AW1226"/>
    <mergeCell ref="AX1225:AX1226"/>
    <mergeCell ref="AY1225:AY1226"/>
    <mergeCell ref="AZ1225:AZ1226"/>
    <mergeCell ref="BA1225:BA1226"/>
    <mergeCell ref="BI1225:BI1226"/>
    <mergeCell ref="AV1227:AV1228"/>
    <mergeCell ref="AW1227:AW1228"/>
    <mergeCell ref="AX1227:AX1228"/>
    <mergeCell ref="AY1227:AY1228"/>
    <mergeCell ref="AZ1227:AZ1228"/>
    <mergeCell ref="BA1227:BA1228"/>
    <mergeCell ref="BI1227:BI1228"/>
    <mergeCell ref="AV1229:AV1230"/>
    <mergeCell ref="AW1229:AW1230"/>
    <mergeCell ref="AX1229:AX1230"/>
    <mergeCell ref="AY1229:AY1230"/>
    <mergeCell ref="AZ1229:AZ1230"/>
    <mergeCell ref="BA1229:BA1230"/>
    <mergeCell ref="BI1229:BI1230"/>
    <mergeCell ref="AV1231:AV1233"/>
    <mergeCell ref="AW1231:AW1233"/>
    <mergeCell ref="AX1231:AX1233"/>
    <mergeCell ref="AY1231:AY1233"/>
    <mergeCell ref="AZ1231:AZ1233"/>
    <mergeCell ref="BA1231:BA1233"/>
    <mergeCell ref="BI1231:BI1233"/>
    <mergeCell ref="AV1234:AV1236"/>
    <mergeCell ref="AW1234:AW1236"/>
    <mergeCell ref="AX1234:AX1236"/>
    <mergeCell ref="AY1234:AY1236"/>
    <mergeCell ref="AZ1234:AZ1236"/>
    <mergeCell ref="BA1234:BA1236"/>
    <mergeCell ref="BI1234:BI1236"/>
    <mergeCell ref="AV1237:AV1239"/>
    <mergeCell ref="AW1237:AW1239"/>
    <mergeCell ref="AX1237:AX1239"/>
    <mergeCell ref="AY1237:AY1239"/>
    <mergeCell ref="AZ1237:AZ1239"/>
    <mergeCell ref="BA1237:BA1239"/>
    <mergeCell ref="BI1237:BI1239"/>
    <mergeCell ref="AV1240:AV1242"/>
    <mergeCell ref="AW1240:AW1242"/>
    <mergeCell ref="AX1240:AX1242"/>
    <mergeCell ref="AY1240:AY1242"/>
    <mergeCell ref="AZ1240:AZ1242"/>
    <mergeCell ref="BA1240:BA1242"/>
    <mergeCell ref="BI1240:BI1242"/>
    <mergeCell ref="AV1243:AV1245"/>
    <mergeCell ref="AW1243:AW1245"/>
    <mergeCell ref="AX1243:AX1245"/>
    <mergeCell ref="AY1243:AY1245"/>
    <mergeCell ref="AZ1243:AZ1245"/>
    <mergeCell ref="BA1243:BA1245"/>
    <mergeCell ref="BI1243:BI1245"/>
    <mergeCell ref="AV1246:AV1248"/>
    <mergeCell ref="AW1246:AW1248"/>
    <mergeCell ref="AX1246:AX1248"/>
    <mergeCell ref="AY1246:AY1248"/>
    <mergeCell ref="AZ1246:AZ1248"/>
    <mergeCell ref="BA1246:BA1248"/>
    <mergeCell ref="BI1246:BI1248"/>
    <mergeCell ref="AV1249:AV1251"/>
    <mergeCell ref="AW1249:AW1251"/>
    <mergeCell ref="AX1249:AX1251"/>
    <mergeCell ref="AY1249:AY1251"/>
    <mergeCell ref="AZ1249:AZ1251"/>
    <mergeCell ref="BA1249:BA1251"/>
    <mergeCell ref="BI1249:BI1251"/>
    <mergeCell ref="AV1252:AV1254"/>
    <mergeCell ref="AW1252:AW1254"/>
    <mergeCell ref="AX1252:AX1254"/>
    <mergeCell ref="AY1252:AY1254"/>
    <mergeCell ref="AZ1252:AZ1254"/>
    <mergeCell ref="BA1252:BA1254"/>
    <mergeCell ref="BI1252:BI1254"/>
    <mergeCell ref="AV1255:AV1257"/>
    <mergeCell ref="AW1255:AW1257"/>
    <mergeCell ref="AX1255:AX1257"/>
    <mergeCell ref="AY1255:AY1257"/>
    <mergeCell ref="AZ1255:AZ1257"/>
    <mergeCell ref="BA1255:BA1257"/>
    <mergeCell ref="BI1255:BI1257"/>
    <mergeCell ref="AV1258:AV1260"/>
    <mergeCell ref="AW1258:AW1260"/>
    <mergeCell ref="AX1258:AX1260"/>
    <mergeCell ref="AY1258:AY1260"/>
    <mergeCell ref="AZ1258:AZ1260"/>
    <mergeCell ref="BA1258:BA1260"/>
    <mergeCell ref="BI1258:BI1260"/>
    <mergeCell ref="AV1261:AV1262"/>
    <mergeCell ref="AW1261:AW1262"/>
    <mergeCell ref="AX1261:AX1262"/>
    <mergeCell ref="AY1261:AY1262"/>
    <mergeCell ref="AZ1261:AZ1262"/>
    <mergeCell ref="BA1261:BA1262"/>
    <mergeCell ref="AV1263:AV1265"/>
    <mergeCell ref="AW1263:AW1265"/>
    <mergeCell ref="AX1263:AX1265"/>
    <mergeCell ref="AY1263:AY1265"/>
    <mergeCell ref="AZ1263:AZ1265"/>
    <mergeCell ref="BA1263:BA1265"/>
    <mergeCell ref="AV1266:AV1268"/>
    <mergeCell ref="AW1266:AW1268"/>
    <mergeCell ref="AX1266:AX1268"/>
    <mergeCell ref="AY1266:AY1268"/>
    <mergeCell ref="AZ1266:AZ1268"/>
    <mergeCell ref="BA1266:BA1268"/>
    <mergeCell ref="AV1269:AV1270"/>
    <mergeCell ref="AW1269:AW1270"/>
    <mergeCell ref="AX1269:AX1270"/>
    <mergeCell ref="AY1269:AY1270"/>
    <mergeCell ref="AZ1269:AZ1270"/>
    <mergeCell ref="BA1269:BA1270"/>
    <mergeCell ref="BI1269:BI1270"/>
    <mergeCell ref="AV1271:AV1272"/>
    <mergeCell ref="AW1271:AW1272"/>
    <mergeCell ref="AX1271:AX1272"/>
    <mergeCell ref="AY1271:AY1272"/>
    <mergeCell ref="AZ1271:AZ1272"/>
    <mergeCell ref="BA1271:BA1272"/>
    <mergeCell ref="BI1271:BI1272"/>
    <mergeCell ref="AV1273:AV1274"/>
    <mergeCell ref="AW1273:AW1274"/>
    <mergeCell ref="AX1273:AX1274"/>
    <mergeCell ref="AY1273:AY1274"/>
    <mergeCell ref="AZ1273:AZ1274"/>
    <mergeCell ref="BA1273:BA1274"/>
    <mergeCell ref="BI1273:BI1274"/>
    <mergeCell ref="AV1275:AV1276"/>
    <mergeCell ref="AW1275:AW1276"/>
    <mergeCell ref="AX1275:AX1276"/>
    <mergeCell ref="AY1275:AY1276"/>
    <mergeCell ref="AZ1275:AZ1276"/>
    <mergeCell ref="BA1275:BA1276"/>
    <mergeCell ref="BI1275:BI1276"/>
    <mergeCell ref="AV1277:AV1278"/>
    <mergeCell ref="AW1277:AW1278"/>
    <mergeCell ref="AX1277:AX1278"/>
    <mergeCell ref="AY1277:AY1278"/>
    <mergeCell ref="AZ1277:AZ1278"/>
    <mergeCell ref="BA1277:BA1278"/>
    <mergeCell ref="BI1277:BI1278"/>
    <mergeCell ref="AV1279:AV1280"/>
    <mergeCell ref="AW1279:AW1280"/>
    <mergeCell ref="AX1279:AX1280"/>
    <mergeCell ref="AY1279:AY1280"/>
    <mergeCell ref="AZ1279:AZ1280"/>
    <mergeCell ref="BA1279:BA1280"/>
    <mergeCell ref="BI1279:BI1280"/>
    <mergeCell ref="AV1281:AV1282"/>
    <mergeCell ref="AW1281:AW1282"/>
    <mergeCell ref="AX1281:AX1282"/>
    <mergeCell ref="AY1281:AY1282"/>
    <mergeCell ref="AZ1281:AZ1282"/>
    <mergeCell ref="BA1281:BA1282"/>
    <mergeCell ref="BI1281:BI1282"/>
    <mergeCell ref="AV1283:AV1284"/>
    <mergeCell ref="AW1283:AW1284"/>
    <mergeCell ref="AX1283:AX1284"/>
    <mergeCell ref="AY1283:AY1284"/>
    <mergeCell ref="AZ1283:AZ1284"/>
    <mergeCell ref="BA1283:BA1284"/>
    <mergeCell ref="BI1283:BI1284"/>
    <mergeCell ref="AV1285:AV1286"/>
    <mergeCell ref="AW1285:AW1286"/>
    <mergeCell ref="AX1285:AX1286"/>
    <mergeCell ref="AY1285:AY1286"/>
    <mergeCell ref="AZ1285:AZ1286"/>
    <mergeCell ref="BA1285:BA1286"/>
    <mergeCell ref="BI1285:BI1286"/>
    <mergeCell ref="AV1287:AV1288"/>
    <mergeCell ref="AW1287:AW1288"/>
    <mergeCell ref="AX1287:AX1288"/>
    <mergeCell ref="AY1287:AY1288"/>
    <mergeCell ref="AZ1287:AZ1288"/>
    <mergeCell ref="BA1287:BA1288"/>
    <mergeCell ref="BI1287:BI1288"/>
    <mergeCell ref="AV1289:AV1290"/>
    <mergeCell ref="AW1289:AW1290"/>
    <mergeCell ref="AX1289:AX1290"/>
    <mergeCell ref="AY1289:AY1290"/>
    <mergeCell ref="AZ1289:AZ1290"/>
    <mergeCell ref="BA1289:BA1290"/>
    <mergeCell ref="BI1289:BI1290"/>
    <mergeCell ref="AV1291:AV1292"/>
    <mergeCell ref="AW1291:AW1292"/>
    <mergeCell ref="AX1291:AX1292"/>
    <mergeCell ref="AY1291:AY1292"/>
    <mergeCell ref="AZ1291:AZ1292"/>
    <mergeCell ref="BA1291:BA1292"/>
    <mergeCell ref="BI1291:BI1292"/>
    <mergeCell ref="AV1293:AV1294"/>
    <mergeCell ref="AW1293:AW1294"/>
    <mergeCell ref="AX1293:AX1294"/>
    <mergeCell ref="AY1293:AY1294"/>
    <mergeCell ref="AZ1293:AZ1294"/>
    <mergeCell ref="BA1293:BA1294"/>
    <mergeCell ref="AV1295:AV1296"/>
    <mergeCell ref="AW1295:AW1296"/>
    <mergeCell ref="AX1295:AX1296"/>
    <mergeCell ref="AY1295:AY1296"/>
    <mergeCell ref="AZ1295:AZ1296"/>
    <mergeCell ref="BA1295:BA1296"/>
    <mergeCell ref="AV1297:AV1298"/>
    <mergeCell ref="AW1297:AW1298"/>
    <mergeCell ref="AX1297:AX1298"/>
    <mergeCell ref="AY1297:AY1298"/>
    <mergeCell ref="AZ1297:AZ1298"/>
    <mergeCell ref="BA1297:BA1298"/>
    <mergeCell ref="AV1299:AV1300"/>
    <mergeCell ref="AW1299:AW1300"/>
    <mergeCell ref="AX1299:AX1300"/>
    <mergeCell ref="AY1299:AY1300"/>
    <mergeCell ref="AZ1299:AZ1300"/>
    <mergeCell ref="BA1299:BA1300"/>
    <mergeCell ref="AV1301:AV1302"/>
    <mergeCell ref="AW1301:AW1302"/>
    <mergeCell ref="AX1301:AX1302"/>
    <mergeCell ref="AY1301:AY1302"/>
    <mergeCell ref="AZ1301:AZ1302"/>
    <mergeCell ref="BA1301:BA1302"/>
    <mergeCell ref="AV1303:AV1304"/>
    <mergeCell ref="AW1303:AW1304"/>
    <mergeCell ref="AX1303:AX1304"/>
    <mergeCell ref="AY1303:AY1304"/>
    <mergeCell ref="AZ1303:AZ1304"/>
    <mergeCell ref="BA1303:BA1304"/>
    <mergeCell ref="AV1305:AV1306"/>
    <mergeCell ref="AW1305:AW1306"/>
    <mergeCell ref="AX1305:AX1306"/>
    <mergeCell ref="AY1305:AY1306"/>
    <mergeCell ref="AZ1305:AZ1306"/>
    <mergeCell ref="BA1305:BA1306"/>
    <mergeCell ref="AV1307:AV1308"/>
    <mergeCell ref="AW1307:AW1308"/>
    <mergeCell ref="AX1307:AX1308"/>
    <mergeCell ref="AY1307:AY1308"/>
    <mergeCell ref="AZ1307:AZ1308"/>
    <mergeCell ref="BA1307:BA1308"/>
    <mergeCell ref="AV1309:AV1310"/>
    <mergeCell ref="AW1309:AW1310"/>
    <mergeCell ref="AX1309:AX1310"/>
    <mergeCell ref="AY1309:AY1310"/>
    <mergeCell ref="AZ1309:AZ1310"/>
    <mergeCell ref="BA1309:BA1310"/>
    <mergeCell ref="AV1311:AV1312"/>
    <mergeCell ref="AW1311:AW1312"/>
    <mergeCell ref="AX1311:AX1312"/>
    <mergeCell ref="AY1311:AY1312"/>
    <mergeCell ref="AZ1311:AZ1312"/>
    <mergeCell ref="BA1311:BA1312"/>
    <mergeCell ref="AV1313:AV1314"/>
    <mergeCell ref="AW1313:AW1314"/>
    <mergeCell ref="AX1313:AX1314"/>
    <mergeCell ref="AY1313:AY1314"/>
    <mergeCell ref="AZ1313:AZ1314"/>
    <mergeCell ref="BA1313:BA1314"/>
    <mergeCell ref="AV1315:AV1316"/>
    <mergeCell ref="AW1315:AW1316"/>
    <mergeCell ref="AX1315:AX1316"/>
    <mergeCell ref="AY1315:AY1316"/>
    <mergeCell ref="AZ1315:AZ1316"/>
    <mergeCell ref="BA1315:BA1316"/>
    <mergeCell ref="AV1318:AV1319"/>
    <mergeCell ref="AW1318:AW1319"/>
    <mergeCell ref="AX1318:AX1319"/>
    <mergeCell ref="AY1318:AY1319"/>
    <mergeCell ref="AZ1318:AZ1319"/>
    <mergeCell ref="BA1318:BA1319"/>
    <mergeCell ref="AV1321:AV1322"/>
    <mergeCell ref="AW1321:AW1322"/>
    <mergeCell ref="AX1321:AX1322"/>
    <mergeCell ref="AY1321:AY1322"/>
    <mergeCell ref="AZ1321:AZ1322"/>
    <mergeCell ref="BA1321:BA1322"/>
    <mergeCell ref="AV1323:AV1324"/>
    <mergeCell ref="AW1323:AW1324"/>
    <mergeCell ref="AX1323:AX1324"/>
    <mergeCell ref="AY1323:AY1324"/>
    <mergeCell ref="AZ1323:AZ1324"/>
    <mergeCell ref="BA1323:BA1324"/>
    <mergeCell ref="AV1325:AV1326"/>
    <mergeCell ref="AW1325:AW1326"/>
    <mergeCell ref="AX1325:AX1326"/>
    <mergeCell ref="AY1325:AY1326"/>
    <mergeCell ref="AZ1325:AZ1326"/>
    <mergeCell ref="BA1325:BA1326"/>
    <mergeCell ref="AV1327:AV1328"/>
    <mergeCell ref="AW1327:AW1328"/>
    <mergeCell ref="AX1327:AX1328"/>
    <mergeCell ref="AY1327:AY1328"/>
    <mergeCell ref="AZ1327:AZ1328"/>
    <mergeCell ref="BA1327:BA1328"/>
    <mergeCell ref="AV1329:AV1330"/>
    <mergeCell ref="AW1329:AW1330"/>
    <mergeCell ref="AX1329:AX1330"/>
    <mergeCell ref="AY1329:AY1330"/>
    <mergeCell ref="AZ1329:AZ1330"/>
    <mergeCell ref="BA1329:BA1330"/>
    <mergeCell ref="AV1331:AV1332"/>
    <mergeCell ref="AW1331:AW1332"/>
    <mergeCell ref="AX1331:AX1332"/>
    <mergeCell ref="AY1331:AY1332"/>
    <mergeCell ref="AZ1331:AZ1332"/>
    <mergeCell ref="BA1331:BA1332"/>
    <mergeCell ref="AV1333:AV1335"/>
    <mergeCell ref="AW1333:AW1335"/>
    <mergeCell ref="AX1333:AX1335"/>
    <mergeCell ref="AY1333:AY1335"/>
    <mergeCell ref="AZ1333:AZ1335"/>
    <mergeCell ref="BA1333:BA1335"/>
    <mergeCell ref="BI1333:BI1335"/>
    <mergeCell ref="AV1336:AV1337"/>
    <mergeCell ref="AW1336:AW1337"/>
    <mergeCell ref="AX1336:AX1337"/>
    <mergeCell ref="AY1336:AY1337"/>
    <mergeCell ref="AZ1336:AZ1337"/>
    <mergeCell ref="BA1336:BA1337"/>
    <mergeCell ref="BI1336:BI1337"/>
    <mergeCell ref="AV1341:AV1342"/>
    <mergeCell ref="AW1341:AW1342"/>
    <mergeCell ref="AX1341:AX1342"/>
    <mergeCell ref="AY1341:AY1342"/>
    <mergeCell ref="AZ1341:AZ1342"/>
    <mergeCell ref="BA1341:BA1342"/>
    <mergeCell ref="AV1344:AV1345"/>
    <mergeCell ref="AW1344:AW1345"/>
    <mergeCell ref="AX1344:AX1345"/>
    <mergeCell ref="AY1344:AY1345"/>
    <mergeCell ref="AZ1344:AZ1345"/>
    <mergeCell ref="BA1344:BA1345"/>
    <mergeCell ref="BI1344:BI1345"/>
    <mergeCell ref="AV1346:AV1347"/>
    <mergeCell ref="AW1346:AW1347"/>
    <mergeCell ref="AX1346:AX1347"/>
    <mergeCell ref="AY1346:AY1347"/>
    <mergeCell ref="AZ1346:AZ1347"/>
    <mergeCell ref="BA1346:BA1347"/>
    <mergeCell ref="BI1346:BI1347"/>
    <mergeCell ref="AV1348:AV1349"/>
    <mergeCell ref="AW1348:AW1349"/>
    <mergeCell ref="AX1348:AX1349"/>
    <mergeCell ref="AY1348:AY1349"/>
    <mergeCell ref="AZ1348:AZ1349"/>
    <mergeCell ref="BA1348:BA1349"/>
    <mergeCell ref="AV1350:AV1351"/>
    <mergeCell ref="AW1350:AW1351"/>
    <mergeCell ref="AX1350:AX1351"/>
    <mergeCell ref="AY1350:AY1351"/>
    <mergeCell ref="AZ1350:AZ1351"/>
    <mergeCell ref="BA1350:BA1351"/>
    <mergeCell ref="AV1352:AV1353"/>
    <mergeCell ref="AW1352:AW1353"/>
    <mergeCell ref="AX1352:AX1353"/>
    <mergeCell ref="AY1352:AY1353"/>
    <mergeCell ref="AZ1352:AZ1353"/>
    <mergeCell ref="BA1352:BA1353"/>
    <mergeCell ref="AV1354:AV1355"/>
    <mergeCell ref="AW1354:AW1355"/>
    <mergeCell ref="AX1354:AX1355"/>
    <mergeCell ref="AY1354:AY1355"/>
    <mergeCell ref="AZ1354:AZ1355"/>
    <mergeCell ref="BA1354:BA1355"/>
    <mergeCell ref="AV1356:AV1357"/>
    <mergeCell ref="AW1356:AW1357"/>
    <mergeCell ref="AX1356:AX1357"/>
    <mergeCell ref="AY1356:AY1357"/>
    <mergeCell ref="AZ1356:AZ1357"/>
    <mergeCell ref="BA1356:BA1357"/>
    <mergeCell ref="AV1358:AV1359"/>
    <mergeCell ref="AW1358:AW1359"/>
    <mergeCell ref="AX1358:AX1359"/>
    <mergeCell ref="AY1358:AY1359"/>
    <mergeCell ref="AZ1358:AZ1359"/>
    <mergeCell ref="BA1358:BA1359"/>
    <mergeCell ref="BI1358:BI1359"/>
    <mergeCell ref="AV1360:AV1361"/>
    <mergeCell ref="AW1360:AW1361"/>
    <mergeCell ref="AX1360:AX1361"/>
    <mergeCell ref="AY1360:AY1361"/>
    <mergeCell ref="AZ1360:AZ1361"/>
    <mergeCell ref="BA1360:BA1361"/>
    <mergeCell ref="BI1360:BI1361"/>
    <mergeCell ref="AV1363:AV1365"/>
    <mergeCell ref="AW1363:AW1365"/>
    <mergeCell ref="AX1363:AX1365"/>
    <mergeCell ref="AY1363:AY1365"/>
    <mergeCell ref="AZ1363:AZ1365"/>
    <mergeCell ref="BA1363:BA1365"/>
    <mergeCell ref="BI1363:BI1365"/>
    <mergeCell ref="AV1366:AV1367"/>
    <mergeCell ref="AW1366:AW1367"/>
    <mergeCell ref="AX1366:AX1367"/>
    <mergeCell ref="AY1366:AY1367"/>
    <mergeCell ref="AZ1366:AZ1367"/>
    <mergeCell ref="BA1366:BA1367"/>
    <mergeCell ref="AV1368:AV1369"/>
    <mergeCell ref="AW1368:AW1369"/>
    <mergeCell ref="AX1368:AX1369"/>
    <mergeCell ref="AY1368:AY1369"/>
    <mergeCell ref="AZ1368:AZ1369"/>
    <mergeCell ref="BA1368:BA1369"/>
    <mergeCell ref="AV1370:AV1371"/>
    <mergeCell ref="AW1370:AW1371"/>
    <mergeCell ref="AX1370:AX1371"/>
    <mergeCell ref="AY1370:AY1371"/>
    <mergeCell ref="AZ1370:AZ1371"/>
    <mergeCell ref="BA1370:BA1371"/>
    <mergeCell ref="BI1370:BI1371"/>
    <mergeCell ref="AV1372:AV1373"/>
    <mergeCell ref="AW1372:AW1373"/>
    <mergeCell ref="AX1372:AX1373"/>
    <mergeCell ref="AY1372:AY1373"/>
    <mergeCell ref="AZ1372:AZ1373"/>
    <mergeCell ref="BA1372:BA1373"/>
    <mergeCell ref="BI1372:BI1373"/>
    <mergeCell ref="AV1374:AV1375"/>
    <mergeCell ref="AW1374:AW1375"/>
    <mergeCell ref="AX1374:AX1375"/>
    <mergeCell ref="AY1374:AY1375"/>
    <mergeCell ref="AZ1374:AZ1375"/>
    <mergeCell ref="BA1374:BA1375"/>
    <mergeCell ref="BI1374:BI1375"/>
    <mergeCell ref="AV1376:AV1377"/>
    <mergeCell ref="AW1376:AW1377"/>
    <mergeCell ref="AX1376:AX1377"/>
    <mergeCell ref="AY1376:AY1377"/>
    <mergeCell ref="AZ1376:AZ1377"/>
    <mergeCell ref="BA1376:BA1377"/>
    <mergeCell ref="AV1378:AV1379"/>
    <mergeCell ref="AW1378:AW1379"/>
    <mergeCell ref="AX1378:AX1379"/>
    <mergeCell ref="AY1378:AY1379"/>
    <mergeCell ref="AZ1378:AZ1379"/>
    <mergeCell ref="BA1378:BA1379"/>
    <mergeCell ref="AV1380:AV1381"/>
    <mergeCell ref="AW1380:AW1381"/>
    <mergeCell ref="AX1380:AX1381"/>
    <mergeCell ref="AY1380:AY1381"/>
    <mergeCell ref="AZ1380:AZ1381"/>
    <mergeCell ref="BA1380:BA1381"/>
    <mergeCell ref="AV1382:AV1383"/>
    <mergeCell ref="AW1382:AW1383"/>
    <mergeCell ref="AX1382:AX1383"/>
    <mergeCell ref="AY1382:AY1383"/>
    <mergeCell ref="AZ1382:AZ1383"/>
    <mergeCell ref="BA1382:BA1383"/>
    <mergeCell ref="AV1385:AV1386"/>
    <mergeCell ref="AW1385:AW1386"/>
    <mergeCell ref="AX1385:AX1386"/>
    <mergeCell ref="AY1385:AY1386"/>
    <mergeCell ref="AZ1385:AZ1386"/>
    <mergeCell ref="BA1385:BA1386"/>
    <mergeCell ref="AV1387:AV1388"/>
    <mergeCell ref="AW1387:AW1388"/>
    <mergeCell ref="AX1387:AX1388"/>
    <mergeCell ref="AY1387:AY1388"/>
    <mergeCell ref="AZ1387:AZ1388"/>
    <mergeCell ref="BA1387:BA1388"/>
    <mergeCell ref="AV1389:AV1390"/>
    <mergeCell ref="AW1389:AW1390"/>
    <mergeCell ref="AX1389:AX1390"/>
    <mergeCell ref="AY1389:AY1390"/>
    <mergeCell ref="AZ1389:AZ1390"/>
    <mergeCell ref="BA1389:BA1390"/>
    <mergeCell ref="AV1391:AV1392"/>
    <mergeCell ref="AW1391:AW1392"/>
    <mergeCell ref="AX1391:AX1392"/>
    <mergeCell ref="AY1391:AY1392"/>
    <mergeCell ref="AZ1391:AZ1392"/>
    <mergeCell ref="BA1391:BA1392"/>
    <mergeCell ref="AV1393:AV1394"/>
    <mergeCell ref="AW1393:AW1394"/>
    <mergeCell ref="AX1393:AX1394"/>
    <mergeCell ref="AY1393:AY1394"/>
    <mergeCell ref="AZ1393:AZ1394"/>
    <mergeCell ref="BA1393:BA1394"/>
    <mergeCell ref="AV1395:AV1396"/>
    <mergeCell ref="AW1395:AW1396"/>
    <mergeCell ref="AX1395:AX1396"/>
    <mergeCell ref="AY1395:AY1396"/>
    <mergeCell ref="AZ1395:AZ1396"/>
    <mergeCell ref="BA1395:BA1396"/>
    <mergeCell ref="AV1397:AV1398"/>
    <mergeCell ref="AW1397:AW1398"/>
    <mergeCell ref="AX1397:AX1398"/>
    <mergeCell ref="AY1397:AY1398"/>
    <mergeCell ref="AZ1397:AZ1398"/>
    <mergeCell ref="BA1397:BA1398"/>
    <mergeCell ref="AV1399:AV1400"/>
    <mergeCell ref="AW1399:AW1400"/>
    <mergeCell ref="AX1399:AX1400"/>
    <mergeCell ref="AY1399:AY1400"/>
    <mergeCell ref="AZ1399:AZ1400"/>
    <mergeCell ref="BA1399:BA1400"/>
    <mergeCell ref="AV1401:AV1402"/>
    <mergeCell ref="AW1401:AW1402"/>
    <mergeCell ref="AX1401:AX1402"/>
    <mergeCell ref="AY1401:AY1402"/>
    <mergeCell ref="AZ1401:AZ1402"/>
    <mergeCell ref="BA1401:BA1402"/>
    <mergeCell ref="AV1403:AV1404"/>
    <mergeCell ref="AW1403:AW1404"/>
    <mergeCell ref="AX1403:AX1404"/>
    <mergeCell ref="AY1403:AY1404"/>
    <mergeCell ref="AZ1403:AZ1404"/>
    <mergeCell ref="BA1403:BA1404"/>
    <mergeCell ref="AV1405:AV1406"/>
    <mergeCell ref="AW1405:AW1406"/>
    <mergeCell ref="AX1405:AX1406"/>
    <mergeCell ref="AY1405:AY1406"/>
    <mergeCell ref="AZ1405:AZ1406"/>
    <mergeCell ref="BA1405:BA1406"/>
    <mergeCell ref="AV1408:AV1409"/>
    <mergeCell ref="AW1408:AW1409"/>
    <mergeCell ref="AX1408:AX1409"/>
    <mergeCell ref="AY1408:AY1409"/>
    <mergeCell ref="AZ1408:AZ1409"/>
    <mergeCell ref="BA1408:BA1409"/>
    <mergeCell ref="AV1410:AV1411"/>
    <mergeCell ref="AW1410:AW1411"/>
    <mergeCell ref="AX1410:AX1411"/>
    <mergeCell ref="AY1410:AY1411"/>
    <mergeCell ref="AZ1410:AZ1411"/>
    <mergeCell ref="BA1410:BA1411"/>
    <mergeCell ref="AV1412:AV1413"/>
    <mergeCell ref="AW1412:AW1413"/>
    <mergeCell ref="AX1412:AX1413"/>
    <mergeCell ref="AY1412:AY1413"/>
    <mergeCell ref="AZ1412:AZ1413"/>
    <mergeCell ref="BA1412:BA1413"/>
    <mergeCell ref="AV1414:AV1415"/>
    <mergeCell ref="AW1414:AW1415"/>
    <mergeCell ref="AX1414:AX1415"/>
    <mergeCell ref="AY1414:AY1415"/>
    <mergeCell ref="AZ1414:AZ1415"/>
    <mergeCell ref="BA1414:BA1415"/>
    <mergeCell ref="AV1416:AV1417"/>
    <mergeCell ref="AW1416:AW1417"/>
    <mergeCell ref="AX1416:AX1417"/>
    <mergeCell ref="AY1416:AY1417"/>
    <mergeCell ref="AZ1416:AZ1417"/>
    <mergeCell ref="BA1416:BA1417"/>
    <mergeCell ref="AV1418:AV1419"/>
    <mergeCell ref="AW1418:AW1419"/>
    <mergeCell ref="AX1418:AX1419"/>
    <mergeCell ref="AY1418:AY1419"/>
    <mergeCell ref="AZ1418:AZ1419"/>
    <mergeCell ref="BA1418:BA1419"/>
    <mergeCell ref="AV1420:AV1421"/>
    <mergeCell ref="AW1420:AW1421"/>
    <mergeCell ref="AX1420:AX1421"/>
    <mergeCell ref="AY1420:AY1421"/>
    <mergeCell ref="AZ1420:AZ1421"/>
    <mergeCell ref="BA1420:BA1421"/>
    <mergeCell ref="AV1422:AV1423"/>
    <mergeCell ref="AW1422:AW1423"/>
    <mergeCell ref="AX1422:AX1423"/>
    <mergeCell ref="AY1422:AY1423"/>
    <mergeCell ref="AZ1422:AZ1423"/>
    <mergeCell ref="BA1422:BA1423"/>
    <mergeCell ref="AV1424:AV1425"/>
    <mergeCell ref="AW1424:AW1425"/>
    <mergeCell ref="AX1424:AX1425"/>
    <mergeCell ref="AY1424:AY1425"/>
    <mergeCell ref="AZ1424:AZ1425"/>
    <mergeCell ref="BA1424:BA1425"/>
    <mergeCell ref="AV1426:AV1427"/>
    <mergeCell ref="AW1426:AW1427"/>
    <mergeCell ref="AX1426:AX1427"/>
    <mergeCell ref="AY1426:AY1427"/>
    <mergeCell ref="AZ1426:AZ1427"/>
    <mergeCell ref="BA1426:BA1427"/>
    <mergeCell ref="AV1428:AV1429"/>
    <mergeCell ref="AW1428:AW1429"/>
    <mergeCell ref="AX1428:AX1429"/>
    <mergeCell ref="AY1428:AY1429"/>
    <mergeCell ref="AZ1428:AZ1429"/>
    <mergeCell ref="BA1428:BA1429"/>
    <mergeCell ref="AV1430:AV1431"/>
    <mergeCell ref="AW1430:AW1431"/>
    <mergeCell ref="AX1430:AX1431"/>
    <mergeCell ref="AY1430:AY1431"/>
    <mergeCell ref="AZ1430:AZ1431"/>
    <mergeCell ref="BA1430:BA1431"/>
    <mergeCell ref="AV1432:AV1433"/>
    <mergeCell ref="AW1432:AW1433"/>
    <mergeCell ref="AX1432:AX1433"/>
    <mergeCell ref="AY1432:AY1433"/>
    <mergeCell ref="AZ1432:AZ1433"/>
    <mergeCell ref="BA1432:BA1433"/>
    <mergeCell ref="AV1434:AV1435"/>
    <mergeCell ref="AW1434:AW1435"/>
    <mergeCell ref="AX1434:AX1435"/>
    <mergeCell ref="AY1434:AY1435"/>
    <mergeCell ref="AZ1434:AZ1435"/>
    <mergeCell ref="BA1434:BA1435"/>
    <mergeCell ref="AV1455:AV1457"/>
    <mergeCell ref="AW1455:AW1457"/>
    <mergeCell ref="AX1455:AX1457"/>
    <mergeCell ref="AY1455:AY1457"/>
    <mergeCell ref="AZ1455:AZ1457"/>
    <mergeCell ref="BA1455:BA1457"/>
    <mergeCell ref="BI1455:BI1457"/>
    <mergeCell ref="AV1458:AV1460"/>
    <mergeCell ref="AW1458:AW1460"/>
    <mergeCell ref="AX1458:AX1460"/>
    <mergeCell ref="AY1458:AY1460"/>
    <mergeCell ref="AZ1458:AZ1460"/>
    <mergeCell ref="BA1458:BA1460"/>
    <mergeCell ref="BI1458:BI1460"/>
    <mergeCell ref="AV1461:AV1463"/>
    <mergeCell ref="AW1461:AW1463"/>
    <mergeCell ref="AX1461:AX1463"/>
    <mergeCell ref="AY1461:AY1463"/>
    <mergeCell ref="AZ1461:AZ1463"/>
    <mergeCell ref="BA1461:BA1463"/>
    <mergeCell ref="BI1461:BI1463"/>
    <mergeCell ref="AV1464:AV1466"/>
    <mergeCell ref="AW1464:AW1466"/>
    <mergeCell ref="AX1464:AX1466"/>
    <mergeCell ref="AY1464:AY1466"/>
    <mergeCell ref="AZ1464:AZ1466"/>
    <mergeCell ref="BA1464:BA1466"/>
    <mergeCell ref="BI1464:BI1466"/>
    <mergeCell ref="AV1467:AV1469"/>
    <mergeCell ref="AW1467:AW1469"/>
    <mergeCell ref="AX1467:AX1469"/>
    <mergeCell ref="AY1467:AY1469"/>
    <mergeCell ref="AZ1467:AZ1469"/>
    <mergeCell ref="BA1467:BA1469"/>
    <mergeCell ref="BI1467:BI1469"/>
    <mergeCell ref="AV1470:AV1472"/>
    <mergeCell ref="AW1470:AW1472"/>
    <mergeCell ref="AX1470:AX1472"/>
    <mergeCell ref="AY1470:AY1472"/>
    <mergeCell ref="AZ1470:AZ1472"/>
    <mergeCell ref="BA1470:BA1472"/>
    <mergeCell ref="BI1470:BI1472"/>
    <mergeCell ref="AV1473:AV1475"/>
    <mergeCell ref="AW1473:AW1475"/>
    <mergeCell ref="AX1473:AX1475"/>
    <mergeCell ref="AY1473:AY1475"/>
    <mergeCell ref="AZ1473:AZ1475"/>
    <mergeCell ref="BA1473:BA1475"/>
    <mergeCell ref="BI1473:BI1475"/>
    <mergeCell ref="AV1476:AV1478"/>
    <mergeCell ref="AW1476:AW1478"/>
    <mergeCell ref="AX1476:AX1478"/>
    <mergeCell ref="AY1476:AY1478"/>
    <mergeCell ref="AZ1476:AZ1478"/>
    <mergeCell ref="BA1476:BA1478"/>
    <mergeCell ref="BI1476:BI1478"/>
    <mergeCell ref="AV1479:AV1481"/>
    <mergeCell ref="AW1479:AW1481"/>
    <mergeCell ref="AX1479:AX1481"/>
    <mergeCell ref="AY1479:AY1481"/>
    <mergeCell ref="AZ1479:AZ1481"/>
    <mergeCell ref="BA1479:BA1481"/>
    <mergeCell ref="BI1479:BI1481"/>
    <mergeCell ref="AV1482:AV1484"/>
    <mergeCell ref="AW1482:AW1484"/>
    <mergeCell ref="AX1482:AX1484"/>
    <mergeCell ref="AY1482:AY1484"/>
    <mergeCell ref="AZ1482:AZ1484"/>
    <mergeCell ref="BA1482:BA1484"/>
    <mergeCell ref="BI1482:BI1484"/>
    <mergeCell ref="AV1485:AV1487"/>
    <mergeCell ref="AW1485:AW1487"/>
    <mergeCell ref="AX1485:AX1487"/>
    <mergeCell ref="AY1485:AY1487"/>
    <mergeCell ref="AZ1485:AZ1487"/>
    <mergeCell ref="BA1485:BA1487"/>
    <mergeCell ref="BI1485:BI1487"/>
    <mergeCell ref="AV1488:AV1490"/>
    <mergeCell ref="AW1488:AW1490"/>
    <mergeCell ref="AX1488:AX1490"/>
    <mergeCell ref="AY1488:AY1490"/>
    <mergeCell ref="AZ1488:AZ1490"/>
    <mergeCell ref="BA1488:BA1490"/>
    <mergeCell ref="BI1488:BI1490"/>
    <mergeCell ref="AV1491:AV1493"/>
    <mergeCell ref="AW1491:AW1493"/>
    <mergeCell ref="AX1491:AX1493"/>
    <mergeCell ref="AY1491:AY1493"/>
    <mergeCell ref="AZ1491:AZ1493"/>
    <mergeCell ref="BA1491:BA1493"/>
    <mergeCell ref="BI1491:BI1493"/>
    <mergeCell ref="AV1494:AV1496"/>
    <mergeCell ref="AW1494:AW1496"/>
    <mergeCell ref="AX1494:AX1496"/>
    <mergeCell ref="AY1494:AY1496"/>
    <mergeCell ref="AZ1494:AZ1496"/>
    <mergeCell ref="BA1494:BA1496"/>
    <mergeCell ref="BI1494:BI1496"/>
    <mergeCell ref="AV1497:AV1499"/>
    <mergeCell ref="AW1497:AW1499"/>
    <mergeCell ref="AX1497:AX1499"/>
    <mergeCell ref="AY1497:AY1499"/>
    <mergeCell ref="AZ1497:AZ1499"/>
    <mergeCell ref="BA1497:BA1499"/>
    <mergeCell ref="BI1497:BI1499"/>
    <mergeCell ref="AV1500:AV1502"/>
    <mergeCell ref="AW1500:AW1502"/>
    <mergeCell ref="AX1500:AX1502"/>
    <mergeCell ref="AY1500:AY1502"/>
    <mergeCell ref="AZ1500:AZ1502"/>
    <mergeCell ref="BA1500:BA1502"/>
    <mergeCell ref="BI1500:BI1502"/>
    <mergeCell ref="AV1503:AV1505"/>
    <mergeCell ref="AW1503:AW1505"/>
    <mergeCell ref="AX1503:AX1505"/>
    <mergeCell ref="AY1503:AY1505"/>
    <mergeCell ref="AZ1503:AZ1505"/>
    <mergeCell ref="BA1503:BA1505"/>
    <mergeCell ref="BI1503:BI1505"/>
    <mergeCell ref="AV1506:AV1508"/>
    <mergeCell ref="AW1506:AW1508"/>
    <mergeCell ref="AX1506:AX1508"/>
    <mergeCell ref="AY1506:AY1508"/>
    <mergeCell ref="AZ1506:AZ1508"/>
    <mergeCell ref="BA1506:BA1508"/>
    <mergeCell ref="BI1506:BI1508"/>
    <mergeCell ref="AV1509:AV1511"/>
    <mergeCell ref="AW1509:AW1511"/>
    <mergeCell ref="AX1509:AX1511"/>
    <mergeCell ref="AY1509:AY1511"/>
    <mergeCell ref="AZ1509:AZ1511"/>
    <mergeCell ref="BA1509:BA1511"/>
    <mergeCell ref="BI1509:BI1511"/>
    <mergeCell ref="AV1512:AV1516"/>
    <mergeCell ref="AW1512:AW1516"/>
    <mergeCell ref="AX1512:AX1516"/>
    <mergeCell ref="AY1512:AY1516"/>
    <mergeCell ref="AZ1512:AZ1516"/>
    <mergeCell ref="BA1512:BA1516"/>
    <mergeCell ref="BI1512:BI1516"/>
    <mergeCell ref="AV1517:AV1521"/>
    <mergeCell ref="AW1517:AW1521"/>
    <mergeCell ref="AX1517:AX1521"/>
    <mergeCell ref="AY1517:AY1521"/>
    <mergeCell ref="AZ1517:AZ1521"/>
    <mergeCell ref="BA1517:BA1521"/>
    <mergeCell ref="BI1517:BI1521"/>
    <mergeCell ref="AV1522:AV1526"/>
    <mergeCell ref="AW1522:AW1526"/>
    <mergeCell ref="AX1522:AX1526"/>
    <mergeCell ref="AY1522:AY1526"/>
    <mergeCell ref="AZ1522:AZ1526"/>
    <mergeCell ref="BA1522:BA1526"/>
    <mergeCell ref="BI1522:BI1526"/>
    <mergeCell ref="AV1527:AV1531"/>
    <mergeCell ref="AW1527:AW1531"/>
    <mergeCell ref="AX1527:AX1531"/>
    <mergeCell ref="AY1527:AY1531"/>
    <mergeCell ref="AZ1527:AZ1531"/>
    <mergeCell ref="BA1527:BA1531"/>
    <mergeCell ref="BI1527:BI1531"/>
    <mergeCell ref="AV1532:AV1536"/>
    <mergeCell ref="AW1532:AW1536"/>
    <mergeCell ref="AX1532:AX1536"/>
    <mergeCell ref="AY1532:AY1536"/>
    <mergeCell ref="AZ1532:AZ1536"/>
    <mergeCell ref="BA1532:BA1536"/>
    <mergeCell ref="BI1532:BI1536"/>
    <mergeCell ref="AV1537:AV1541"/>
    <mergeCell ref="AW1537:AW1541"/>
    <mergeCell ref="AX1537:AX1541"/>
    <mergeCell ref="AY1537:AY1541"/>
    <mergeCell ref="AZ1537:AZ1541"/>
    <mergeCell ref="BA1537:BA1541"/>
    <mergeCell ref="BI1537:BI1541"/>
    <mergeCell ref="AV1542:AV1546"/>
    <mergeCell ref="AW1542:AW1546"/>
    <mergeCell ref="AX1542:AX1546"/>
    <mergeCell ref="AY1542:AY1546"/>
    <mergeCell ref="AZ1542:AZ1546"/>
    <mergeCell ref="BA1542:BA1546"/>
    <mergeCell ref="BI1542:BI1546"/>
    <mergeCell ref="AV1547:AV1551"/>
    <mergeCell ref="AW1547:AW1551"/>
    <mergeCell ref="AX1547:AX1551"/>
    <mergeCell ref="AY1547:AY1551"/>
    <mergeCell ref="AZ1547:AZ1551"/>
    <mergeCell ref="BA1547:BA1551"/>
    <mergeCell ref="BI1547:BI1551"/>
    <mergeCell ref="AV1552:AV1556"/>
    <mergeCell ref="AW1552:AW1556"/>
    <mergeCell ref="AX1552:AX1556"/>
    <mergeCell ref="AY1552:AY1556"/>
    <mergeCell ref="AZ1552:AZ1556"/>
    <mergeCell ref="BA1552:BA1556"/>
    <mergeCell ref="BI1552:BI1556"/>
    <mergeCell ref="AV1557:AV1561"/>
    <mergeCell ref="AW1557:AW1561"/>
    <mergeCell ref="AX1557:AX1561"/>
    <mergeCell ref="AY1557:AY1561"/>
    <mergeCell ref="AZ1557:AZ1561"/>
    <mergeCell ref="BA1557:BA1561"/>
    <mergeCell ref="BI1557:BI1561"/>
    <mergeCell ref="AV1562:AV1566"/>
    <mergeCell ref="AW1562:AW1566"/>
    <mergeCell ref="AX1562:AX1566"/>
    <mergeCell ref="AY1562:AY1566"/>
    <mergeCell ref="AZ1562:AZ1566"/>
    <mergeCell ref="BA1562:BA1566"/>
    <mergeCell ref="BI1562:BI1566"/>
    <mergeCell ref="AV1567:AV1571"/>
    <mergeCell ref="AW1567:AW1571"/>
    <mergeCell ref="AX1567:AX1571"/>
    <mergeCell ref="AY1567:AY1571"/>
    <mergeCell ref="AZ1567:AZ1571"/>
    <mergeCell ref="BA1567:BA1571"/>
    <mergeCell ref="BI1567:BI1571"/>
    <mergeCell ref="AV1572:AV1576"/>
    <mergeCell ref="AW1572:AW1576"/>
    <mergeCell ref="AX1572:AX1576"/>
    <mergeCell ref="AY1572:AY1576"/>
    <mergeCell ref="AZ1572:AZ1576"/>
    <mergeCell ref="BA1572:BA1576"/>
    <mergeCell ref="BI1572:BI1576"/>
    <mergeCell ref="AV1577:AV1579"/>
    <mergeCell ref="AW1577:AW1579"/>
    <mergeCell ref="AX1577:AX1579"/>
    <mergeCell ref="AY1577:AY1579"/>
    <mergeCell ref="AZ1577:AZ1579"/>
    <mergeCell ref="BA1577:BA1579"/>
    <mergeCell ref="BI1577:BI1579"/>
    <mergeCell ref="AV1580:AV1582"/>
    <mergeCell ref="AW1580:AW1582"/>
    <mergeCell ref="AX1580:AX1582"/>
    <mergeCell ref="AY1580:AY1582"/>
    <mergeCell ref="AZ1580:AZ1582"/>
    <mergeCell ref="BA1580:BA1582"/>
    <mergeCell ref="BI1580:BI1582"/>
    <mergeCell ref="AV1583:AV1585"/>
    <mergeCell ref="AW1583:AW1585"/>
    <mergeCell ref="AX1583:AX1585"/>
    <mergeCell ref="AY1583:AY1585"/>
    <mergeCell ref="AZ1583:AZ1585"/>
    <mergeCell ref="BA1583:BA1585"/>
    <mergeCell ref="AV1586:AV1588"/>
    <mergeCell ref="AW1586:AW1588"/>
    <mergeCell ref="AX1586:AX1588"/>
    <mergeCell ref="AY1586:AY1588"/>
    <mergeCell ref="AZ1586:AZ1588"/>
    <mergeCell ref="BA1586:BA1588"/>
    <mergeCell ref="AV1589:AV1591"/>
    <mergeCell ref="AW1589:AW1591"/>
    <mergeCell ref="AX1589:AX1591"/>
    <mergeCell ref="AY1589:AY1591"/>
    <mergeCell ref="AZ1589:AZ1591"/>
    <mergeCell ref="BA1589:BA1591"/>
    <mergeCell ref="AV1592:AV1594"/>
    <mergeCell ref="AW1592:AW1594"/>
    <mergeCell ref="AX1592:AX1594"/>
    <mergeCell ref="AY1592:AY1594"/>
    <mergeCell ref="AZ1592:AZ1594"/>
    <mergeCell ref="BA1592:BA1594"/>
    <mergeCell ref="AV1595:AV1597"/>
    <mergeCell ref="AW1595:AW1597"/>
    <mergeCell ref="AX1595:AX1597"/>
    <mergeCell ref="AY1595:AY1597"/>
    <mergeCell ref="AZ1595:AZ1597"/>
    <mergeCell ref="BA1595:BA1597"/>
    <mergeCell ref="AV1598:AV1600"/>
    <mergeCell ref="AW1598:AW1600"/>
    <mergeCell ref="AX1598:AX1600"/>
    <mergeCell ref="AY1598:AY1600"/>
    <mergeCell ref="AZ1598:AZ1600"/>
    <mergeCell ref="BA1598:BA1600"/>
    <mergeCell ref="AV1601:AV1603"/>
    <mergeCell ref="AW1601:AW1603"/>
    <mergeCell ref="AX1601:AX1603"/>
    <mergeCell ref="AY1601:AY1603"/>
    <mergeCell ref="AZ1601:AZ1603"/>
    <mergeCell ref="BA1601:BA1603"/>
    <mergeCell ref="AV1604:AV1606"/>
    <mergeCell ref="AW1604:AW1606"/>
    <mergeCell ref="AX1604:AX1606"/>
    <mergeCell ref="AY1604:AY1606"/>
    <mergeCell ref="AZ1604:AZ1606"/>
    <mergeCell ref="BA1604:BA1606"/>
    <mergeCell ref="AV1607:AV1609"/>
    <mergeCell ref="AW1607:AW1609"/>
    <mergeCell ref="AX1607:AX1609"/>
    <mergeCell ref="AY1607:AY1609"/>
    <mergeCell ref="AZ1607:AZ1609"/>
    <mergeCell ref="BA1607:BA1609"/>
    <mergeCell ref="AV1610:AV1612"/>
    <mergeCell ref="AW1610:AW1612"/>
    <mergeCell ref="AX1610:AX1612"/>
    <mergeCell ref="AY1610:AY1612"/>
    <mergeCell ref="AZ1610:AZ1612"/>
    <mergeCell ref="BA1610:BA1612"/>
    <mergeCell ref="AV1613:AV1615"/>
    <mergeCell ref="AW1613:AW1615"/>
    <mergeCell ref="AX1613:AX1615"/>
    <mergeCell ref="AY1613:AY1615"/>
    <mergeCell ref="AZ1613:AZ1615"/>
    <mergeCell ref="BA1613:BA1615"/>
    <mergeCell ref="AV1616:AV1618"/>
    <mergeCell ref="AW1616:AW1618"/>
    <mergeCell ref="AX1616:AX1618"/>
    <mergeCell ref="AY1616:AY1618"/>
    <mergeCell ref="AZ1616:AZ1618"/>
    <mergeCell ref="BA1616:BA1618"/>
    <mergeCell ref="AV1619:AV1621"/>
    <mergeCell ref="AW1619:AW1621"/>
    <mergeCell ref="AX1619:AX1621"/>
    <mergeCell ref="AY1619:AY1621"/>
    <mergeCell ref="AZ1619:AZ1621"/>
    <mergeCell ref="BA1619:BA1621"/>
    <mergeCell ref="BI1619:BI1621"/>
    <mergeCell ref="AV1622:AV1624"/>
    <mergeCell ref="AW1622:AW1624"/>
    <mergeCell ref="AX1622:AX1624"/>
    <mergeCell ref="AY1622:AY1624"/>
    <mergeCell ref="AZ1622:AZ1624"/>
    <mergeCell ref="BA1622:BA1624"/>
    <mergeCell ref="BI1622:BI1624"/>
    <mergeCell ref="AV1625:AV1627"/>
    <mergeCell ref="AW1625:AW1627"/>
    <mergeCell ref="AX1625:AX1627"/>
    <mergeCell ref="AY1625:AY1627"/>
    <mergeCell ref="AZ1625:AZ1627"/>
    <mergeCell ref="BA1625:BA1627"/>
    <mergeCell ref="BI1625:BI1627"/>
    <mergeCell ref="AV1628:AV1630"/>
    <mergeCell ref="AW1628:AW1630"/>
    <mergeCell ref="AX1628:AX1630"/>
    <mergeCell ref="AY1628:AY1630"/>
    <mergeCell ref="AZ1628:AZ1630"/>
    <mergeCell ref="BA1628:BA1630"/>
    <mergeCell ref="AV1631:AV1633"/>
    <mergeCell ref="AW1631:AW1633"/>
    <mergeCell ref="AX1631:AX1633"/>
    <mergeCell ref="AY1631:AY1633"/>
    <mergeCell ref="AZ1631:AZ1633"/>
    <mergeCell ref="BA1631:BA1633"/>
    <mergeCell ref="AV1634:AV1637"/>
    <mergeCell ref="AW1634:AW1637"/>
    <mergeCell ref="AX1634:AX1637"/>
    <mergeCell ref="AY1634:AY1637"/>
    <mergeCell ref="AZ1634:AZ1637"/>
    <mergeCell ref="BA1634:BA1637"/>
    <mergeCell ref="AV1638:AV1641"/>
    <mergeCell ref="AW1638:AW1641"/>
    <mergeCell ref="AX1638:AX1641"/>
    <mergeCell ref="AY1638:AY1641"/>
    <mergeCell ref="AZ1638:AZ1641"/>
    <mergeCell ref="BA1638:BA1641"/>
    <mergeCell ref="AV1642:AV1645"/>
    <mergeCell ref="AW1642:AW1645"/>
    <mergeCell ref="AX1642:AX1645"/>
    <mergeCell ref="AY1642:AY1645"/>
    <mergeCell ref="AZ1642:AZ1645"/>
    <mergeCell ref="BA1642:BA1645"/>
    <mergeCell ref="AV1646:AV1649"/>
    <mergeCell ref="AW1646:AW1649"/>
    <mergeCell ref="AX1646:AX1649"/>
    <mergeCell ref="AY1646:AY1649"/>
    <mergeCell ref="AZ1646:AZ1649"/>
    <mergeCell ref="BA1646:BA1649"/>
    <mergeCell ref="AV1650:AV1652"/>
    <mergeCell ref="AW1650:AW1652"/>
    <mergeCell ref="AX1650:AX1652"/>
    <mergeCell ref="AY1650:AY1652"/>
    <mergeCell ref="AZ1650:AZ1652"/>
    <mergeCell ref="BA1650:BA1652"/>
    <mergeCell ref="BI1650:BI1652"/>
    <mergeCell ref="AV1653:AV1655"/>
    <mergeCell ref="AW1653:AW1655"/>
    <mergeCell ref="AX1653:AX1655"/>
    <mergeCell ref="AY1653:AY1655"/>
    <mergeCell ref="AZ1653:AZ1655"/>
    <mergeCell ref="BA1653:BA1655"/>
    <mergeCell ref="BI1653:BI1655"/>
    <mergeCell ref="AV1656:AV1658"/>
    <mergeCell ref="AW1656:AW1658"/>
    <mergeCell ref="AX1656:AX1658"/>
    <mergeCell ref="AY1656:AY1658"/>
    <mergeCell ref="AZ1656:AZ1658"/>
    <mergeCell ref="BA1656:BA1658"/>
    <mergeCell ref="BI1656:BI1658"/>
    <mergeCell ref="AV1659:AV1661"/>
    <mergeCell ref="AW1659:AW1661"/>
    <mergeCell ref="AX1659:AX1661"/>
    <mergeCell ref="AY1659:AY1661"/>
    <mergeCell ref="AZ1659:AZ1661"/>
    <mergeCell ref="BA1659:BA1661"/>
    <mergeCell ref="BI1659:BI1661"/>
    <mergeCell ref="AV1662:AV1666"/>
    <mergeCell ref="AW1662:AW1666"/>
    <mergeCell ref="AX1662:AX1666"/>
    <mergeCell ref="AY1662:AY1666"/>
    <mergeCell ref="AZ1662:AZ1666"/>
    <mergeCell ref="BA1662:BA1666"/>
    <mergeCell ref="BI1662:BI1666"/>
    <mergeCell ref="AV1667:AV1671"/>
    <mergeCell ref="AW1667:AW1671"/>
    <mergeCell ref="AX1667:AX1671"/>
    <mergeCell ref="AY1667:AY1671"/>
    <mergeCell ref="AZ1667:AZ1671"/>
    <mergeCell ref="BA1667:BA1671"/>
    <mergeCell ref="BI1667:BI1671"/>
    <mergeCell ref="AV1672:AV1676"/>
    <mergeCell ref="AW1672:AW1676"/>
    <mergeCell ref="AX1672:AX1676"/>
    <mergeCell ref="AY1672:AY1676"/>
    <mergeCell ref="AZ1672:AZ1676"/>
    <mergeCell ref="BA1672:BA1676"/>
    <mergeCell ref="BI1672:BI1676"/>
    <mergeCell ref="AV1677:AV1681"/>
    <mergeCell ref="AW1677:AW1681"/>
    <mergeCell ref="AX1677:AX1681"/>
    <mergeCell ref="AY1677:AY1681"/>
    <mergeCell ref="AZ1677:AZ1681"/>
    <mergeCell ref="BA1677:BA1681"/>
    <mergeCell ref="BI1677:BI1681"/>
    <mergeCell ref="AV1682:AV1686"/>
    <mergeCell ref="AW1682:AW1686"/>
    <mergeCell ref="AX1682:AX1686"/>
    <mergeCell ref="AY1682:AY1686"/>
    <mergeCell ref="AZ1682:AZ1686"/>
    <mergeCell ref="BA1682:BA1686"/>
    <mergeCell ref="BI1682:BI1686"/>
    <mergeCell ref="AV1687:AV1691"/>
    <mergeCell ref="AW1687:AW1691"/>
    <mergeCell ref="AX1687:AX1691"/>
    <mergeCell ref="AY1687:AY1691"/>
    <mergeCell ref="AZ1687:AZ1691"/>
    <mergeCell ref="BA1687:BA1691"/>
    <mergeCell ref="BI1687:BI1691"/>
    <mergeCell ref="AV1692:AV1696"/>
    <mergeCell ref="AW1692:AW1696"/>
    <mergeCell ref="AX1692:AX1696"/>
    <mergeCell ref="AY1692:AY1696"/>
    <mergeCell ref="AZ1692:AZ1696"/>
    <mergeCell ref="BA1692:BA1696"/>
    <mergeCell ref="BI1692:BI1696"/>
    <mergeCell ref="AV1697:AV1701"/>
    <mergeCell ref="AW1697:AW1701"/>
    <mergeCell ref="AX1697:AX1701"/>
    <mergeCell ref="AY1697:AY1701"/>
    <mergeCell ref="AZ1697:AZ1701"/>
    <mergeCell ref="BA1697:BA1701"/>
    <mergeCell ref="BI1697:BI1701"/>
    <mergeCell ref="AV1702:AV1706"/>
    <mergeCell ref="AW1702:AW1706"/>
    <mergeCell ref="AX1702:AX1706"/>
    <mergeCell ref="AY1702:AY1706"/>
    <mergeCell ref="AZ1702:AZ1706"/>
    <mergeCell ref="BA1702:BA1706"/>
    <mergeCell ref="BI1702:BI1706"/>
    <mergeCell ref="AV1707:AV1711"/>
    <mergeCell ref="AW1707:AW1711"/>
    <mergeCell ref="AX1707:AX1711"/>
    <mergeCell ref="AY1707:AY1711"/>
    <mergeCell ref="AZ1707:AZ1711"/>
    <mergeCell ref="BA1707:BA1711"/>
    <mergeCell ref="BI1707:BI1711"/>
    <mergeCell ref="AV1712:AV1716"/>
    <mergeCell ref="AW1712:AW1716"/>
    <mergeCell ref="AX1712:AX1716"/>
    <mergeCell ref="AY1712:AY1716"/>
    <mergeCell ref="AZ1712:AZ1716"/>
    <mergeCell ref="BA1712:BA1716"/>
    <mergeCell ref="BI1712:BI1716"/>
    <mergeCell ref="AV1717:AV1721"/>
    <mergeCell ref="AW1717:AW1721"/>
    <mergeCell ref="AX1717:AX1721"/>
    <mergeCell ref="AY1717:AY1721"/>
    <mergeCell ref="AZ1717:AZ1721"/>
    <mergeCell ref="BA1717:BA1721"/>
    <mergeCell ref="BI1717:BI1721"/>
    <mergeCell ref="AV1722:AV1726"/>
    <mergeCell ref="AW1722:AW1726"/>
    <mergeCell ref="AX1722:AX1726"/>
    <mergeCell ref="AY1722:AY1726"/>
    <mergeCell ref="AZ1722:AZ1726"/>
    <mergeCell ref="BA1722:BA1726"/>
    <mergeCell ref="BI1722:BI1726"/>
    <mergeCell ref="AV1727:AV1729"/>
    <mergeCell ref="AW1727:AW1729"/>
    <mergeCell ref="AX1727:AX1729"/>
    <mergeCell ref="AY1727:AY1729"/>
    <mergeCell ref="AZ1727:AZ1729"/>
    <mergeCell ref="BA1727:BA1729"/>
    <mergeCell ref="AV1730:AV1732"/>
    <mergeCell ref="AW1730:AW1732"/>
    <mergeCell ref="AX1730:AX1732"/>
    <mergeCell ref="AY1730:AY1732"/>
    <mergeCell ref="AZ1730:AZ1732"/>
    <mergeCell ref="BA1730:BA1732"/>
    <mergeCell ref="AV1733:AV1735"/>
    <mergeCell ref="AW1733:AW1735"/>
    <mergeCell ref="AX1733:AX1735"/>
    <mergeCell ref="AY1733:AY1735"/>
    <mergeCell ref="AZ1733:AZ1735"/>
    <mergeCell ref="BA1733:BA1735"/>
    <mergeCell ref="AV1736:AV1738"/>
    <mergeCell ref="AW1736:AW1738"/>
    <mergeCell ref="AX1736:AX1738"/>
    <mergeCell ref="AY1736:AY1738"/>
    <mergeCell ref="AZ1736:AZ1738"/>
    <mergeCell ref="BA1736:BA1738"/>
    <mergeCell ref="AV1739:AV1741"/>
    <mergeCell ref="AW1739:AW1741"/>
    <mergeCell ref="AX1739:AX1741"/>
    <mergeCell ref="AY1739:AY1741"/>
    <mergeCell ref="AZ1739:AZ1741"/>
    <mergeCell ref="BA1739:BA1741"/>
    <mergeCell ref="AV1742:AV1744"/>
    <mergeCell ref="AW1742:AW1744"/>
    <mergeCell ref="AX1742:AX1744"/>
    <mergeCell ref="AY1742:AY1744"/>
    <mergeCell ref="AZ1742:AZ1744"/>
    <mergeCell ref="BA1742:BA1744"/>
    <mergeCell ref="AV1745:AV1747"/>
    <mergeCell ref="AW1745:AW1747"/>
    <mergeCell ref="AX1745:AX1747"/>
    <mergeCell ref="AY1745:AY1747"/>
    <mergeCell ref="AZ1745:AZ1747"/>
    <mergeCell ref="BA1745:BA1747"/>
    <mergeCell ref="AV1748:AV1750"/>
    <mergeCell ref="AW1748:AW1750"/>
    <mergeCell ref="AX1748:AX1750"/>
    <mergeCell ref="AY1748:AY1750"/>
    <mergeCell ref="AZ1748:AZ1750"/>
    <mergeCell ref="BA1748:BA1750"/>
    <mergeCell ref="AV1751:AV1753"/>
    <mergeCell ref="AW1751:AW1753"/>
    <mergeCell ref="AX1751:AX1753"/>
    <mergeCell ref="AY1751:AY1753"/>
    <mergeCell ref="AZ1751:AZ1753"/>
    <mergeCell ref="BA1751:BA1753"/>
    <mergeCell ref="AV1754:AV1756"/>
    <mergeCell ref="AW1754:AW1756"/>
    <mergeCell ref="AX1754:AX1756"/>
    <mergeCell ref="AY1754:AY1756"/>
    <mergeCell ref="AZ1754:AZ1756"/>
    <mergeCell ref="BA1754:BA1756"/>
    <mergeCell ref="AV1757:AV1760"/>
    <mergeCell ref="AW1757:AW1760"/>
    <mergeCell ref="AX1757:AX1760"/>
    <mergeCell ref="AY1757:AY1760"/>
    <mergeCell ref="AZ1757:AZ1760"/>
    <mergeCell ref="BA1757:BA1760"/>
    <mergeCell ref="BI1757:BI1760"/>
    <mergeCell ref="AV1761:AV1764"/>
    <mergeCell ref="AW1761:AW1764"/>
    <mergeCell ref="AX1761:AX1764"/>
    <mergeCell ref="AY1761:AY1764"/>
    <mergeCell ref="AZ1761:AZ1764"/>
    <mergeCell ref="BA1761:BA1764"/>
    <mergeCell ref="BI1761:BI1764"/>
    <mergeCell ref="AV1765:AV1769"/>
    <mergeCell ref="AW1765:AW1769"/>
    <mergeCell ref="AX1765:AX1769"/>
    <mergeCell ref="AY1765:AY1769"/>
    <mergeCell ref="AZ1765:AZ1769"/>
    <mergeCell ref="BA1765:BA1769"/>
    <mergeCell ref="BI1765:BI1769"/>
    <mergeCell ref="AV1770:AV1771"/>
    <mergeCell ref="AW1770:AW1771"/>
    <mergeCell ref="AX1770:AX1771"/>
    <mergeCell ref="AY1770:AY1771"/>
    <mergeCell ref="AZ1770:AZ1771"/>
    <mergeCell ref="BA1770:BA1771"/>
    <mergeCell ref="AV1772:AV1773"/>
    <mergeCell ref="AW1772:AW1773"/>
    <mergeCell ref="AX1772:AX1773"/>
    <mergeCell ref="AY1772:AY1773"/>
    <mergeCell ref="AZ1772:AZ1773"/>
    <mergeCell ref="BA1772:BA1773"/>
    <mergeCell ref="AV1774:AV1775"/>
    <mergeCell ref="AW1774:AW1775"/>
    <mergeCell ref="AX1774:AX1775"/>
    <mergeCell ref="AY1774:AY1775"/>
    <mergeCell ref="AZ1774:AZ1775"/>
    <mergeCell ref="BA1774:BA1775"/>
    <mergeCell ref="AV1776:AV1780"/>
    <mergeCell ref="AW1776:AW1780"/>
    <mergeCell ref="AX1776:AX1780"/>
    <mergeCell ref="AY1776:AY1780"/>
    <mergeCell ref="AZ1776:AZ1780"/>
    <mergeCell ref="BA1776:BA1780"/>
    <mergeCell ref="AV1781:AV1784"/>
    <mergeCell ref="AW1781:AW1784"/>
    <mergeCell ref="AX1781:AX1784"/>
    <mergeCell ref="AY1781:AY1784"/>
    <mergeCell ref="AZ1781:AZ1784"/>
    <mergeCell ref="BA1781:BA1784"/>
    <mergeCell ref="AV1785:AV1787"/>
    <mergeCell ref="AW1785:AW1787"/>
    <mergeCell ref="AX1785:AX1787"/>
    <mergeCell ref="AY1785:AY1787"/>
    <mergeCell ref="AZ1785:AZ1787"/>
    <mergeCell ref="BA1785:BA1787"/>
    <mergeCell ref="AV1788:AV1791"/>
    <mergeCell ref="AW1788:AW1791"/>
    <mergeCell ref="AX1788:AX1791"/>
    <mergeCell ref="AY1788:AY1791"/>
    <mergeCell ref="AZ1788:AZ1791"/>
    <mergeCell ref="BA1788:BA1791"/>
    <mergeCell ref="AV1792:AV1795"/>
    <mergeCell ref="AW1792:AW1795"/>
    <mergeCell ref="AX1792:AX1795"/>
    <mergeCell ref="AY1792:AY1795"/>
    <mergeCell ref="AZ1792:AZ1795"/>
    <mergeCell ref="BA1792:BA1795"/>
    <mergeCell ref="AV1796:AV1799"/>
    <mergeCell ref="AW1796:AW1799"/>
    <mergeCell ref="AX1796:AX1799"/>
    <mergeCell ref="AY1796:AY1799"/>
    <mergeCell ref="AZ1796:AZ1799"/>
    <mergeCell ref="BA1796:BA1799"/>
    <mergeCell ref="AV1800:AV1801"/>
    <mergeCell ref="AW1800:AW1801"/>
    <mergeCell ref="AX1800:AX1801"/>
    <mergeCell ref="AY1800:AY1801"/>
    <mergeCell ref="AZ1800:AZ1801"/>
    <mergeCell ref="BA1800:BA1801"/>
    <mergeCell ref="AV1802:AV1805"/>
    <mergeCell ref="AW1802:AW1805"/>
    <mergeCell ref="AX1802:AX1805"/>
    <mergeCell ref="AY1802:AY1805"/>
    <mergeCell ref="AZ1802:AZ1805"/>
    <mergeCell ref="BA1802:BA1805"/>
    <mergeCell ref="AV1806:AV1809"/>
    <mergeCell ref="AW1806:AW1809"/>
    <mergeCell ref="AX1806:AX1809"/>
    <mergeCell ref="AY1806:AY1809"/>
    <mergeCell ref="AZ1806:AZ1809"/>
    <mergeCell ref="BA1806:BA1809"/>
    <mergeCell ref="AV1810:AV1813"/>
    <mergeCell ref="AW1810:AW1813"/>
    <mergeCell ref="AX1810:AX1813"/>
    <mergeCell ref="AY1810:AY1813"/>
    <mergeCell ref="AZ1810:AZ1813"/>
    <mergeCell ref="BA1810:BA1813"/>
    <mergeCell ref="AV1814:AV1815"/>
    <mergeCell ref="AW1814:AW1815"/>
    <mergeCell ref="AX1814:AX1815"/>
    <mergeCell ref="AY1814:AY1815"/>
    <mergeCell ref="AZ1814:AZ1815"/>
    <mergeCell ref="BA1814:BA1815"/>
    <mergeCell ref="AV1816:AV1817"/>
    <mergeCell ref="AW1816:AW1817"/>
    <mergeCell ref="AX1816:AX1817"/>
    <mergeCell ref="AY1816:AY1817"/>
    <mergeCell ref="AZ1816:AZ1817"/>
    <mergeCell ref="BA1816:BA1817"/>
    <mergeCell ref="AV1818:AV1819"/>
    <mergeCell ref="AW1818:AW1819"/>
    <mergeCell ref="AX1818:AX1819"/>
    <mergeCell ref="AY1818:AY1819"/>
    <mergeCell ref="AZ1818:AZ1819"/>
    <mergeCell ref="BA1818:BA1819"/>
    <mergeCell ref="BI1818:BI1819"/>
    <mergeCell ref="AV1820:AV1821"/>
    <mergeCell ref="AW1820:AW1821"/>
    <mergeCell ref="AX1820:AX1821"/>
    <mergeCell ref="AY1820:AY1821"/>
    <mergeCell ref="AZ1820:AZ1821"/>
    <mergeCell ref="BA1820:BA1821"/>
    <mergeCell ref="BI1820:BI1821"/>
    <mergeCell ref="AV1822:AV1823"/>
    <mergeCell ref="AW1822:AW1823"/>
    <mergeCell ref="AX1822:AX1823"/>
    <mergeCell ref="AY1822:AY1823"/>
    <mergeCell ref="AZ1822:AZ1823"/>
    <mergeCell ref="BA1822:BA1823"/>
    <mergeCell ref="AV1824:AV1826"/>
    <mergeCell ref="AW1824:AW1826"/>
    <mergeCell ref="AX1824:AX1826"/>
    <mergeCell ref="AY1824:AY1826"/>
    <mergeCell ref="AZ1824:AZ1826"/>
    <mergeCell ref="BA1824:BA1826"/>
    <mergeCell ref="AV1827:AV1828"/>
    <mergeCell ref="AW1827:AW1828"/>
    <mergeCell ref="AX1827:AX1828"/>
    <mergeCell ref="AY1827:AY1828"/>
    <mergeCell ref="AZ1827:AZ1828"/>
    <mergeCell ref="BA1827:BA1828"/>
    <mergeCell ref="AV1829:AV1830"/>
    <mergeCell ref="AW1829:AW1830"/>
    <mergeCell ref="AX1829:AX1830"/>
    <mergeCell ref="AY1829:AY1830"/>
    <mergeCell ref="AZ1829:AZ1830"/>
    <mergeCell ref="BA1829:BA1830"/>
    <mergeCell ref="AV1831:AV1832"/>
    <mergeCell ref="AW1831:AW1832"/>
    <mergeCell ref="AX1831:AX1832"/>
    <mergeCell ref="AY1831:AY1832"/>
    <mergeCell ref="AZ1831:AZ1832"/>
    <mergeCell ref="BA1831:BA1832"/>
    <mergeCell ref="AV1833:AV1834"/>
    <mergeCell ref="AW1833:AW1834"/>
    <mergeCell ref="AX1833:AX1834"/>
    <mergeCell ref="AY1833:AY1834"/>
    <mergeCell ref="AZ1833:AZ1834"/>
    <mergeCell ref="BA1833:BA1834"/>
    <mergeCell ref="AV1835:AV1836"/>
    <mergeCell ref="AW1835:AW1836"/>
    <mergeCell ref="AX1835:AX1836"/>
    <mergeCell ref="AY1835:AY1836"/>
    <mergeCell ref="AZ1835:AZ1836"/>
    <mergeCell ref="BA1835:BA1836"/>
    <mergeCell ref="AV1837:AV1838"/>
    <mergeCell ref="AW1837:AW1838"/>
    <mergeCell ref="AX1837:AX1838"/>
    <mergeCell ref="AY1837:AY1838"/>
    <mergeCell ref="AZ1837:AZ1838"/>
    <mergeCell ref="BA1837:BA1838"/>
    <mergeCell ref="AV1839:AV1840"/>
    <mergeCell ref="AW1839:AW1840"/>
    <mergeCell ref="AX1839:AX1840"/>
    <mergeCell ref="AY1839:AY1840"/>
    <mergeCell ref="AZ1839:AZ1840"/>
    <mergeCell ref="BA1839:BA1840"/>
    <mergeCell ref="AV1841:AV1842"/>
    <mergeCell ref="AW1841:AW1842"/>
    <mergeCell ref="AX1841:AX1842"/>
    <mergeCell ref="AY1841:AY1842"/>
    <mergeCell ref="AZ1841:AZ1842"/>
    <mergeCell ref="BA1841:BA1842"/>
    <mergeCell ref="AV1843:AV1844"/>
    <mergeCell ref="AW1843:AW1844"/>
    <mergeCell ref="AX1843:AX1844"/>
    <mergeCell ref="AY1843:AY1844"/>
    <mergeCell ref="AZ1843:AZ1844"/>
    <mergeCell ref="BA1843:BA1844"/>
    <mergeCell ref="AV1845:AV1846"/>
    <mergeCell ref="AW1845:AW1846"/>
    <mergeCell ref="AX1845:AX1846"/>
    <mergeCell ref="AY1845:AY1846"/>
    <mergeCell ref="AZ1845:AZ1846"/>
    <mergeCell ref="BA1845:BA1846"/>
    <mergeCell ref="AV1847:AV1848"/>
    <mergeCell ref="AW1847:AW1848"/>
    <mergeCell ref="AX1847:AX1848"/>
    <mergeCell ref="AY1847:AY1848"/>
    <mergeCell ref="AZ1847:AZ1848"/>
    <mergeCell ref="BA1847:BA1848"/>
    <mergeCell ref="AV1849:AV1850"/>
    <mergeCell ref="AW1849:AW1850"/>
    <mergeCell ref="AX1849:AX1850"/>
    <mergeCell ref="AY1849:AY1850"/>
    <mergeCell ref="AZ1849:AZ1850"/>
    <mergeCell ref="BA1849:BA1850"/>
    <mergeCell ref="BI1849:BI1850"/>
    <mergeCell ref="AV1851:AV1852"/>
    <mergeCell ref="AW1851:AW1852"/>
    <mergeCell ref="AX1851:AX1852"/>
    <mergeCell ref="AY1851:AY1852"/>
    <mergeCell ref="AZ1851:AZ1852"/>
    <mergeCell ref="BA1851:BA1852"/>
    <mergeCell ref="BI1851:BI1852"/>
    <mergeCell ref="AV1853:AV1854"/>
    <mergeCell ref="AW1853:AW1854"/>
    <mergeCell ref="AX1853:AX1854"/>
    <mergeCell ref="AY1853:AY1854"/>
    <mergeCell ref="AZ1853:AZ1854"/>
    <mergeCell ref="BA1853:BA1854"/>
    <mergeCell ref="BI1853:BI1854"/>
    <mergeCell ref="AV1855:AV1856"/>
    <mergeCell ref="AW1855:AW1856"/>
    <mergeCell ref="AX1855:AX1856"/>
    <mergeCell ref="AY1855:AY1856"/>
    <mergeCell ref="AZ1855:AZ1856"/>
    <mergeCell ref="BA1855:BA1856"/>
    <mergeCell ref="AV1864:AV1865"/>
    <mergeCell ref="AW1864:AW1865"/>
    <mergeCell ref="AX1864:AX1865"/>
    <mergeCell ref="AY1864:AY1865"/>
    <mergeCell ref="AZ1864:AZ1865"/>
    <mergeCell ref="BA1864:BA1865"/>
    <mergeCell ref="AV1874:AV1876"/>
    <mergeCell ref="AW1874:AW1876"/>
    <mergeCell ref="AX1874:AX1876"/>
    <mergeCell ref="AY1874:AY1876"/>
    <mergeCell ref="AZ1874:AZ1876"/>
    <mergeCell ref="BA1874:BA1876"/>
    <mergeCell ref="BI1874:BI1876"/>
    <mergeCell ref="AV1877:AV1878"/>
    <mergeCell ref="AW1877:AW1878"/>
    <mergeCell ref="AX1877:AX1878"/>
    <mergeCell ref="AY1877:AY1878"/>
    <mergeCell ref="AZ1877:AZ1878"/>
    <mergeCell ref="BA1877:BA1878"/>
    <mergeCell ref="BI1877:BI1878"/>
    <mergeCell ref="AV1879:AV1880"/>
    <mergeCell ref="AW1879:AW1880"/>
    <mergeCell ref="AX1879:AX1880"/>
    <mergeCell ref="AY1879:AY1880"/>
    <mergeCell ref="AZ1879:AZ1880"/>
    <mergeCell ref="BA1879:BA1880"/>
    <mergeCell ref="BI1879:BI1880"/>
    <mergeCell ref="AV1881:AV1882"/>
    <mergeCell ref="AW1881:AW1882"/>
    <mergeCell ref="AX1881:AX1882"/>
    <mergeCell ref="AY1881:AY1882"/>
    <mergeCell ref="AZ1881:AZ1882"/>
    <mergeCell ref="BA1881:BA1882"/>
    <mergeCell ref="BI1881:BI1882"/>
    <mergeCell ref="AV1883:AV1884"/>
    <mergeCell ref="AW1883:AW1884"/>
    <mergeCell ref="AX1883:AX1884"/>
    <mergeCell ref="AY1883:AY1884"/>
    <mergeCell ref="AZ1883:AZ1884"/>
    <mergeCell ref="BA1883:BA1884"/>
    <mergeCell ref="BI1883:BI1884"/>
    <mergeCell ref="AV1885:AV1886"/>
    <mergeCell ref="AW1885:AW1886"/>
    <mergeCell ref="AX1885:AX1886"/>
    <mergeCell ref="AY1885:AY1886"/>
    <mergeCell ref="AZ1885:AZ1886"/>
    <mergeCell ref="BA1885:BA1886"/>
    <mergeCell ref="BI1885:BI1886"/>
    <mergeCell ref="AV1887:AV1888"/>
    <mergeCell ref="AW1887:AW1888"/>
    <mergeCell ref="AX1887:AX1888"/>
    <mergeCell ref="AY1887:AY1888"/>
    <mergeCell ref="AZ1887:AZ1888"/>
    <mergeCell ref="BA1887:BA1888"/>
    <mergeCell ref="AV1889:AV1890"/>
    <mergeCell ref="AW1889:AW1890"/>
    <mergeCell ref="AX1889:AX1890"/>
    <mergeCell ref="AY1889:AY1890"/>
    <mergeCell ref="AZ1889:AZ1890"/>
    <mergeCell ref="BA1889:BA1890"/>
    <mergeCell ref="AV1891:AV1892"/>
    <mergeCell ref="AW1891:AW1892"/>
    <mergeCell ref="AX1891:AX1892"/>
    <mergeCell ref="AY1891:AY1892"/>
    <mergeCell ref="AZ1891:AZ1892"/>
    <mergeCell ref="BA1891:BA1892"/>
    <mergeCell ref="AV1893:AV1894"/>
    <mergeCell ref="AW1893:AW1894"/>
    <mergeCell ref="AX1893:AX1894"/>
    <mergeCell ref="AY1893:AY1894"/>
    <mergeCell ref="AZ1893:AZ1894"/>
    <mergeCell ref="BA1893:BA1894"/>
    <mergeCell ref="AV1895:AV1896"/>
    <mergeCell ref="AW1895:AW1896"/>
    <mergeCell ref="AX1895:AX1896"/>
    <mergeCell ref="AY1895:AY1896"/>
    <mergeCell ref="AZ1895:AZ1896"/>
    <mergeCell ref="BA1895:BA1896"/>
    <mergeCell ref="AV1897:AV1898"/>
    <mergeCell ref="AW1897:AW1898"/>
    <mergeCell ref="AX1897:AX1898"/>
    <mergeCell ref="AY1897:AY1898"/>
    <mergeCell ref="AZ1897:AZ1898"/>
    <mergeCell ref="BA1897:BA1898"/>
    <mergeCell ref="AV1899:AV1900"/>
    <mergeCell ref="AW1899:AW1900"/>
    <mergeCell ref="AX1899:AX1900"/>
    <mergeCell ref="AY1899:AY1900"/>
    <mergeCell ref="AZ1899:AZ1900"/>
    <mergeCell ref="BA1899:BA1900"/>
    <mergeCell ref="AV1901:AV1903"/>
    <mergeCell ref="AW1901:AW1903"/>
    <mergeCell ref="AX1901:AX1903"/>
    <mergeCell ref="AY1901:AY1903"/>
    <mergeCell ref="AZ1901:AZ1903"/>
    <mergeCell ref="BA1901:BA1903"/>
    <mergeCell ref="AV1904:AV1905"/>
    <mergeCell ref="AW1904:AW1905"/>
    <mergeCell ref="AX1904:AX1905"/>
    <mergeCell ref="AY1904:AY1905"/>
    <mergeCell ref="AZ1904:AZ1905"/>
    <mergeCell ref="BA1904:BA1905"/>
    <mergeCell ref="AV1906:AV1907"/>
    <mergeCell ref="AW1906:AW1907"/>
    <mergeCell ref="AX1906:AX1907"/>
    <mergeCell ref="AY1906:AY1907"/>
    <mergeCell ref="AZ1906:AZ1907"/>
    <mergeCell ref="BA1906:BA1907"/>
    <mergeCell ref="AV1908:AV1909"/>
    <mergeCell ref="AW1908:AW1909"/>
    <mergeCell ref="AX1908:AX1909"/>
    <mergeCell ref="AY1908:AY1909"/>
    <mergeCell ref="AZ1908:AZ1909"/>
    <mergeCell ref="BA1908:BA1909"/>
    <mergeCell ref="AV1910:AV1911"/>
    <mergeCell ref="AW1910:AW1911"/>
    <mergeCell ref="AX1910:AX1911"/>
    <mergeCell ref="AY1910:AY1911"/>
    <mergeCell ref="AZ1910:AZ1911"/>
    <mergeCell ref="BA1910:BA1911"/>
    <mergeCell ref="AV1914:AV1917"/>
    <mergeCell ref="AW1914:AW1917"/>
    <mergeCell ref="AX1914:AX1917"/>
    <mergeCell ref="AY1914:AY1917"/>
    <mergeCell ref="AZ1914:AZ1917"/>
    <mergeCell ref="BA1914:BA1917"/>
    <mergeCell ref="BI1914:BI1917"/>
    <mergeCell ref="AV1918:AV1922"/>
    <mergeCell ref="AW1918:AW1922"/>
    <mergeCell ref="AX1918:AX1922"/>
    <mergeCell ref="AY1918:AY1922"/>
    <mergeCell ref="AZ1918:AZ1922"/>
    <mergeCell ref="BA1918:BA1922"/>
    <mergeCell ref="AV1923:AV1925"/>
    <mergeCell ref="AW1923:AW1925"/>
    <mergeCell ref="AX1923:AX1925"/>
    <mergeCell ref="AY1923:AY1925"/>
    <mergeCell ref="AZ1923:AZ1925"/>
    <mergeCell ref="BA1923:BA1925"/>
    <mergeCell ref="AV1927:AV1929"/>
    <mergeCell ref="AW1927:AW1929"/>
    <mergeCell ref="AX1927:AX1929"/>
    <mergeCell ref="AY1927:AY1929"/>
    <mergeCell ref="AZ1927:AZ1929"/>
    <mergeCell ref="BA1927:BA1929"/>
    <mergeCell ref="AV1941:AV1942"/>
    <mergeCell ref="AW1941:AW1942"/>
    <mergeCell ref="AX1941:AX1942"/>
    <mergeCell ref="AY1941:AY1942"/>
    <mergeCell ref="AZ1941:AZ1942"/>
    <mergeCell ref="BA1941:BA1942"/>
    <mergeCell ref="BI1941:BI1942"/>
    <mergeCell ref="AV1943:AV1944"/>
    <mergeCell ref="AW1943:AW1944"/>
    <mergeCell ref="AX1943:AX1944"/>
    <mergeCell ref="AY1943:AY1944"/>
    <mergeCell ref="AZ1943:AZ1944"/>
    <mergeCell ref="BA1943:BA1944"/>
    <mergeCell ref="AV1945:AV1946"/>
    <mergeCell ref="AW1945:AW1946"/>
    <mergeCell ref="AX1945:AX1946"/>
    <mergeCell ref="AY1945:AY1946"/>
    <mergeCell ref="AZ1945:AZ1946"/>
    <mergeCell ref="BA1945:BA1946"/>
    <mergeCell ref="AV1947:AV1948"/>
    <mergeCell ref="AW1947:AW1948"/>
    <mergeCell ref="AX1947:AX1948"/>
    <mergeCell ref="AY1947:AY1948"/>
    <mergeCell ref="AZ1947:AZ1948"/>
    <mergeCell ref="BA1947:BA1948"/>
    <mergeCell ref="AV1949:AV1950"/>
    <mergeCell ref="AW1949:AW1950"/>
    <mergeCell ref="AX1949:AX1950"/>
    <mergeCell ref="AY1949:AY1950"/>
    <mergeCell ref="AZ1949:AZ1950"/>
    <mergeCell ref="BA1949:BA1950"/>
    <mergeCell ref="AV1951:AV1952"/>
    <mergeCell ref="AW1951:AW1952"/>
    <mergeCell ref="AX1951:AX1952"/>
    <mergeCell ref="AY1951:AY1952"/>
    <mergeCell ref="AZ1951:AZ1952"/>
    <mergeCell ref="BA1951:BA1952"/>
    <mergeCell ref="AV1953:AV1954"/>
    <mergeCell ref="AW1953:AW1954"/>
    <mergeCell ref="AX1953:AX1954"/>
    <mergeCell ref="AY1953:AY1954"/>
    <mergeCell ref="AZ1953:AZ1954"/>
    <mergeCell ref="BA1953:BA1954"/>
    <mergeCell ref="AV1955:AV1956"/>
    <mergeCell ref="AW1955:AW1956"/>
    <mergeCell ref="AX1955:AX1956"/>
    <mergeCell ref="AY1955:AY1956"/>
    <mergeCell ref="AZ1955:AZ1956"/>
    <mergeCell ref="BA1955:BA1956"/>
    <mergeCell ref="AV1957:AV1958"/>
    <mergeCell ref="AW1957:AW1958"/>
    <mergeCell ref="AX1957:AX1958"/>
    <mergeCell ref="AY1957:AY1958"/>
    <mergeCell ref="AZ1957:AZ1958"/>
    <mergeCell ref="BA1957:BA1958"/>
    <mergeCell ref="AV1959:AV1960"/>
    <mergeCell ref="AW1959:AW1960"/>
    <mergeCell ref="AX1959:AX1960"/>
    <mergeCell ref="AY1959:AY1960"/>
    <mergeCell ref="AZ1959:AZ1960"/>
    <mergeCell ref="BA1959:BA1960"/>
    <mergeCell ref="AV1962:AV1963"/>
    <mergeCell ref="AW1962:AW1963"/>
    <mergeCell ref="AX1962:AX1963"/>
    <mergeCell ref="AY1962:AY1963"/>
    <mergeCell ref="AZ1962:AZ1963"/>
    <mergeCell ref="BA1962:BA1963"/>
    <mergeCell ref="AV1964:AV1965"/>
    <mergeCell ref="AW1964:AW1965"/>
    <mergeCell ref="AX1964:AX1965"/>
    <mergeCell ref="AY1964:AY1965"/>
    <mergeCell ref="AZ1964:AZ1965"/>
    <mergeCell ref="BA1964:BA1965"/>
    <mergeCell ref="AV1966:AV1967"/>
    <mergeCell ref="AW1966:AW1967"/>
    <mergeCell ref="AX1966:AX1967"/>
    <mergeCell ref="AY1966:AY1967"/>
    <mergeCell ref="AZ1966:AZ1967"/>
    <mergeCell ref="BA1966:BA1967"/>
    <mergeCell ref="AV1968:AV1969"/>
    <mergeCell ref="AW1968:AW1969"/>
    <mergeCell ref="AX1968:AX1969"/>
    <mergeCell ref="AY1968:AY1969"/>
    <mergeCell ref="AZ1968:AZ1969"/>
    <mergeCell ref="BA1968:BA1969"/>
    <mergeCell ref="AV1970:AV1971"/>
    <mergeCell ref="AW1970:AW1971"/>
    <mergeCell ref="AX1970:AX1971"/>
    <mergeCell ref="AY1970:AY1971"/>
    <mergeCell ref="AZ1970:AZ1971"/>
    <mergeCell ref="BA1970:BA1971"/>
    <mergeCell ref="AV1972:AV1973"/>
    <mergeCell ref="AW1972:AW1973"/>
    <mergeCell ref="AX1972:AX1973"/>
    <mergeCell ref="AY1972:AY1973"/>
    <mergeCell ref="AZ1972:AZ1973"/>
    <mergeCell ref="BA1972:BA1973"/>
    <mergeCell ref="AV1974:AV1975"/>
    <mergeCell ref="AW1974:AW1975"/>
    <mergeCell ref="AX1974:AX1975"/>
    <mergeCell ref="AY1974:AY1975"/>
    <mergeCell ref="AZ1974:AZ1975"/>
    <mergeCell ref="BA1974:BA1975"/>
    <mergeCell ref="AV1976:AV1977"/>
    <mergeCell ref="AW1976:AW1977"/>
    <mergeCell ref="AX1976:AX1977"/>
    <mergeCell ref="AY1976:AY1977"/>
    <mergeCell ref="AZ1976:AZ1977"/>
    <mergeCell ref="BA1976:BA1977"/>
    <mergeCell ref="AV1978:AV1979"/>
    <mergeCell ref="AW1978:AW1979"/>
    <mergeCell ref="AX1978:AX1979"/>
    <mergeCell ref="AY1978:AY1979"/>
    <mergeCell ref="AZ1978:AZ1979"/>
    <mergeCell ref="BA1978:BA1979"/>
    <mergeCell ref="AV1981:AV1982"/>
    <mergeCell ref="AW1981:AW1982"/>
    <mergeCell ref="AX1981:AX1982"/>
    <mergeCell ref="AY1981:AY1982"/>
    <mergeCell ref="AZ1981:AZ1982"/>
    <mergeCell ref="BA1981:BA1982"/>
    <mergeCell ref="AV1983:AV1984"/>
    <mergeCell ref="AW1983:AW1984"/>
    <mergeCell ref="AX1983:AX1984"/>
    <mergeCell ref="AY1983:AY1984"/>
    <mergeCell ref="AZ1983:AZ1984"/>
    <mergeCell ref="BA1983:BA1984"/>
    <mergeCell ref="AV1985:AV1986"/>
    <mergeCell ref="AW1985:AW1986"/>
    <mergeCell ref="AX1985:AX1986"/>
    <mergeCell ref="AY1985:AY1986"/>
    <mergeCell ref="AZ1985:AZ1986"/>
    <mergeCell ref="BA1985:BA1986"/>
    <mergeCell ref="AV1987:AV1988"/>
    <mergeCell ref="AW1987:AW1988"/>
    <mergeCell ref="AX1987:AX1988"/>
    <mergeCell ref="AY1987:AY1988"/>
    <mergeCell ref="AZ1987:AZ1988"/>
    <mergeCell ref="BA1987:BA1988"/>
    <mergeCell ref="AV1989:AV1990"/>
    <mergeCell ref="AW1989:AW1990"/>
    <mergeCell ref="AX1989:AX1990"/>
    <mergeCell ref="AY1989:AY1990"/>
    <mergeCell ref="AZ1989:AZ1990"/>
    <mergeCell ref="BA1989:BA1990"/>
    <mergeCell ref="AV1991:AV1992"/>
    <mergeCell ref="AW1991:AW1992"/>
    <mergeCell ref="AX1991:AX1992"/>
    <mergeCell ref="AY1991:AY1992"/>
    <mergeCell ref="AZ1991:AZ1992"/>
    <mergeCell ref="BA1991:BA1992"/>
    <mergeCell ref="AV1993:AV1994"/>
    <mergeCell ref="AW1993:AW1994"/>
    <mergeCell ref="AX1993:AX1994"/>
    <mergeCell ref="AY1993:AY1994"/>
    <mergeCell ref="AZ1993:AZ1994"/>
    <mergeCell ref="BA1993:BA1994"/>
    <mergeCell ref="AV1995:AV1996"/>
    <mergeCell ref="AW1995:AW1996"/>
    <mergeCell ref="AX1995:AX1996"/>
    <mergeCell ref="AY1995:AY1996"/>
    <mergeCell ref="AZ1995:AZ1996"/>
    <mergeCell ref="BA1995:BA1996"/>
    <mergeCell ref="AV1997:AV1998"/>
    <mergeCell ref="AW1997:AW1998"/>
    <mergeCell ref="AX1997:AX1998"/>
    <mergeCell ref="AY1997:AY1998"/>
    <mergeCell ref="AZ1997:AZ1998"/>
    <mergeCell ref="BA1997:BA1998"/>
    <mergeCell ref="AV1999:AV2000"/>
    <mergeCell ref="AW1999:AW2000"/>
    <mergeCell ref="AX1999:AX2000"/>
    <mergeCell ref="AY1999:AY2000"/>
    <mergeCell ref="AZ1999:AZ2000"/>
    <mergeCell ref="BA1999:BA2000"/>
    <mergeCell ref="AV2001:AV2002"/>
    <mergeCell ref="AW2001:AW2002"/>
    <mergeCell ref="AX2001:AX2002"/>
    <mergeCell ref="AY2001:AY2002"/>
    <mergeCell ref="AZ2001:AZ2002"/>
    <mergeCell ref="BA2001:BA2002"/>
    <mergeCell ref="AV2003:AV2004"/>
    <mergeCell ref="AW2003:AW2004"/>
    <mergeCell ref="AX2003:AX2004"/>
    <mergeCell ref="AY2003:AY2004"/>
    <mergeCell ref="AZ2003:AZ2004"/>
    <mergeCell ref="BA2003:BA2004"/>
    <mergeCell ref="AV2005:AV2006"/>
    <mergeCell ref="AW2005:AW2006"/>
    <mergeCell ref="AX2005:AX2006"/>
    <mergeCell ref="AY2005:AY2006"/>
    <mergeCell ref="AZ2005:AZ2006"/>
    <mergeCell ref="BA2005:BA2006"/>
    <mergeCell ref="AV2007:AV2008"/>
    <mergeCell ref="AW2007:AW2008"/>
    <mergeCell ref="AX2007:AX2008"/>
    <mergeCell ref="AY2007:AY2008"/>
    <mergeCell ref="AZ2007:AZ2008"/>
    <mergeCell ref="BA2007:BA2008"/>
    <mergeCell ref="AV2009:AV2010"/>
    <mergeCell ref="AW2009:AW2010"/>
    <mergeCell ref="AX2009:AX2010"/>
    <mergeCell ref="AY2009:AY2010"/>
    <mergeCell ref="AZ2009:AZ2010"/>
    <mergeCell ref="BA2009:BA2010"/>
    <mergeCell ref="AV2011:AV2012"/>
    <mergeCell ref="AW2011:AW2012"/>
    <mergeCell ref="AX2011:AX2012"/>
    <mergeCell ref="AY2011:AY2012"/>
    <mergeCell ref="AZ2011:AZ2012"/>
    <mergeCell ref="BA2011:BA2012"/>
    <mergeCell ref="AV2014:AV2015"/>
    <mergeCell ref="AW2014:AW2015"/>
    <mergeCell ref="AX2014:AX2015"/>
    <mergeCell ref="AY2014:AY2015"/>
    <mergeCell ref="AZ2014:AZ2015"/>
    <mergeCell ref="BA2014:BA2015"/>
    <mergeCell ref="AV2017:AV2018"/>
    <mergeCell ref="AW2017:AW2018"/>
    <mergeCell ref="AX2017:AX2018"/>
    <mergeCell ref="AY2017:AY2018"/>
    <mergeCell ref="AZ2017:AZ2018"/>
    <mergeCell ref="BA2017:BA2018"/>
    <mergeCell ref="AV2019:AV2020"/>
    <mergeCell ref="AW2019:AW2020"/>
    <mergeCell ref="AX2019:AX2020"/>
    <mergeCell ref="AY2019:AY2020"/>
    <mergeCell ref="AZ2019:AZ2020"/>
    <mergeCell ref="BA2019:BA2020"/>
    <mergeCell ref="AV2021:AV2022"/>
    <mergeCell ref="AW2021:AW2022"/>
    <mergeCell ref="AX2021:AX2022"/>
    <mergeCell ref="AY2021:AY2022"/>
    <mergeCell ref="AZ2021:AZ2022"/>
    <mergeCell ref="BA2021:BA2022"/>
    <mergeCell ref="AV2023:AV2024"/>
    <mergeCell ref="AW2023:AW2024"/>
    <mergeCell ref="AX2023:AX2024"/>
    <mergeCell ref="AY2023:AY2024"/>
    <mergeCell ref="AZ2023:AZ2024"/>
    <mergeCell ref="BA2023:BA2024"/>
    <mergeCell ref="AV2026:AV2027"/>
    <mergeCell ref="AW2026:AW2027"/>
    <mergeCell ref="AX2026:AX2027"/>
    <mergeCell ref="AY2026:AY2027"/>
    <mergeCell ref="AZ2026:AZ2027"/>
    <mergeCell ref="BA2026:BA2027"/>
    <mergeCell ref="AV2028:AV2029"/>
    <mergeCell ref="AW2028:AW2029"/>
    <mergeCell ref="AX2028:AX2029"/>
    <mergeCell ref="AY2028:AY2029"/>
    <mergeCell ref="AZ2028:AZ2029"/>
    <mergeCell ref="BA2028:BA2029"/>
    <mergeCell ref="AV2030:AV2031"/>
    <mergeCell ref="AW2030:AW2031"/>
    <mergeCell ref="AX2030:AX2031"/>
    <mergeCell ref="AY2030:AY2031"/>
    <mergeCell ref="AZ2030:AZ2031"/>
    <mergeCell ref="BA2030:BA2031"/>
    <mergeCell ref="AV2033:AV2034"/>
    <mergeCell ref="AW2033:AW2034"/>
    <mergeCell ref="AX2033:AX2034"/>
    <mergeCell ref="AY2033:AY2034"/>
    <mergeCell ref="AZ2033:AZ2034"/>
    <mergeCell ref="BA2033:BA2034"/>
    <mergeCell ref="AV2035:AV2036"/>
    <mergeCell ref="AW2035:AW2036"/>
    <mergeCell ref="AX2035:AX2036"/>
    <mergeCell ref="AY2035:AY2036"/>
    <mergeCell ref="AZ2035:AZ2036"/>
    <mergeCell ref="BA2035:BA2036"/>
    <mergeCell ref="AV2037:AV2038"/>
    <mergeCell ref="AW2037:AW2038"/>
    <mergeCell ref="AX2037:AX2038"/>
    <mergeCell ref="AY2037:AY2038"/>
    <mergeCell ref="AZ2037:AZ2038"/>
    <mergeCell ref="BA2037:BA2038"/>
    <mergeCell ref="AV2039:AV2040"/>
    <mergeCell ref="AW2039:AW2040"/>
    <mergeCell ref="AX2039:AX2040"/>
    <mergeCell ref="AY2039:AY2040"/>
    <mergeCell ref="AZ2039:AZ2040"/>
    <mergeCell ref="BA2039:BA2040"/>
    <mergeCell ref="AV2041:AV2042"/>
    <mergeCell ref="AW2041:AW2042"/>
    <mergeCell ref="AX2041:AX2042"/>
    <mergeCell ref="AY2041:AY2042"/>
    <mergeCell ref="AZ2041:AZ2042"/>
    <mergeCell ref="BA2041:BA2042"/>
    <mergeCell ref="AV2043:AV2044"/>
    <mergeCell ref="AW2043:AW2044"/>
    <mergeCell ref="AX2043:AX2044"/>
    <mergeCell ref="AY2043:AY2044"/>
    <mergeCell ref="AZ2043:AZ2044"/>
    <mergeCell ref="BA2043:BA2044"/>
    <mergeCell ref="AV2045:AV2046"/>
    <mergeCell ref="AW2045:AW2046"/>
    <mergeCell ref="AX2045:AX2046"/>
    <mergeCell ref="AY2045:AY2046"/>
    <mergeCell ref="AZ2045:AZ2046"/>
    <mergeCell ref="BA2045:BA2046"/>
    <mergeCell ref="AV2047:AV2048"/>
    <mergeCell ref="AW2047:AW2048"/>
    <mergeCell ref="AX2047:AX2048"/>
    <mergeCell ref="AY2047:AY2048"/>
    <mergeCell ref="AZ2047:AZ2048"/>
    <mergeCell ref="BA2047:BA2048"/>
    <mergeCell ref="AV2049:AV2050"/>
    <mergeCell ref="AW2049:AW2050"/>
    <mergeCell ref="AX2049:AX2050"/>
    <mergeCell ref="AY2049:AY2050"/>
    <mergeCell ref="AZ2049:AZ2050"/>
    <mergeCell ref="BA2049:BA2050"/>
    <mergeCell ref="AV2051:AV2052"/>
    <mergeCell ref="AW2051:AW2052"/>
    <mergeCell ref="AX2051:AX2052"/>
    <mergeCell ref="AY2051:AY2052"/>
    <mergeCell ref="AZ2051:AZ2052"/>
    <mergeCell ref="BA2051:BA2052"/>
    <mergeCell ref="AV2053:AV2054"/>
    <mergeCell ref="AW2053:AW2054"/>
    <mergeCell ref="AX2053:AX2054"/>
    <mergeCell ref="AY2053:AY2054"/>
    <mergeCell ref="AZ2053:AZ2054"/>
    <mergeCell ref="BA2053:BA2054"/>
    <mergeCell ref="AV2055:AV2056"/>
    <mergeCell ref="AW2055:AW2056"/>
    <mergeCell ref="AX2055:AX2056"/>
    <mergeCell ref="AY2055:AY2056"/>
    <mergeCell ref="AZ2055:AZ2056"/>
    <mergeCell ref="BA2055:BA2056"/>
    <mergeCell ref="AV2059:AV2060"/>
    <mergeCell ref="AW2059:AW2060"/>
    <mergeCell ref="AX2059:AX2060"/>
    <mergeCell ref="AY2059:AY2060"/>
    <mergeCell ref="AZ2059:AZ2060"/>
    <mergeCell ref="BA2059:BA2060"/>
    <mergeCell ref="AV2061:AV2062"/>
    <mergeCell ref="AW2061:AW2062"/>
    <mergeCell ref="AX2061:AX2062"/>
    <mergeCell ref="AY2061:AY2062"/>
    <mergeCell ref="AZ2061:AZ2062"/>
    <mergeCell ref="BA2061:BA2062"/>
    <mergeCell ref="AV2063:AV2064"/>
    <mergeCell ref="AW2063:AW2064"/>
    <mergeCell ref="AX2063:AX2064"/>
    <mergeCell ref="AY2063:AY2064"/>
    <mergeCell ref="AZ2063:AZ2064"/>
    <mergeCell ref="BA2063:BA2064"/>
    <mergeCell ref="AV2065:AV2066"/>
    <mergeCell ref="AW2065:AW2066"/>
    <mergeCell ref="AX2065:AX2066"/>
    <mergeCell ref="AY2065:AY2066"/>
    <mergeCell ref="AZ2065:AZ2066"/>
    <mergeCell ref="BA2065:BA2066"/>
    <mergeCell ref="AV2067:AV2068"/>
    <mergeCell ref="AW2067:AW2068"/>
    <mergeCell ref="AX2067:AX2068"/>
    <mergeCell ref="AY2067:AY2068"/>
    <mergeCell ref="AZ2067:AZ2068"/>
    <mergeCell ref="BA2067:BA2068"/>
    <mergeCell ref="AV2076:AV2078"/>
    <mergeCell ref="AW2076:AW2078"/>
    <mergeCell ref="AX2076:AX2078"/>
    <mergeCell ref="AY2076:AY2078"/>
    <mergeCell ref="AZ2076:AZ2078"/>
    <mergeCell ref="BA2076:BA2078"/>
    <mergeCell ref="AV2079:AV2081"/>
    <mergeCell ref="AW2079:AW2081"/>
    <mergeCell ref="AX2079:AX2081"/>
    <mergeCell ref="AY2079:AY2081"/>
    <mergeCell ref="AZ2079:AZ2081"/>
    <mergeCell ref="BA2079:BA2081"/>
    <mergeCell ref="AV2082:AV2084"/>
    <mergeCell ref="AW2082:AW2084"/>
    <mergeCell ref="AX2082:AX2084"/>
    <mergeCell ref="AY2082:AY2084"/>
    <mergeCell ref="AZ2082:AZ2084"/>
    <mergeCell ref="BA2082:BA2084"/>
    <mergeCell ref="AV2085:AV2087"/>
    <mergeCell ref="AW2085:AW2087"/>
    <mergeCell ref="AX2085:AX2087"/>
    <mergeCell ref="AY2085:AY2087"/>
    <mergeCell ref="AZ2085:AZ2087"/>
    <mergeCell ref="BA2085:BA2087"/>
    <mergeCell ref="AV2088:AV2090"/>
    <mergeCell ref="AW2088:AW2090"/>
    <mergeCell ref="AX2088:AX2090"/>
    <mergeCell ref="AY2088:AY2090"/>
    <mergeCell ref="AZ2088:AZ2090"/>
    <mergeCell ref="BA2088:BA2090"/>
    <mergeCell ref="AV2091:AV2093"/>
    <mergeCell ref="AW2091:AW2093"/>
    <mergeCell ref="AX2091:AX2093"/>
    <mergeCell ref="AY2091:AY2093"/>
    <mergeCell ref="AZ2091:AZ2093"/>
    <mergeCell ref="BA2091:BA2093"/>
    <mergeCell ref="AV2094:AV2095"/>
    <mergeCell ref="AW2094:AW2095"/>
    <mergeCell ref="AX2094:AX2095"/>
    <mergeCell ref="AY2094:AY2095"/>
    <mergeCell ref="AZ2094:AZ2095"/>
    <mergeCell ref="BA2094:BA2095"/>
    <mergeCell ref="AV2096:AV2097"/>
    <mergeCell ref="AW2096:AW2097"/>
    <mergeCell ref="AX2096:AX2097"/>
    <mergeCell ref="AY2096:AY2097"/>
    <mergeCell ref="AZ2096:AZ2097"/>
    <mergeCell ref="BA2096:BA2097"/>
    <mergeCell ref="AV2114:AV2115"/>
    <mergeCell ref="AW2114:AW2115"/>
    <mergeCell ref="AX2114:AX2115"/>
    <mergeCell ref="AY2114:AY2115"/>
    <mergeCell ref="AZ2114:AZ2115"/>
    <mergeCell ref="BA2114:BA2115"/>
    <mergeCell ref="AV2116:AV2117"/>
    <mergeCell ref="AW2116:AW2117"/>
    <mergeCell ref="AX2116:AX2117"/>
    <mergeCell ref="AY2116:AY2117"/>
    <mergeCell ref="AZ2116:AZ2117"/>
    <mergeCell ref="BA2116:BA2117"/>
    <mergeCell ref="AV2118:AV2119"/>
    <mergeCell ref="AW2118:AW2119"/>
    <mergeCell ref="AX2118:AX2119"/>
    <mergeCell ref="AY2118:AY2119"/>
    <mergeCell ref="AZ2118:AZ2119"/>
    <mergeCell ref="BA2118:BA2119"/>
    <mergeCell ref="AV2125:AV2126"/>
    <mergeCell ref="AW2125:AW2126"/>
    <mergeCell ref="AX2125:AX2126"/>
    <mergeCell ref="AY2125:AY2126"/>
    <mergeCell ref="AZ2125:AZ2126"/>
    <mergeCell ref="BA2125:BA2126"/>
    <mergeCell ref="AV2127:AV2128"/>
    <mergeCell ref="AW2127:AW2128"/>
    <mergeCell ref="AX2127:AX2128"/>
    <mergeCell ref="AY2127:AY2128"/>
    <mergeCell ref="AZ2127:AZ2128"/>
    <mergeCell ref="BA2127:BA2128"/>
    <mergeCell ref="AV2129:AV2130"/>
    <mergeCell ref="AW2129:AW2130"/>
    <mergeCell ref="AX2129:AX2130"/>
    <mergeCell ref="AY2129:AY2130"/>
    <mergeCell ref="AZ2129:AZ2130"/>
    <mergeCell ref="BA2129:BA2130"/>
    <mergeCell ref="AV2131:AV2132"/>
    <mergeCell ref="AW2131:AW2132"/>
    <mergeCell ref="AX2131:AX2132"/>
    <mergeCell ref="AY2131:AY2132"/>
    <mergeCell ref="AZ2131:AZ2132"/>
    <mergeCell ref="BA2131:BA2132"/>
    <mergeCell ref="AV2134:AV2135"/>
    <mergeCell ref="AW2134:AW2135"/>
    <mergeCell ref="AX2134:AX2135"/>
    <mergeCell ref="AY2134:AY2135"/>
    <mergeCell ref="AZ2134:AZ2135"/>
    <mergeCell ref="BA2134:BA2135"/>
    <mergeCell ref="AV2136:AV2137"/>
    <mergeCell ref="AW2136:AW2137"/>
    <mergeCell ref="AX2136:AX2137"/>
    <mergeCell ref="AY2136:AY2137"/>
    <mergeCell ref="AZ2136:AZ2137"/>
    <mergeCell ref="BA2136:BA2137"/>
    <mergeCell ref="AV2138:AV2139"/>
    <mergeCell ref="AW2138:AW2139"/>
    <mergeCell ref="AX2138:AX2139"/>
    <mergeCell ref="AY2138:AY2139"/>
    <mergeCell ref="AZ2138:AZ2139"/>
    <mergeCell ref="BA2138:BA2139"/>
    <mergeCell ref="AV2145:AV2146"/>
    <mergeCell ref="AW2145:AW2146"/>
    <mergeCell ref="AX2145:AX2146"/>
    <mergeCell ref="AY2145:AY2146"/>
    <mergeCell ref="AZ2145:AZ2146"/>
    <mergeCell ref="BA2145:BA2146"/>
    <mergeCell ref="AV2148:AV2149"/>
    <mergeCell ref="AW2148:AW2149"/>
    <mergeCell ref="AX2148:AX2149"/>
    <mergeCell ref="AY2148:AY2149"/>
    <mergeCell ref="AZ2148:AZ2149"/>
    <mergeCell ref="BA2148:BA2149"/>
    <mergeCell ref="AV2150:AV2151"/>
    <mergeCell ref="AW2150:AW2151"/>
    <mergeCell ref="AX2150:AX2151"/>
    <mergeCell ref="AY2150:AY2151"/>
    <mergeCell ref="AZ2150:AZ2151"/>
    <mergeCell ref="BA2150:BA2151"/>
    <mergeCell ref="AV2152:AV2153"/>
    <mergeCell ref="AW2152:AW2153"/>
    <mergeCell ref="AX2152:AX2153"/>
    <mergeCell ref="AY2152:AY2153"/>
    <mergeCell ref="AZ2152:AZ2153"/>
    <mergeCell ref="BA2152:BA2153"/>
    <mergeCell ref="AV2154:AV2155"/>
    <mergeCell ref="AW2154:AW2155"/>
    <mergeCell ref="AX2154:AX2155"/>
    <mergeCell ref="AY2154:AY2155"/>
    <mergeCell ref="AZ2154:AZ2155"/>
    <mergeCell ref="BA2154:BA2155"/>
    <mergeCell ref="AV2157:AV2158"/>
    <mergeCell ref="AW2157:AW2158"/>
    <mergeCell ref="AX2157:AX2158"/>
    <mergeCell ref="AY2157:AY2158"/>
    <mergeCell ref="AZ2157:AZ2158"/>
    <mergeCell ref="BA2157:BA2158"/>
    <mergeCell ref="AV2160:AV2161"/>
    <mergeCell ref="AW2160:AW2161"/>
    <mergeCell ref="AX2160:AX2161"/>
    <mergeCell ref="AY2160:AY2161"/>
    <mergeCell ref="AZ2160:AZ2161"/>
    <mergeCell ref="BA2160:BA2161"/>
    <mergeCell ref="AV2162:AV2163"/>
    <mergeCell ref="AW2162:AW2163"/>
    <mergeCell ref="AX2162:AX2163"/>
    <mergeCell ref="AY2162:AY2163"/>
    <mergeCell ref="AZ2162:AZ2163"/>
    <mergeCell ref="BA2162:BA2163"/>
    <mergeCell ref="AV2164:AV2165"/>
    <mergeCell ref="AW2164:AW2165"/>
    <mergeCell ref="AX2164:AX2165"/>
    <mergeCell ref="AY2164:AY2165"/>
    <mergeCell ref="AZ2164:AZ2165"/>
    <mergeCell ref="BA2164:BA2165"/>
    <mergeCell ref="AV2166:AV2167"/>
    <mergeCell ref="AW2166:AW2167"/>
    <mergeCell ref="AX2166:AX2167"/>
    <mergeCell ref="AY2166:AY2167"/>
    <mergeCell ref="AZ2166:AZ2167"/>
    <mergeCell ref="BA2166:BA2167"/>
    <mergeCell ref="AV2168:AV2169"/>
    <mergeCell ref="AW2168:AW2169"/>
    <mergeCell ref="AX2168:AX2169"/>
    <mergeCell ref="AY2168:AY2169"/>
    <mergeCell ref="AZ2168:AZ2169"/>
    <mergeCell ref="BA2168:BA216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8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6189</v>
      </c>
      <c r="D2" s="0" t="s">
        <v>6190</v>
      </c>
      <c r="E2" s="0" t="s">
        <v>6191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6192</v>
      </c>
      <c r="J4" s="1" t="s">
        <v>6193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6194</v>
      </c>
      <c r="P4" s="1" t="s">
        <v>6195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6196</v>
      </c>
      <c r="F5" s="1" t="s">
        <v>6197</v>
      </c>
      <c r="G5" s="1" t="s">
        <v>6196</v>
      </c>
      <c r="H5" s="1" t="s">
        <v>6197</v>
      </c>
      <c r="I5" s="1" t="s">
        <v>6192</v>
      </c>
      <c r="J5" s="1" t="s">
        <v>6193</v>
      </c>
      <c r="K5" s="1" t="s">
        <v>6198</v>
      </c>
      <c r="L5" s="1" t="s">
        <v>6199</v>
      </c>
      <c r="M5" s="1" t="s">
        <v>6198</v>
      </c>
      <c r="N5" s="1" t="s">
        <v>6199</v>
      </c>
      <c r="O5" s="1" t="s">
        <v>6194</v>
      </c>
      <c r="P5" s="1" t="s">
        <v>6195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122</v>
      </c>
      <c r="F6" s="8">
        <v>9229.03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106</v>
      </c>
      <c r="L6" s="8">
        <v>7758.66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1944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12</v>
      </c>
      <c r="L7" s="8">
        <v>1142.66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2030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4</v>
      </c>
      <c r="L8" s="8">
        <v>327.71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2230</v>
      </c>
      <c r="D9" s="2" t="s">
        <v>2231</v>
      </c>
      <c r="E9" s="4">
        <v>87</v>
      </c>
      <c r="F9" s="8">
        <v>4960.54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38</v>
      </c>
      <c r="L9" s="8">
        <v>2371.78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2230</v>
      </c>
      <c r="D10" s="2" t="s">
        <v>2393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20</v>
      </c>
      <c r="L10" s="8">
        <v>1228.18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2230</v>
      </c>
      <c r="D11" s="2" t="s">
        <v>2656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23</v>
      </c>
      <c r="L11" s="8">
        <v>1026.7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2230</v>
      </c>
      <c r="D12" s="2" t="s">
        <v>2939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5</v>
      </c>
      <c r="L12" s="8">
        <v>288.79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2230</v>
      </c>
      <c r="D13" s="2" t="s">
        <v>2970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1</v>
      </c>
      <c r="L13" s="8">
        <v>45.09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2230</v>
      </c>
      <c r="D14" s="2" t="s">
        <v>3064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3079</v>
      </c>
      <c r="D15" s="2" t="s">
        <v>3080</v>
      </c>
      <c r="E15" s="4">
        <v>5</v>
      </c>
      <c r="F15" s="8">
        <v>267.91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3</v>
      </c>
      <c r="L15" s="8">
        <v>190.49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3079</v>
      </c>
      <c r="D16" s="2" t="s">
        <v>3176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2</v>
      </c>
      <c r="L16" s="8">
        <v>77.42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3321</v>
      </c>
      <c r="D17" s="2" t="s">
        <v>3322</v>
      </c>
      <c r="E17" s="4">
        <v>12</v>
      </c>
      <c r="F17" s="8">
        <v>222.04</v>
      </c>
      <c r="G17" s="4"/>
      <c r="H17" s="8"/>
      <c r="I17" s="7"/>
      <c r="J17" s="7"/>
      <c r="K17" s="4">
        <v>12</v>
      </c>
      <c r="L17" s="8">
        <v>222.04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3365</v>
      </c>
      <c r="D18" s="2" t="s">
        <v>3366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3381</v>
      </c>
      <c r="C19" s="2" t="s">
        <v>89</v>
      </c>
      <c r="D19" s="2" t="s">
        <v>3382</v>
      </c>
      <c r="E19" s="4">
        <v>39</v>
      </c>
      <c r="F19" s="8">
        <v>3782.79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27</v>
      </c>
      <c r="L19" s="8">
        <v>3030.72</v>
      </c>
      <c r="M19" s="4"/>
      <c r="N19" s="8"/>
      <c r="O19" s="7"/>
      <c r="P19" s="7"/>
    </row>
    <row r="20">
      <c r="A20" s="2" t="s">
        <v>87</v>
      </c>
      <c r="B20" s="2" t="s">
        <v>3381</v>
      </c>
      <c r="C20" s="2" t="s">
        <v>89</v>
      </c>
      <c r="D20" s="2" t="s">
        <v>1944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12</v>
      </c>
      <c r="L20" s="8">
        <v>752.07</v>
      </c>
      <c r="M20" s="4"/>
      <c r="N20" s="8"/>
      <c r="O20" s="7"/>
      <c r="P20" s="7"/>
    </row>
    <row r="21">
      <c r="A21" s="2" t="s">
        <v>87</v>
      </c>
      <c r="B21" s="2" t="s">
        <v>3381</v>
      </c>
      <c r="C21" s="2" t="s">
        <v>2230</v>
      </c>
      <c r="D21" s="2" t="s">
        <v>1944</v>
      </c>
      <c r="E21" s="4">
        <v>3</v>
      </c>
      <c r="F21" s="8">
        <v>166.67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3</v>
      </c>
      <c r="L21" s="8">
        <v>166.67</v>
      </c>
      <c r="M21" s="4"/>
      <c r="N21" s="8"/>
      <c r="O21" s="7"/>
      <c r="P21" s="7"/>
    </row>
    <row r="22">
      <c r="A22" s="2" t="s">
        <v>87</v>
      </c>
      <c r="B22" s="2" t="s">
        <v>3381</v>
      </c>
      <c r="C22" s="2" t="s">
        <v>2230</v>
      </c>
      <c r="D22" s="2" t="s">
        <v>2970</v>
      </c>
      <c r="E22" s="4" t="s">
        <v>100</v>
      </c>
      <c r="F22" s="8" t="s">
        <v>100</v>
      </c>
      <c r="G22" s="4" t="s">
        <v>100</v>
      </c>
      <c r="H22" s="8" t="s">
        <v>100</v>
      </c>
      <c r="I22" s="7" t="s">
        <v>100</v>
      </c>
      <c r="J22" s="7" t="s">
        <v>100</v>
      </c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3934</v>
      </c>
      <c r="C23" s="2" t="s">
        <v>2230</v>
      </c>
      <c r="D23" s="2" t="s">
        <v>2231</v>
      </c>
      <c r="E23" s="4">
        <v>32</v>
      </c>
      <c r="F23" s="8">
        <v>1134.29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29</v>
      </c>
      <c r="L23" s="8">
        <v>1061.01</v>
      </c>
      <c r="M23" s="4"/>
      <c r="N23" s="8"/>
      <c r="O23" s="7"/>
      <c r="P23" s="7"/>
    </row>
    <row r="24">
      <c r="A24" s="2" t="s">
        <v>87</v>
      </c>
      <c r="B24" s="2" t="s">
        <v>3934</v>
      </c>
      <c r="C24" s="2" t="s">
        <v>2230</v>
      </c>
      <c r="D24" s="2" t="s">
        <v>2393</v>
      </c>
      <c r="E24" s="4" t="s">
        <v>100</v>
      </c>
      <c r="F24" s="8" t="s">
        <v>100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3</v>
      </c>
      <c r="L24" s="8">
        <v>73.28</v>
      </c>
      <c r="M24" s="4"/>
      <c r="N24" s="8"/>
      <c r="O24" s="7"/>
      <c r="P24" s="7"/>
    </row>
    <row r="25">
      <c r="A25" s="2" t="s">
        <v>87</v>
      </c>
      <c r="B25" s="2" t="s">
        <v>3934</v>
      </c>
      <c r="C25" s="2" t="s">
        <v>89</v>
      </c>
      <c r="D25" s="2" t="s">
        <v>90</v>
      </c>
      <c r="E25" s="4">
        <v>9</v>
      </c>
      <c r="F25" s="8">
        <v>531.91</v>
      </c>
      <c r="G25" s="4"/>
      <c r="H25" s="8"/>
      <c r="I25" s="7"/>
      <c r="J25" s="7"/>
      <c r="K25" s="4">
        <v>9</v>
      </c>
      <c r="L25" s="8">
        <v>531.91</v>
      </c>
      <c r="M25" s="4"/>
      <c r="N25" s="8"/>
      <c r="O25" s="7"/>
      <c r="P25" s="7"/>
    </row>
    <row r="26">
      <c r="A26" s="2" t="s">
        <v>87</v>
      </c>
      <c r="B26" s="2" t="s">
        <v>4104</v>
      </c>
      <c r="C26" s="2" t="s">
        <v>89</v>
      </c>
      <c r="D26" s="2" t="s">
        <v>2030</v>
      </c>
      <c r="E26" s="4">
        <v>7</v>
      </c>
      <c r="F26" s="8">
        <v>510.14</v>
      </c>
      <c r="G26" s="4" t="s">
        <v>100</v>
      </c>
      <c r="H26" s="8" t="s">
        <v>100</v>
      </c>
      <c r="I26" s="7" t="s">
        <v>100</v>
      </c>
      <c r="J26" s="7" t="s">
        <v>100</v>
      </c>
      <c r="K26" s="4">
        <v>5</v>
      </c>
      <c r="L26" s="8">
        <v>343.4</v>
      </c>
      <c r="M26" s="4"/>
      <c r="N26" s="8"/>
      <c r="O26" s="7"/>
      <c r="P26" s="7"/>
    </row>
    <row r="27">
      <c r="A27" s="2" t="s">
        <v>87</v>
      </c>
      <c r="B27" s="2" t="s">
        <v>4104</v>
      </c>
      <c r="C27" s="2" t="s">
        <v>89</v>
      </c>
      <c r="D27" s="2" t="s">
        <v>90</v>
      </c>
      <c r="E27" s="4" t="s">
        <v>100</v>
      </c>
      <c r="F27" s="8" t="s">
        <v>100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2</v>
      </c>
      <c r="L27" s="8">
        <v>166.74</v>
      </c>
      <c r="M27" s="4"/>
      <c r="N27" s="8"/>
      <c r="O27" s="7"/>
      <c r="P27" s="7"/>
    </row>
    <row r="28">
      <c r="A28" s="2" t="s">
        <v>87</v>
      </c>
      <c r="B28" s="2" t="s">
        <v>4104</v>
      </c>
      <c r="C28" s="2" t="s">
        <v>2230</v>
      </c>
      <c r="D28" s="2" t="s">
        <v>3064</v>
      </c>
      <c r="E28" s="4">
        <v>4</v>
      </c>
      <c r="F28" s="8">
        <v>313.92</v>
      </c>
      <c r="G28" s="4" t="s">
        <v>100</v>
      </c>
      <c r="H28" s="8" t="s">
        <v>100</v>
      </c>
      <c r="I28" s="7" t="s">
        <v>100</v>
      </c>
      <c r="J28" s="7" t="s">
        <v>100</v>
      </c>
      <c r="K28" s="4">
        <v>4</v>
      </c>
      <c r="L28" s="8">
        <v>313.92</v>
      </c>
      <c r="M28" s="4"/>
      <c r="N28" s="8"/>
      <c r="O28" s="7"/>
      <c r="P28" s="7"/>
    </row>
    <row r="29">
      <c r="A29" s="2" t="s">
        <v>87</v>
      </c>
      <c r="B29" s="2" t="s">
        <v>4104</v>
      </c>
      <c r="C29" s="2" t="s">
        <v>2230</v>
      </c>
      <c r="D29" s="2" t="s">
        <v>2656</v>
      </c>
      <c r="E29" s="4" t="s">
        <v>100</v>
      </c>
      <c r="F29" s="8" t="s">
        <v>100</v>
      </c>
      <c r="G29" s="4" t="s">
        <v>100</v>
      </c>
      <c r="H29" s="8" t="s">
        <v>100</v>
      </c>
      <c r="I29" s="7" t="s">
        <v>100</v>
      </c>
      <c r="J29" s="7" t="s">
        <v>100</v>
      </c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4104</v>
      </c>
      <c r="C30" s="2" t="s">
        <v>3079</v>
      </c>
      <c r="D30" s="2" t="s">
        <v>3080</v>
      </c>
      <c r="E30" s="4">
        <v>3</v>
      </c>
      <c r="F30" s="8">
        <v>193.56</v>
      </c>
      <c r="G30" s="4" t="s">
        <v>100</v>
      </c>
      <c r="H30" s="8" t="s">
        <v>100</v>
      </c>
      <c r="I30" s="7" t="s">
        <v>100</v>
      </c>
      <c r="J30" s="7" t="s">
        <v>100</v>
      </c>
      <c r="K30" s="4">
        <v>2</v>
      </c>
      <c r="L30" s="8">
        <v>124.43</v>
      </c>
      <c r="M30" s="4"/>
      <c r="N30" s="8"/>
      <c r="O30" s="7"/>
      <c r="P30" s="7"/>
    </row>
    <row r="31">
      <c r="A31" s="2" t="s">
        <v>87</v>
      </c>
      <c r="B31" s="2" t="s">
        <v>4104</v>
      </c>
      <c r="C31" s="2" t="s">
        <v>3079</v>
      </c>
      <c r="D31" s="2" t="s">
        <v>3176</v>
      </c>
      <c r="E31" s="4" t="s">
        <v>100</v>
      </c>
      <c r="F31" s="8" t="s">
        <v>100</v>
      </c>
      <c r="G31" s="4" t="s">
        <v>100</v>
      </c>
      <c r="H31" s="8" t="s">
        <v>100</v>
      </c>
      <c r="I31" s="7" t="s">
        <v>100</v>
      </c>
      <c r="J31" s="7" t="s">
        <v>100</v>
      </c>
      <c r="K31" s="4">
        <v>1</v>
      </c>
      <c r="L31" s="8">
        <v>69.13</v>
      </c>
      <c r="M31" s="4"/>
      <c r="N31" s="8"/>
      <c r="O31" s="7"/>
      <c r="P31" s="7"/>
    </row>
    <row r="32">
      <c r="A32" s="2" t="s">
        <v>87</v>
      </c>
      <c r="B32" s="2" t="s">
        <v>4104</v>
      </c>
      <c r="C32" s="2" t="s">
        <v>3365</v>
      </c>
      <c r="D32" s="2" t="s">
        <v>4524</v>
      </c>
      <c r="E32" s="4">
        <v>2</v>
      </c>
      <c r="F32" s="8">
        <v>31.12</v>
      </c>
      <c r="G32" s="4"/>
      <c r="H32" s="8"/>
      <c r="I32" s="7"/>
      <c r="J32" s="7"/>
      <c r="K32" s="4">
        <v>2</v>
      </c>
      <c r="L32" s="8">
        <v>31.12</v>
      </c>
      <c r="M32" s="4"/>
      <c r="N32" s="8"/>
      <c r="O32" s="7"/>
      <c r="P32" s="7"/>
    </row>
    <row r="33">
      <c r="A33" s="2" t="s">
        <v>87</v>
      </c>
      <c r="B33" s="2" t="s">
        <v>4104</v>
      </c>
      <c r="C33" s="2" t="s">
        <v>4554</v>
      </c>
      <c r="D33" s="2" t="s">
        <v>4555</v>
      </c>
      <c r="E33" s="4">
        <v>2</v>
      </c>
      <c r="F33" s="8">
        <v>28.06</v>
      </c>
      <c r="G33" s="4"/>
      <c r="H33" s="8"/>
      <c r="I33" s="7"/>
      <c r="J33" s="7"/>
      <c r="K33" s="4">
        <v>2</v>
      </c>
      <c r="L33" s="8">
        <v>28.06</v>
      </c>
      <c r="M33" s="4"/>
      <c r="N33" s="8"/>
      <c r="O33" s="7"/>
      <c r="P33" s="7"/>
    </row>
    <row r="34">
      <c r="A34" s="2" t="s">
        <v>87</v>
      </c>
      <c r="B34" s="2" t="s">
        <v>4613</v>
      </c>
      <c r="C34" s="2" t="s">
        <v>89</v>
      </c>
      <c r="D34" s="2" t="s">
        <v>2030</v>
      </c>
      <c r="E34" s="4">
        <v>27</v>
      </c>
      <c r="F34" s="8">
        <v>778.07</v>
      </c>
      <c r="G34" s="4" t="s">
        <v>100</v>
      </c>
      <c r="H34" s="8" t="s">
        <v>100</v>
      </c>
      <c r="I34" s="7" t="s">
        <v>100</v>
      </c>
      <c r="J34" s="7" t="s">
        <v>100</v>
      </c>
      <c r="K34" s="4">
        <v>26</v>
      </c>
      <c r="L34" s="8">
        <v>759.03</v>
      </c>
      <c r="M34" s="4"/>
      <c r="N34" s="8"/>
      <c r="O34" s="7"/>
      <c r="P34" s="7"/>
    </row>
    <row r="35">
      <c r="A35" s="2" t="s">
        <v>87</v>
      </c>
      <c r="B35" s="2" t="s">
        <v>4613</v>
      </c>
      <c r="C35" s="2" t="s">
        <v>89</v>
      </c>
      <c r="D35" s="2" t="s">
        <v>90</v>
      </c>
      <c r="E35" s="4" t="s">
        <v>100</v>
      </c>
      <c r="F35" s="8" t="s">
        <v>100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1</v>
      </c>
      <c r="L35" s="8">
        <v>19.04</v>
      </c>
      <c r="M35" s="4"/>
      <c r="N35" s="8"/>
      <c r="O35" s="7"/>
      <c r="P35" s="7"/>
    </row>
    <row r="36">
      <c r="A36" s="2" t="s">
        <v>87</v>
      </c>
      <c r="B36" s="2" t="s">
        <v>4613</v>
      </c>
      <c r="C36" s="2" t="s">
        <v>3079</v>
      </c>
      <c r="D36" s="2" t="s">
        <v>3176</v>
      </c>
      <c r="E36" s="4">
        <v>6</v>
      </c>
      <c r="F36" s="8">
        <v>147.21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6</v>
      </c>
      <c r="L36" s="8">
        <v>147.21</v>
      </c>
      <c r="M36" s="4"/>
      <c r="N36" s="8"/>
      <c r="O36" s="7"/>
      <c r="P36" s="7"/>
    </row>
    <row r="37">
      <c r="A37" s="2" t="s">
        <v>87</v>
      </c>
      <c r="B37" s="2" t="s">
        <v>4613</v>
      </c>
      <c r="C37" s="2" t="s">
        <v>3079</v>
      </c>
      <c r="D37" s="2" t="s">
        <v>3080</v>
      </c>
      <c r="E37" s="4" t="s">
        <v>100</v>
      </c>
      <c r="F37" s="8" t="s">
        <v>100</v>
      </c>
      <c r="G37" s="4" t="s">
        <v>100</v>
      </c>
      <c r="H37" s="8" t="s">
        <v>100</v>
      </c>
      <c r="I37" s="7" t="s">
        <v>100</v>
      </c>
      <c r="J37" s="7" t="s">
        <v>100</v>
      </c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4613</v>
      </c>
      <c r="C38" s="2" t="s">
        <v>5137</v>
      </c>
      <c r="D38" s="2" t="s">
        <v>2656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5155</v>
      </c>
      <c r="C39" s="2" t="s">
        <v>89</v>
      </c>
      <c r="D39" s="2" t="s">
        <v>90</v>
      </c>
      <c r="E39" s="4">
        <v>3</v>
      </c>
      <c r="F39" s="8">
        <v>338.62</v>
      </c>
      <c r="G39" s="4"/>
      <c r="H39" s="8"/>
      <c r="I39" s="7"/>
      <c r="J39" s="7"/>
      <c r="K39" s="4">
        <v>3</v>
      </c>
      <c r="L39" s="8">
        <v>338.62</v>
      </c>
      <c r="M39" s="4"/>
      <c r="N39" s="8"/>
      <c r="O39" s="7"/>
      <c r="P39" s="7"/>
    </row>
    <row r="40">
      <c r="A40" s="2" t="s">
        <v>87</v>
      </c>
      <c r="B40" s="2" t="s">
        <v>5155</v>
      </c>
      <c r="C40" s="2" t="s">
        <v>3079</v>
      </c>
      <c r="D40" s="2" t="s">
        <v>3080</v>
      </c>
      <c r="E40" s="4">
        <v>3</v>
      </c>
      <c r="F40" s="8">
        <v>264.23</v>
      </c>
      <c r="G40" s="4"/>
      <c r="H40" s="8"/>
      <c r="I40" s="7"/>
      <c r="J40" s="7"/>
      <c r="K40" s="4">
        <v>3</v>
      </c>
      <c r="L40" s="8">
        <v>264.23</v>
      </c>
      <c r="M40" s="4"/>
      <c r="N40" s="8"/>
      <c r="O40" s="7"/>
      <c r="P40" s="7"/>
    </row>
    <row r="41">
      <c r="A41" s="2" t="s">
        <v>87</v>
      </c>
      <c r="B41" s="2" t="s">
        <v>5155</v>
      </c>
      <c r="C41" s="2" t="s">
        <v>2230</v>
      </c>
      <c r="D41" s="2" t="s">
        <v>3064</v>
      </c>
      <c r="E41" s="4">
        <v>1</v>
      </c>
      <c r="F41" s="8">
        <v>82.69</v>
      </c>
      <c r="G41" s="4"/>
      <c r="H41" s="8"/>
      <c r="I41" s="7"/>
      <c r="J41" s="7"/>
      <c r="K41" s="4">
        <v>1</v>
      </c>
      <c r="L41" s="8">
        <v>82.69</v>
      </c>
      <c r="M41" s="4"/>
      <c r="N41" s="8"/>
      <c r="O41" s="7"/>
      <c r="P41" s="7"/>
    </row>
    <row r="42">
      <c r="A42" s="2" t="s">
        <v>87</v>
      </c>
      <c r="B42" s="2" t="s">
        <v>5155</v>
      </c>
      <c r="C42" s="2" t="s">
        <v>4554</v>
      </c>
      <c r="D42" s="2" t="s">
        <v>4555</v>
      </c>
      <c r="E42" s="4">
        <v>2</v>
      </c>
      <c r="F42" s="8">
        <v>25.12</v>
      </c>
      <c r="G42" s="4"/>
      <c r="H42" s="8"/>
      <c r="I42" s="7"/>
      <c r="J42" s="7"/>
      <c r="K42" s="4">
        <v>2</v>
      </c>
      <c r="L42" s="8">
        <v>25.12</v>
      </c>
      <c r="M42" s="4"/>
      <c r="N42" s="8"/>
      <c r="O42" s="7"/>
      <c r="P42" s="7"/>
    </row>
    <row r="43">
      <c r="A43" s="2" t="s">
        <v>87</v>
      </c>
      <c r="B43" s="2" t="s">
        <v>5155</v>
      </c>
      <c r="C43" s="2" t="s">
        <v>3365</v>
      </c>
      <c r="D43" s="2" t="s">
        <v>4524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5420</v>
      </c>
      <c r="C44" s="2" t="s">
        <v>2230</v>
      </c>
      <c r="D44" s="2" t="s">
        <v>5421</v>
      </c>
      <c r="E44" s="4">
        <v>6</v>
      </c>
      <c r="F44" s="8">
        <v>347.3</v>
      </c>
      <c r="G44" s="4" t="s">
        <v>100</v>
      </c>
      <c r="H44" s="8" t="s">
        <v>100</v>
      </c>
      <c r="I44" s="7" t="s">
        <v>100</v>
      </c>
      <c r="J44" s="7" t="s">
        <v>100</v>
      </c>
      <c r="K44" s="4">
        <v>6</v>
      </c>
      <c r="L44" s="8">
        <v>347.3</v>
      </c>
      <c r="M44" s="4"/>
      <c r="N44" s="8"/>
      <c r="O44" s="7"/>
      <c r="P44" s="7"/>
    </row>
    <row r="45">
      <c r="A45" s="2" t="s">
        <v>87</v>
      </c>
      <c r="B45" s="2" t="s">
        <v>5420</v>
      </c>
      <c r="C45" s="2" t="s">
        <v>2230</v>
      </c>
      <c r="D45" s="2" t="s">
        <v>3064</v>
      </c>
      <c r="E45" s="4" t="s">
        <v>100</v>
      </c>
      <c r="F45" s="8" t="s">
        <v>100</v>
      </c>
      <c r="G45" s="4" t="s">
        <v>100</v>
      </c>
      <c r="H45" s="8" t="s">
        <v>100</v>
      </c>
      <c r="I45" s="7" t="s">
        <v>100</v>
      </c>
      <c r="J45" s="7" t="s">
        <v>100</v>
      </c>
      <c r="K45" s="4"/>
      <c r="L45" s="8"/>
      <c r="M45" s="4"/>
      <c r="N45" s="8"/>
      <c r="O45" s="7"/>
      <c r="P45" s="7"/>
    </row>
    <row r="46">
      <c r="A46" s="2" t="s">
        <v>87</v>
      </c>
      <c r="B46" s="2" t="s">
        <v>5420</v>
      </c>
      <c r="C46" s="2" t="s">
        <v>2230</v>
      </c>
      <c r="D46" s="2" t="s">
        <v>2656</v>
      </c>
      <c r="E46" s="4" t="s">
        <v>100</v>
      </c>
      <c r="F46" s="8" t="s">
        <v>100</v>
      </c>
      <c r="G46" s="4" t="s">
        <v>100</v>
      </c>
      <c r="H46" s="8" t="s">
        <v>100</v>
      </c>
      <c r="I46" s="7" t="s">
        <v>100</v>
      </c>
      <c r="J46" s="7" t="s">
        <v>100</v>
      </c>
      <c r="K46" s="4"/>
      <c r="L46" s="8"/>
      <c r="M46" s="4"/>
      <c r="N46" s="8"/>
      <c r="O46" s="7"/>
      <c r="P46" s="7"/>
    </row>
    <row r="47">
      <c r="A47" s="2" t="s">
        <v>87</v>
      </c>
      <c r="B47" s="2" t="s">
        <v>5420</v>
      </c>
      <c r="C47" s="2" t="s">
        <v>2230</v>
      </c>
      <c r="D47" s="2" t="s">
        <v>2970</v>
      </c>
      <c r="E47" s="4" t="s">
        <v>100</v>
      </c>
      <c r="F47" s="8" t="s">
        <v>100</v>
      </c>
      <c r="G47" s="4" t="s">
        <v>100</v>
      </c>
      <c r="H47" s="8" t="s">
        <v>100</v>
      </c>
      <c r="I47" s="7" t="s">
        <v>100</v>
      </c>
      <c r="J47" s="7" t="s">
        <v>100</v>
      </c>
      <c r="K47" s="4"/>
      <c r="L47" s="8"/>
      <c r="M47" s="4"/>
      <c r="N47" s="8"/>
      <c r="O47" s="7"/>
      <c r="P47" s="7"/>
    </row>
    <row r="48">
      <c r="A48" s="2" t="s">
        <v>87</v>
      </c>
      <c r="B48" s="2" t="s">
        <v>5420</v>
      </c>
      <c r="C48" s="2" t="s">
        <v>89</v>
      </c>
      <c r="D48" s="2" t="s">
        <v>90</v>
      </c>
      <c r="E48" s="4">
        <v>1</v>
      </c>
      <c r="F48" s="8">
        <v>97.45</v>
      </c>
      <c r="G48" s="4" t="s">
        <v>100</v>
      </c>
      <c r="H48" s="8" t="s">
        <v>100</v>
      </c>
      <c r="I48" s="7" t="s">
        <v>100</v>
      </c>
      <c r="J48" s="7" t="s">
        <v>100</v>
      </c>
      <c r="K48" s="4">
        <v>1</v>
      </c>
      <c r="L48" s="8">
        <v>97.45</v>
      </c>
      <c r="M48" s="4"/>
      <c r="N48" s="8"/>
      <c r="O48" s="7"/>
      <c r="P48" s="7"/>
    </row>
    <row r="49">
      <c r="A49" s="2" t="s">
        <v>87</v>
      </c>
      <c r="B49" s="2" t="s">
        <v>5420</v>
      </c>
      <c r="C49" s="2" t="s">
        <v>89</v>
      </c>
      <c r="D49" s="2" t="s">
        <v>2030</v>
      </c>
      <c r="E49" s="4" t="s">
        <v>100</v>
      </c>
      <c r="F49" s="8" t="s">
        <v>100</v>
      </c>
      <c r="G49" s="4" t="s">
        <v>100</v>
      </c>
      <c r="H49" s="8" t="s">
        <v>100</v>
      </c>
      <c r="I49" s="7" t="s">
        <v>100</v>
      </c>
      <c r="J49" s="7" t="s">
        <v>100</v>
      </c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5420</v>
      </c>
      <c r="C50" s="2" t="s">
        <v>3321</v>
      </c>
      <c r="D50" s="2" t="s">
        <v>3322</v>
      </c>
      <c r="E50" s="4">
        <v>3</v>
      </c>
      <c r="F50" s="8">
        <v>69.12</v>
      </c>
      <c r="G50" s="4"/>
      <c r="H50" s="8"/>
      <c r="I50" s="7"/>
      <c r="J50" s="7"/>
      <c r="K50" s="4">
        <v>3</v>
      </c>
      <c r="L50" s="8">
        <v>69.12</v>
      </c>
      <c r="M50" s="4"/>
      <c r="N50" s="8"/>
      <c r="O50" s="7"/>
      <c r="P50" s="7"/>
    </row>
    <row r="51">
      <c r="A51" s="2" t="s">
        <v>87</v>
      </c>
      <c r="B51" s="2" t="s">
        <v>5420</v>
      </c>
      <c r="C51" s="2" t="s">
        <v>3365</v>
      </c>
      <c r="D51" s="2" t="s">
        <v>4524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87</v>
      </c>
      <c r="B52" s="2" t="s">
        <v>5420</v>
      </c>
      <c r="C52" s="2" t="s">
        <v>4554</v>
      </c>
      <c r="D52" s="2" t="s">
        <v>4555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87</v>
      </c>
      <c r="B53" s="2" t="s">
        <v>5599</v>
      </c>
      <c r="C53" s="2" t="s">
        <v>89</v>
      </c>
      <c r="D53" s="2" t="s">
        <v>90</v>
      </c>
      <c r="E53" s="4">
        <v>1</v>
      </c>
      <c r="F53" s="8">
        <v>158.81</v>
      </c>
      <c r="G53" s="4"/>
      <c r="H53" s="8"/>
      <c r="I53" s="7"/>
      <c r="J53" s="7"/>
      <c r="K53" s="4">
        <v>1</v>
      </c>
      <c r="L53" s="8">
        <v>158.81</v>
      </c>
      <c r="M53" s="4"/>
      <c r="N53" s="8"/>
      <c r="O53" s="7"/>
      <c r="P53" s="7"/>
    </row>
    <row r="54">
      <c r="A54" s="2" t="s">
        <v>87</v>
      </c>
      <c r="B54" s="2" t="s">
        <v>5599</v>
      </c>
      <c r="C54" s="2" t="s">
        <v>2230</v>
      </c>
      <c r="D54" s="2" t="s">
        <v>3064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87</v>
      </c>
      <c r="B55" s="2" t="s">
        <v>5759</v>
      </c>
      <c r="C55" s="2" t="s">
        <v>89</v>
      </c>
      <c r="D55" s="2" t="s">
        <v>1944</v>
      </c>
      <c r="E55" s="4" t="s">
        <v>100</v>
      </c>
      <c r="F55" s="8" t="s">
        <v>100</v>
      </c>
      <c r="G55" s="4" t="s">
        <v>100</v>
      </c>
      <c r="H55" s="8" t="s">
        <v>100</v>
      </c>
      <c r="I55" s="7" t="s">
        <v>100</v>
      </c>
      <c r="J55" s="7" t="s">
        <v>100</v>
      </c>
      <c r="K55" s="4"/>
      <c r="L55" s="8"/>
      <c r="M55" s="4"/>
      <c r="N55" s="8"/>
      <c r="O55" s="7"/>
      <c r="P55" s="7"/>
    </row>
    <row r="56">
      <c r="A56" s="2" t="s">
        <v>87</v>
      </c>
      <c r="B56" s="2" t="s">
        <v>5759</v>
      </c>
      <c r="C56" s="2" t="s">
        <v>89</v>
      </c>
      <c r="D56" s="2" t="s">
        <v>90</v>
      </c>
      <c r="E56" s="4" t="s">
        <v>100</v>
      </c>
      <c r="F56" s="8" t="s">
        <v>100</v>
      </c>
      <c r="G56" s="4" t="s">
        <v>100</v>
      </c>
      <c r="H56" s="8" t="s">
        <v>100</v>
      </c>
      <c r="I56" s="7" t="s">
        <v>100</v>
      </c>
      <c r="J56" s="7" t="s">
        <v>100</v>
      </c>
      <c r="K56" s="4"/>
      <c r="L56" s="8"/>
      <c r="M56" s="4"/>
      <c r="N56" s="8"/>
      <c r="O56" s="7"/>
      <c r="P56" s="7"/>
    </row>
    <row r="57">
      <c r="A57" s="2" t="s">
        <v>87</v>
      </c>
      <c r="B57" s="2" t="s">
        <v>5759</v>
      </c>
      <c r="C57" s="2" t="s">
        <v>89</v>
      </c>
      <c r="D57" s="2" t="s">
        <v>2030</v>
      </c>
      <c r="E57" s="4" t="s">
        <v>100</v>
      </c>
      <c r="F57" s="8" t="s">
        <v>100</v>
      </c>
      <c r="G57" s="4" t="s">
        <v>100</v>
      </c>
      <c r="H57" s="8" t="s">
        <v>100</v>
      </c>
      <c r="I57" s="7" t="s">
        <v>100</v>
      </c>
      <c r="J57" s="7" t="s">
        <v>100</v>
      </c>
      <c r="K57" s="4"/>
      <c r="L57" s="8"/>
      <c r="M57" s="4"/>
      <c r="N57" s="8"/>
      <c r="O57" s="7"/>
      <c r="P57" s="7"/>
    </row>
    <row r="58">
      <c r="A58" s="2" t="s">
        <v>87</v>
      </c>
      <c r="B58" s="2" t="s">
        <v>5759</v>
      </c>
      <c r="C58" s="2" t="s">
        <v>2230</v>
      </c>
      <c r="D58" s="2" t="s">
        <v>2656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87</v>
      </c>
      <c r="B59" s="2" t="s">
        <v>5759</v>
      </c>
      <c r="C59" s="2" t="s">
        <v>3079</v>
      </c>
      <c r="D59" s="2" t="s">
        <v>3176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87</v>
      </c>
      <c r="B60" s="2" t="s">
        <v>5873</v>
      </c>
      <c r="C60" s="2" t="s">
        <v>89</v>
      </c>
      <c r="D60" s="2" t="s">
        <v>2030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5883</v>
      </c>
      <c r="C61" s="2" t="s">
        <v>89</v>
      </c>
      <c r="D61" s="2" t="s">
        <v>90</v>
      </c>
      <c r="E61" s="4" t="s">
        <v>100</v>
      </c>
      <c r="F61" s="8" t="s">
        <v>100</v>
      </c>
      <c r="G61" s="4" t="s">
        <v>100</v>
      </c>
      <c r="H61" s="8" t="s">
        <v>100</v>
      </c>
      <c r="I61" s="7" t="s">
        <v>100</v>
      </c>
      <c r="J61" s="7" t="s">
        <v>100</v>
      </c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5883</v>
      </c>
      <c r="C62" s="2" t="s">
        <v>89</v>
      </c>
      <c r="D62" s="2" t="s">
        <v>2030</v>
      </c>
      <c r="E62" s="4" t="s">
        <v>100</v>
      </c>
      <c r="F62" s="8" t="s">
        <v>100</v>
      </c>
      <c r="G62" s="4" t="s">
        <v>100</v>
      </c>
      <c r="H62" s="8" t="s">
        <v>100</v>
      </c>
      <c r="I62" s="7" t="s">
        <v>100</v>
      </c>
      <c r="J62" s="7" t="s">
        <v>100</v>
      </c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5883</v>
      </c>
      <c r="C63" s="2" t="s">
        <v>3079</v>
      </c>
      <c r="D63" s="2" t="s">
        <v>3176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5913</v>
      </c>
      <c r="C64" s="2" t="s">
        <v>3365</v>
      </c>
      <c r="D64" s="2" t="s">
        <v>5914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5913</v>
      </c>
      <c r="C65" s="2" t="s">
        <v>2230</v>
      </c>
      <c r="D65" s="2" t="s">
        <v>3064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5913</v>
      </c>
      <c r="C66" s="2" t="s">
        <v>3079</v>
      </c>
      <c r="D66" s="2" t="s">
        <v>3080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5913</v>
      </c>
      <c r="C67" s="2" t="s">
        <v>4554</v>
      </c>
      <c r="D67" s="2" t="s">
        <v>5940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5945</v>
      </c>
      <c r="C68" s="2" t="s">
        <v>3365</v>
      </c>
      <c r="D68" s="2" t="s">
        <v>5914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5945</v>
      </c>
      <c r="C69" s="2" t="s">
        <v>89</v>
      </c>
      <c r="D69" s="2" t="s">
        <v>90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87</v>
      </c>
      <c r="B70" s="2" t="s">
        <v>5945</v>
      </c>
      <c r="C70" s="2" t="s">
        <v>2230</v>
      </c>
      <c r="D70" s="2" t="s">
        <v>3064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87</v>
      </c>
      <c r="B71" s="2" t="s">
        <v>5945</v>
      </c>
      <c r="C71" s="2" t="s">
        <v>4554</v>
      </c>
      <c r="D71" s="2" t="s">
        <v>5940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87</v>
      </c>
      <c r="B72" s="2" t="s">
        <v>6019</v>
      </c>
      <c r="C72" s="2" t="s">
        <v>3365</v>
      </c>
      <c r="D72" s="2" t="s">
        <v>5914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87</v>
      </c>
      <c r="B73" s="2" t="s">
        <v>6019</v>
      </c>
      <c r="C73" s="2" t="s">
        <v>2230</v>
      </c>
      <c r="D73" s="2" t="s">
        <v>3064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87</v>
      </c>
      <c r="B74" s="2" t="s">
        <v>6019</v>
      </c>
      <c r="C74" s="2" t="s">
        <v>3079</v>
      </c>
      <c r="D74" s="2" t="s">
        <v>3080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87</v>
      </c>
      <c r="B75" s="2" t="s">
        <v>6019</v>
      </c>
      <c r="C75" s="2" t="s">
        <v>4554</v>
      </c>
      <c r="D75" s="2" t="s">
        <v>5940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87</v>
      </c>
      <c r="B76" s="2" t="s">
        <v>6048</v>
      </c>
      <c r="C76" s="2" t="s">
        <v>89</v>
      </c>
      <c r="D76" s="2" t="s">
        <v>90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87</v>
      </c>
      <c r="B77" s="2" t="s">
        <v>6048</v>
      </c>
      <c r="C77" s="2" t="s">
        <v>2230</v>
      </c>
      <c r="D77" s="2" t="s">
        <v>3064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87</v>
      </c>
      <c r="B78" s="2" t="s">
        <v>6048</v>
      </c>
      <c r="C78" s="2" t="s">
        <v>6072</v>
      </c>
      <c r="D78" s="2" t="s">
        <v>6073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87</v>
      </c>
      <c r="B79" s="2" t="s">
        <v>6048</v>
      </c>
      <c r="C79" s="2" t="s">
        <v>6078</v>
      </c>
      <c r="D79" s="2" t="s">
        <v>6079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87</v>
      </c>
      <c r="B80" s="2" t="s">
        <v>6086</v>
      </c>
      <c r="C80" s="2" t="s">
        <v>89</v>
      </c>
      <c r="D80" s="2" t="s">
        <v>90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87</v>
      </c>
      <c r="B81" s="2" t="s">
        <v>6086</v>
      </c>
      <c r="C81" s="2" t="s">
        <v>2230</v>
      </c>
      <c r="D81" s="2" t="s">
        <v>2393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87</v>
      </c>
      <c r="B82" s="2" t="s">
        <v>6099</v>
      </c>
      <c r="C82" s="2" t="s">
        <v>3365</v>
      </c>
      <c r="D82" s="2" t="s">
        <v>5914</v>
      </c>
      <c r="E82" s="4" t="s">
        <v>100</v>
      </c>
      <c r="F82" s="8" t="s">
        <v>100</v>
      </c>
      <c r="G82" s="4" t="s">
        <v>100</v>
      </c>
      <c r="H82" s="8" t="s">
        <v>100</v>
      </c>
      <c r="I82" s="7" t="s">
        <v>100</v>
      </c>
      <c r="J82" s="7" t="s">
        <v>100</v>
      </c>
      <c r="K82" s="4"/>
      <c r="L82" s="8"/>
      <c r="M82" s="4"/>
      <c r="N82" s="8"/>
      <c r="O82" s="7"/>
      <c r="P82" s="7"/>
    </row>
    <row r="83">
      <c r="A83" s="2" t="s">
        <v>87</v>
      </c>
      <c r="B83" s="2" t="s">
        <v>6099</v>
      </c>
      <c r="C83" s="2" t="s">
        <v>3365</v>
      </c>
      <c r="D83" s="2" t="s">
        <v>4524</v>
      </c>
      <c r="E83" s="4" t="s">
        <v>100</v>
      </c>
      <c r="F83" s="8" t="s">
        <v>100</v>
      </c>
      <c r="G83" s="4" t="s">
        <v>100</v>
      </c>
      <c r="H83" s="8" t="s">
        <v>100</v>
      </c>
      <c r="I83" s="7" t="s">
        <v>100</v>
      </c>
      <c r="J83" s="7" t="s">
        <v>100</v>
      </c>
      <c r="K83" s="4"/>
      <c r="L83" s="8"/>
      <c r="M83" s="4"/>
      <c r="N83" s="8"/>
      <c r="O83" s="7"/>
      <c r="P83" s="7"/>
    </row>
    <row r="84">
      <c r="A84" s="2" t="s">
        <v>87</v>
      </c>
      <c r="B84" s="2" t="s">
        <v>6099</v>
      </c>
      <c r="C84" s="2" t="s">
        <v>89</v>
      </c>
      <c r="D84" s="2" t="s">
        <v>90</v>
      </c>
      <c r="E84" s="4" t="s">
        <v>100</v>
      </c>
      <c r="F84" s="8" t="s">
        <v>100</v>
      </c>
      <c r="G84" s="4" t="s">
        <v>100</v>
      </c>
      <c r="H84" s="8" t="s">
        <v>100</v>
      </c>
      <c r="I84" s="7" t="s">
        <v>100</v>
      </c>
      <c r="J84" s="7" t="s">
        <v>100</v>
      </c>
      <c r="K84" s="4"/>
      <c r="L84" s="8"/>
      <c r="M84" s="4"/>
      <c r="N84" s="8"/>
      <c r="O84" s="7"/>
      <c r="P84" s="7"/>
    </row>
    <row r="85">
      <c r="A85" s="2" t="s">
        <v>87</v>
      </c>
      <c r="B85" s="2" t="s">
        <v>6099</v>
      </c>
      <c r="C85" s="2" t="s">
        <v>89</v>
      </c>
      <c r="D85" s="2" t="s">
        <v>2030</v>
      </c>
      <c r="E85" s="4" t="s">
        <v>100</v>
      </c>
      <c r="F85" s="8" t="s">
        <v>100</v>
      </c>
      <c r="G85" s="4" t="s">
        <v>100</v>
      </c>
      <c r="H85" s="8" t="s">
        <v>100</v>
      </c>
      <c r="I85" s="7" t="s">
        <v>100</v>
      </c>
      <c r="J85" s="7" t="s">
        <v>100</v>
      </c>
      <c r="K85" s="4"/>
      <c r="L85" s="8"/>
      <c r="M85" s="4"/>
      <c r="N85" s="8"/>
      <c r="O85" s="7"/>
      <c r="P85" s="7"/>
    </row>
    <row r="86">
      <c r="A86" s="2" t="s">
        <v>87</v>
      </c>
      <c r="B86" s="2" t="s">
        <v>6099</v>
      </c>
      <c r="C86" s="2" t="s">
        <v>3079</v>
      </c>
      <c r="D86" s="2" t="s">
        <v>3176</v>
      </c>
      <c r="E86" s="4" t="s">
        <v>100</v>
      </c>
      <c r="F86" s="8" t="s">
        <v>100</v>
      </c>
      <c r="G86" s="4" t="s">
        <v>100</v>
      </c>
      <c r="H86" s="8" t="s">
        <v>100</v>
      </c>
      <c r="I86" s="7" t="s">
        <v>100</v>
      </c>
      <c r="J86" s="7" t="s">
        <v>100</v>
      </c>
      <c r="K86" s="4"/>
      <c r="L86" s="8"/>
      <c r="M86" s="4"/>
      <c r="N86" s="8"/>
      <c r="O86" s="7"/>
      <c r="P86" s="7"/>
    </row>
    <row r="87">
      <c r="A87" s="2" t="s">
        <v>87</v>
      </c>
      <c r="B87" s="2" t="s">
        <v>6099</v>
      </c>
      <c r="C87" s="2" t="s">
        <v>3079</v>
      </c>
      <c r="D87" s="2" t="s">
        <v>3080</v>
      </c>
      <c r="E87" s="4" t="s">
        <v>100</v>
      </c>
      <c r="F87" s="8" t="s">
        <v>100</v>
      </c>
      <c r="G87" s="4" t="s">
        <v>100</v>
      </c>
      <c r="H87" s="8" t="s">
        <v>100</v>
      </c>
      <c r="I87" s="7" t="s">
        <v>100</v>
      </c>
      <c r="J87" s="7" t="s">
        <v>100</v>
      </c>
      <c r="K87" s="4"/>
      <c r="L87" s="8"/>
      <c r="M87" s="4"/>
      <c r="N87" s="8"/>
      <c r="O87" s="7"/>
      <c r="P87" s="7"/>
    </row>
    <row r="88">
      <c r="A88" s="2" t="s">
        <v>87</v>
      </c>
      <c r="B88" s="2" t="s">
        <v>6099</v>
      </c>
      <c r="C88" s="2" t="s">
        <v>4554</v>
      </c>
      <c r="D88" s="2" t="s">
        <v>5940</v>
      </c>
      <c r="E88" s="4" t="s">
        <v>100</v>
      </c>
      <c r="F88" s="8" t="s">
        <v>100</v>
      </c>
      <c r="G88" s="4" t="s">
        <v>100</v>
      </c>
      <c r="H88" s="8" t="s">
        <v>100</v>
      </c>
      <c r="I88" s="7" t="s">
        <v>100</v>
      </c>
      <c r="J88" s="7" t="s">
        <v>100</v>
      </c>
      <c r="K88" s="4"/>
      <c r="L88" s="8"/>
      <c r="M88" s="4"/>
      <c r="N88" s="8"/>
      <c r="O88" s="7"/>
      <c r="P88" s="7"/>
    </row>
    <row r="89">
      <c r="A89" s="2" t="s">
        <v>87</v>
      </c>
      <c r="B89" s="2" t="s">
        <v>6099</v>
      </c>
      <c r="C89" s="2" t="s">
        <v>4554</v>
      </c>
      <c r="D89" s="2" t="s">
        <v>4555</v>
      </c>
      <c r="E89" s="4" t="s">
        <v>100</v>
      </c>
      <c r="F89" s="8" t="s">
        <v>100</v>
      </c>
      <c r="G89" s="4" t="s">
        <v>100</v>
      </c>
      <c r="H89" s="8" t="s">
        <v>100</v>
      </c>
      <c r="I89" s="7" t="s">
        <v>100</v>
      </c>
      <c r="J89" s="7" t="s">
        <v>100</v>
      </c>
      <c r="K89" s="4"/>
      <c r="L89" s="8"/>
      <c r="M89" s="4"/>
      <c r="N89" s="8"/>
      <c r="O89" s="7"/>
      <c r="P8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  <mergeCell ref="E28:E29"/>
    <mergeCell ref="F28:F29"/>
    <mergeCell ref="G28:G29"/>
    <mergeCell ref="H28:H29"/>
    <mergeCell ref="I28:I29"/>
    <mergeCell ref="J28:J29"/>
    <mergeCell ref="E30:E31"/>
    <mergeCell ref="F30:F31"/>
    <mergeCell ref="G30:G31"/>
    <mergeCell ref="H30:H31"/>
    <mergeCell ref="I30:I31"/>
    <mergeCell ref="J30:J31"/>
    <mergeCell ref="E34:E35"/>
    <mergeCell ref="F34:F35"/>
    <mergeCell ref="G34:G35"/>
    <mergeCell ref="H34:H35"/>
    <mergeCell ref="I34:I35"/>
    <mergeCell ref="J34:J35"/>
    <mergeCell ref="E36:E37"/>
    <mergeCell ref="F36:F37"/>
    <mergeCell ref="G36:G37"/>
    <mergeCell ref="H36:H37"/>
    <mergeCell ref="I36:I37"/>
    <mergeCell ref="J36:J37"/>
    <mergeCell ref="E44:E47"/>
    <mergeCell ref="F44:F47"/>
    <mergeCell ref="G44:G47"/>
    <mergeCell ref="H44:H47"/>
    <mergeCell ref="I44:I47"/>
    <mergeCell ref="J44:J47"/>
    <mergeCell ref="E48:E49"/>
    <mergeCell ref="F48:F49"/>
    <mergeCell ref="G48:G49"/>
    <mergeCell ref="H48:H49"/>
    <mergeCell ref="I48:I49"/>
    <mergeCell ref="J48:J49"/>
    <mergeCell ref="E55:E57"/>
    <mergeCell ref="F55:F57"/>
    <mergeCell ref="G55:G57"/>
    <mergeCell ref="H55:H57"/>
    <mergeCell ref="I55:I57"/>
    <mergeCell ref="J55:J57"/>
    <mergeCell ref="E61:E62"/>
    <mergeCell ref="F61:F62"/>
    <mergeCell ref="G61:G62"/>
    <mergeCell ref="H61:H62"/>
    <mergeCell ref="I61:I62"/>
    <mergeCell ref="J61:J62"/>
    <mergeCell ref="E82:E83"/>
    <mergeCell ref="F82:F83"/>
    <mergeCell ref="G82:G83"/>
    <mergeCell ref="H82:H83"/>
    <mergeCell ref="I82:I83"/>
    <mergeCell ref="J82:J83"/>
    <mergeCell ref="E84:E85"/>
    <mergeCell ref="F84:F85"/>
    <mergeCell ref="G84:G85"/>
    <mergeCell ref="H84:H85"/>
    <mergeCell ref="I84:I85"/>
    <mergeCell ref="J84:J85"/>
    <mergeCell ref="E86:E87"/>
    <mergeCell ref="F86:F87"/>
    <mergeCell ref="G86:G87"/>
    <mergeCell ref="H86:H87"/>
    <mergeCell ref="I86:I87"/>
    <mergeCell ref="J86:J87"/>
    <mergeCell ref="E88:E89"/>
    <mergeCell ref="F88:F89"/>
    <mergeCell ref="G88:G89"/>
    <mergeCell ref="H88:H89"/>
    <mergeCell ref="I88:I89"/>
    <mergeCell ref="J88:J8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6189</v>
      </c>
      <c r="D2" s="0" t="s">
        <v>6190</v>
      </c>
      <c r="E2" s="0" t="s">
        <v>6191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6192</v>
      </c>
      <c r="I4" s="1" t="s">
        <v>6193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6194</v>
      </c>
      <c r="O4" s="1" t="s">
        <v>6195</v>
      </c>
    </row>
    <row r="5">
      <c r="A5" s="1" t="s">
        <v>52</v>
      </c>
      <c r="B5" s="1" t="s">
        <v>54</v>
      </c>
      <c r="C5" s="1" t="s">
        <v>55</v>
      </c>
      <c r="D5" s="1" t="s">
        <v>6196</v>
      </c>
      <c r="E5" s="1" t="s">
        <v>6197</v>
      </c>
      <c r="F5" s="1" t="s">
        <v>6196</v>
      </c>
      <c r="G5" s="1" t="s">
        <v>6197</v>
      </c>
      <c r="H5" s="1" t="s">
        <v>6192</v>
      </c>
      <c r="I5" s="1" t="s">
        <v>6193</v>
      </c>
      <c r="J5" s="1" t="s">
        <v>6198</v>
      </c>
      <c r="K5" s="1" t="s">
        <v>6199</v>
      </c>
      <c r="L5" s="1" t="s">
        <v>6198</v>
      </c>
      <c r="M5" s="1" t="s">
        <v>6199</v>
      </c>
      <c r="N5" s="1" t="s">
        <v>6194</v>
      </c>
      <c r="O5" s="1" t="s">
        <v>6195</v>
      </c>
    </row>
    <row r="6">
      <c r="A6" s="2" t="s">
        <v>87</v>
      </c>
      <c r="B6" s="2" t="s">
        <v>89</v>
      </c>
      <c r="C6" s="2" t="s">
        <v>90</v>
      </c>
      <c r="D6" s="4">
        <v>209</v>
      </c>
      <c r="E6" s="8">
        <v>15426.82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123</v>
      </c>
      <c r="K6" s="8">
        <v>9071.23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3382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27</v>
      </c>
      <c r="K7" s="8">
        <v>3030.72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1944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24</v>
      </c>
      <c r="K8" s="8">
        <v>1894.73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2030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35</v>
      </c>
      <c r="K9" s="8">
        <v>1430.14</v>
      </c>
      <c r="L9" s="4"/>
      <c r="M9" s="8"/>
      <c r="N9" s="7"/>
      <c r="O9" s="7"/>
    </row>
    <row r="10">
      <c r="A10" s="2" t="s">
        <v>87</v>
      </c>
      <c r="B10" s="2" t="s">
        <v>2230</v>
      </c>
      <c r="C10" s="2" t="s">
        <v>2231</v>
      </c>
      <c r="D10" s="4">
        <v>133</v>
      </c>
      <c r="E10" s="8">
        <v>7005.41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67</v>
      </c>
      <c r="K10" s="8">
        <v>3432.79</v>
      </c>
      <c r="L10" s="4"/>
      <c r="M10" s="8"/>
      <c r="N10" s="7"/>
      <c r="O10" s="7"/>
    </row>
    <row r="11">
      <c r="A11" s="2" t="s">
        <v>87</v>
      </c>
      <c r="B11" s="2" t="s">
        <v>2230</v>
      </c>
      <c r="C11" s="2" t="s">
        <v>2393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23</v>
      </c>
      <c r="K11" s="8">
        <v>1301.46</v>
      </c>
      <c r="L11" s="4"/>
      <c r="M11" s="8"/>
      <c r="N11" s="7"/>
      <c r="O11" s="7"/>
    </row>
    <row r="12">
      <c r="A12" s="2" t="s">
        <v>87</v>
      </c>
      <c r="B12" s="2" t="s">
        <v>2230</v>
      </c>
      <c r="C12" s="2" t="s">
        <v>2656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23</v>
      </c>
      <c r="K12" s="8">
        <v>1026.7</v>
      </c>
      <c r="L12" s="4"/>
      <c r="M12" s="8"/>
      <c r="N12" s="7"/>
      <c r="O12" s="7"/>
    </row>
    <row r="13">
      <c r="A13" s="2" t="s">
        <v>87</v>
      </c>
      <c r="B13" s="2" t="s">
        <v>2230</v>
      </c>
      <c r="C13" s="2" t="s">
        <v>3064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5</v>
      </c>
      <c r="K13" s="8">
        <v>396.61</v>
      </c>
      <c r="L13" s="4"/>
      <c r="M13" s="8"/>
      <c r="N13" s="7"/>
      <c r="O13" s="7"/>
    </row>
    <row r="14">
      <c r="A14" s="2" t="s">
        <v>87</v>
      </c>
      <c r="B14" s="2" t="s">
        <v>2230</v>
      </c>
      <c r="C14" s="2" t="s">
        <v>5421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6</v>
      </c>
      <c r="K14" s="8">
        <v>347.3</v>
      </c>
      <c r="L14" s="4"/>
      <c r="M14" s="8"/>
      <c r="N14" s="7"/>
      <c r="O14" s="7"/>
    </row>
    <row r="15">
      <c r="A15" s="2" t="s">
        <v>87</v>
      </c>
      <c r="B15" s="2" t="s">
        <v>2230</v>
      </c>
      <c r="C15" s="2" t="s">
        <v>2939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5</v>
      </c>
      <c r="K15" s="8">
        <v>288.79</v>
      </c>
      <c r="L15" s="4"/>
      <c r="M15" s="8"/>
      <c r="N15" s="7"/>
      <c r="O15" s="7"/>
    </row>
    <row r="16">
      <c r="A16" s="2" t="s">
        <v>87</v>
      </c>
      <c r="B16" s="2" t="s">
        <v>2230</v>
      </c>
      <c r="C16" s="2" t="s">
        <v>1944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3</v>
      </c>
      <c r="K16" s="8">
        <v>166.67</v>
      </c>
      <c r="L16" s="4"/>
      <c r="M16" s="8"/>
      <c r="N16" s="7"/>
      <c r="O16" s="7"/>
    </row>
    <row r="17">
      <c r="A17" s="2" t="s">
        <v>87</v>
      </c>
      <c r="B17" s="2" t="s">
        <v>2230</v>
      </c>
      <c r="C17" s="2" t="s">
        <v>2970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1</v>
      </c>
      <c r="K17" s="8">
        <v>45.09</v>
      </c>
      <c r="L17" s="4"/>
      <c r="M17" s="8"/>
      <c r="N17" s="7"/>
      <c r="O17" s="7"/>
    </row>
    <row r="18">
      <c r="A18" s="2" t="s">
        <v>87</v>
      </c>
      <c r="B18" s="2" t="s">
        <v>3079</v>
      </c>
      <c r="C18" s="2" t="s">
        <v>3080</v>
      </c>
      <c r="D18" s="4">
        <v>17</v>
      </c>
      <c r="E18" s="8">
        <v>872.91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8</v>
      </c>
      <c r="K18" s="8">
        <v>579.15</v>
      </c>
      <c r="L18" s="4"/>
      <c r="M18" s="8"/>
      <c r="N18" s="7"/>
      <c r="O18" s="7"/>
    </row>
    <row r="19">
      <c r="A19" s="2" t="s">
        <v>87</v>
      </c>
      <c r="B19" s="2" t="s">
        <v>3079</v>
      </c>
      <c r="C19" s="2" t="s">
        <v>3176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9</v>
      </c>
      <c r="K19" s="8">
        <v>293.76</v>
      </c>
      <c r="L19" s="4"/>
      <c r="M19" s="8"/>
      <c r="N19" s="7"/>
      <c r="O19" s="7"/>
    </row>
    <row r="20">
      <c r="A20" s="2" t="s">
        <v>87</v>
      </c>
      <c r="B20" s="2" t="s">
        <v>3321</v>
      </c>
      <c r="C20" s="2" t="s">
        <v>3322</v>
      </c>
      <c r="D20" s="4">
        <v>15</v>
      </c>
      <c r="E20" s="8">
        <v>291.16</v>
      </c>
      <c r="F20" s="4"/>
      <c r="G20" s="8"/>
      <c r="H20" s="7"/>
      <c r="I20" s="7"/>
      <c r="J20" s="4">
        <v>15</v>
      </c>
      <c r="K20" s="8">
        <v>291.16</v>
      </c>
      <c r="L20" s="4"/>
      <c r="M20" s="8"/>
      <c r="N20" s="7"/>
      <c r="O20" s="7"/>
    </row>
    <row r="21">
      <c r="A21" s="2" t="s">
        <v>87</v>
      </c>
      <c r="B21" s="2" t="s">
        <v>4554</v>
      </c>
      <c r="C21" s="2" t="s">
        <v>4555</v>
      </c>
      <c r="D21" s="4">
        <v>4</v>
      </c>
      <c r="E21" s="8">
        <v>53.18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4</v>
      </c>
      <c r="K21" s="8">
        <v>53.18</v>
      </c>
      <c r="L21" s="4"/>
      <c r="M21" s="8"/>
      <c r="N21" s="7"/>
      <c r="O21" s="7"/>
    </row>
    <row r="22">
      <c r="A22" s="2" t="s">
        <v>87</v>
      </c>
      <c r="B22" s="2" t="s">
        <v>4554</v>
      </c>
      <c r="C22" s="2" t="s">
        <v>5940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3365</v>
      </c>
      <c r="C23" s="2" t="s">
        <v>4524</v>
      </c>
      <c r="D23" s="4">
        <v>2</v>
      </c>
      <c r="E23" s="8">
        <v>31.12</v>
      </c>
      <c r="F23" s="4" t="s">
        <v>100</v>
      </c>
      <c r="G23" s="8" t="s">
        <v>100</v>
      </c>
      <c r="H23" s="7" t="s">
        <v>100</v>
      </c>
      <c r="I23" s="7" t="s">
        <v>100</v>
      </c>
      <c r="J23" s="4">
        <v>2</v>
      </c>
      <c r="K23" s="8">
        <v>31.12</v>
      </c>
      <c r="L23" s="4"/>
      <c r="M23" s="8"/>
      <c r="N23" s="7"/>
      <c r="O23" s="7"/>
    </row>
    <row r="24">
      <c r="A24" s="2" t="s">
        <v>87</v>
      </c>
      <c r="B24" s="2" t="s">
        <v>3365</v>
      </c>
      <c r="C24" s="2" t="s">
        <v>5914</v>
      </c>
      <c r="D24" s="4" t="s">
        <v>100</v>
      </c>
      <c r="E24" s="8" t="s">
        <v>100</v>
      </c>
      <c r="F24" s="4" t="s">
        <v>100</v>
      </c>
      <c r="G24" s="8" t="s">
        <v>100</v>
      </c>
      <c r="H24" s="7" t="s">
        <v>100</v>
      </c>
      <c r="I24" s="7" t="s">
        <v>100</v>
      </c>
      <c r="J24" s="4"/>
      <c r="K24" s="8"/>
      <c r="L24" s="4"/>
      <c r="M24" s="8"/>
      <c r="N24" s="7"/>
      <c r="O24" s="7"/>
    </row>
    <row r="25">
      <c r="A25" s="2" t="s">
        <v>87</v>
      </c>
      <c r="B25" s="2" t="s">
        <v>3365</v>
      </c>
      <c r="C25" s="2" t="s">
        <v>3366</v>
      </c>
      <c r="D25" s="4" t="s">
        <v>100</v>
      </c>
      <c r="E25" s="8" t="s">
        <v>100</v>
      </c>
      <c r="F25" s="4" t="s">
        <v>100</v>
      </c>
      <c r="G25" s="8" t="s">
        <v>100</v>
      </c>
      <c r="H25" s="7" t="s">
        <v>100</v>
      </c>
      <c r="I25" s="7" t="s">
        <v>100</v>
      </c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5137</v>
      </c>
      <c r="C26" s="2" t="s">
        <v>2656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6072</v>
      </c>
      <c r="C27" s="2" t="s">
        <v>6073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87</v>
      </c>
      <c r="B28" s="2" t="s">
        <v>6078</v>
      </c>
      <c r="C28" s="2" t="s">
        <v>6079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</mergeCells>
  <headerFooter/>
</worksheet>
</file>