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<sst xmlns="http://schemas.openxmlformats.org/spreadsheetml/2006/main" count="1580" uniqueCount="1580">
  <si>
    <t>Date Type:</t>
  </si>
  <si>
    <t>Shipped Date</t>
  </si>
  <si>
    <t>Start Date:</t>
  </si>
  <si>
    <t>01/01/2024</t>
  </si>
  <si>
    <t>End Date:</t>
  </si>
  <si>
    <t>04/23/2024</t>
  </si>
  <si>
    <t>Report Run Date:</t>
  </si>
  <si>
    <t>04/24/2024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</si>
  <si>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</si>
  <si>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</si>
  <si>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</si>
  <si>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</si>
  <si>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</si>
  <si>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</si>
  <si>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</si>
  <si>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</si>
  <si>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</si>
  <si>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</si>
  <si>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</si>
  <si>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</si>
  <si>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</si>
  <si>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</si>
  <si>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</si>
  <si>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</si>
  <si>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</si>
  <si>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</si>
  <si>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</si>
  <si>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</si>
  <si>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</si>
  <si>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</si>
  <si>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</si>
  <si>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</si>
  <si>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</si>
  <si>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</si>
  <si>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</si>
  <si>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</si>
  <si>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</si>
  <si>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</si>
  <si>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</si>
  <si>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</si>
  <si>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</si>
  <si>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</si>
  <si>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</si>
  <si>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</si>
  <si>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</si>
  <si>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</si>
  <si>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</si>
  <si>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</si>
  <si>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</si>
  <si>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</si>
  <si>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</si>
  <si>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</si>
  <si>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</si>
  <si>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</si>
  <si>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</si>
  <si>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</si>
  <si>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</si>
  <si>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</si>
  <si>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</si>
  <si>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</si>
  <si>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</si>
  <si>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</si>
  <si>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</si>
  <si>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</si>
  <si>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</si>
  <si>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</si>
  <si>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</si>
  <si>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</si>
  <si>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</si>
  <si>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</si>
  <si>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</si>
  <si>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</si>
  <si>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</si>
  <si>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</si>
  <si>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</si>
  <si>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</si>
  <si>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</si>
  <si>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</si>
  <si>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</si>
  <si>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</si>
  <si>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</si>
  <si>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</si>
  <si>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</si>
  <si>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</si>
  <si>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</si>
  <si>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</si>
  <si>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MP70-644</t>
  </si>
  <si>
    <t>BATH</t>
  </si>
  <si>
    <t>Madison Park</t>
  </si>
  <si>
    <t>SHOWER CURTAIN</t>
  </si>
  <si>
    <t>Shower Curtain</t>
  </si>
  <si>
    <t>Serene</t>
  </si>
  <si>
    <t>Belle</t>
  </si>
  <si>
    <t>Monroe</t>
  </si>
  <si>
    <t>Faux Silk Embroidered Floral Shower Curtain</t>
  </si>
  <si>
    <t>72x72"</t>
  </si>
  <si>
    <t>Red</t>
  </si>
  <si>
    <t>Active</t>
  </si>
  <si>
    <t>A+</t>
  </si>
  <si>
    <t>NO</t>
  </si>
  <si>
    <t/>
  </si>
  <si>
    <t>PF003399;PP000505</t>
  </si>
  <si>
    <t>Pieced</t>
  </si>
  <si>
    <t>Transitional</t>
  </si>
  <si>
    <t>4/2/2017</t>
  </si>
  <si>
    <t>AAFESDS,AMAZON,AMAZONDS,CSNSTORES,DESINC,FINGERHUTDS,HDDS,HSNDS,JCPENNEY01,KOHLDSN,MACY02,NRTPORT,OLLIIX,OVERSCONSIGN,OVERSTOCK01,TGTDVS,WALMARTDS</t>
  </si>
  <si>
    <t>Setup</t>
  </si>
  <si>
    <t>7/30/2016</t>
  </si>
  <si>
    <t>1/2/2015</t>
  </si>
  <si>
    <t>No</t>
  </si>
  <si>
    <t>Yes</t>
  </si>
  <si>
    <t>MP70-1918</t>
  </si>
  <si>
    <t>Green</t>
  </si>
  <si>
    <t>A</t>
  </si>
  <si>
    <t>PF003400;PP000505</t>
  </si>
  <si>
    <t>AMAZON,AMAZONDS,BEALLSDS,CSNSTORES,DESINC,HDDS,JCPENNEY01,KOHLDSN,MACY02,NRTPORT,OVERSTOCK01,TGTDVS,WALMARTDS</t>
  </si>
  <si>
    <t>4/11/2016</t>
  </si>
  <si>
    <t>MP70-3453</t>
  </si>
  <si>
    <t>Purple</t>
  </si>
  <si>
    <t>PF003402;PP000505</t>
  </si>
  <si>
    <t>5/29/2024</t>
  </si>
  <si>
    <t>AMAZON,AMAZONDS,CSNSTORES,DESINC,HDDS,JCPENNEY01,KOHLDSN,MACY02,NRTPORT,OVERSTOCK01,TGTDVS,WALMARTDS</t>
  </si>
  <si>
    <t>11/20/2016</t>
  </si>
  <si>
    <t>11/28/2016</t>
  </si>
  <si>
    <t>MP70-4863</t>
  </si>
  <si>
    <t>Yellow</t>
  </si>
  <si>
    <t>B</t>
  </si>
  <si>
    <t>PF003405;PP000505</t>
  </si>
  <si>
    <t>10/3/2017</t>
  </si>
  <si>
    <t>AMAZON,BEALLSDS,CSNSTORES,DESINC,HDDS,JCPENNEY01,KOHLDSN,MACY02,NRTPORT,OVERSTOCK01,TGTDVS,WALMARTDS</t>
  </si>
  <si>
    <t>9/5/2017</t>
  </si>
  <si>
    <t>10/27/2017</t>
  </si>
  <si>
    <t>MP70-1392</t>
  </si>
  <si>
    <t>Blue</t>
  </si>
  <si>
    <t>C</t>
  </si>
  <si>
    <t>PF003398;PP000481</t>
  </si>
  <si>
    <t>AAFESDS,AMAZON,BEALLSDS,CSNSTORES,DESINC,JCPENNEY01,KOHLDSN,MACY02,NRTPORT,OLLIIX,OVERSTOCK01,TGTDVS</t>
  </si>
  <si>
    <t>4/13/2016</t>
  </si>
  <si>
    <t>MP70-3452</t>
  </si>
  <si>
    <t>Navy</t>
  </si>
  <si>
    <t>PF003404;PP000505</t>
  </si>
  <si>
    <t>AMAZON,CSNSTORES,HDDS,JCPENNEY01,KOHLDSN,MACY02,NRTPORT,OVERSTOCK01,TGTDVS</t>
  </si>
  <si>
    <t>12/5/2016</t>
  </si>
  <si>
    <t>MP70-4172</t>
  </si>
  <si>
    <t>Holly</t>
  </si>
  <si>
    <t>Isabella</t>
  </si>
  <si>
    <t>Sakura</t>
  </si>
  <si>
    <t>Cotton Shower Curtain</t>
  </si>
  <si>
    <t>PF002647;PP001841</t>
  </si>
  <si>
    <t>Floral</t>
  </si>
  <si>
    <t>Modern/Contemporary</t>
  </si>
  <si>
    <t>4/26/2024</t>
  </si>
  <si>
    <t>AMAZON,AMAZONDS,BEALLSDS,CSNSTORES,HDDS,HOUZZ,JCPENNEY01,KOHLDSN,MACY02,OLLIIX,OVERSTOCK01,TGTDVS,WALMARTDS</t>
  </si>
  <si>
    <t>6/20/2017</t>
  </si>
  <si>
    <t>12/11/2017</t>
  </si>
  <si>
    <t>MP70-2978</t>
  </si>
  <si>
    <t>Amherst</t>
  </si>
  <si>
    <t>Eastridge</t>
  </si>
  <si>
    <t>Salem</t>
  </si>
  <si>
    <t>Faux Silk Shower Curtain</t>
  </si>
  <si>
    <t>Aqua</t>
  </si>
  <si>
    <t>PF002417;PP000373</t>
  </si>
  <si>
    <t>4/15/2017</t>
  </si>
  <si>
    <t>AAFESDS,AMAZON,AMAZONDS,BEALLSDS,CSNSTORES,DESINC,HDDS,JCPENNEY01,KIRKLANDDS,KOHLDSN,MACY02,NRTPORT,OLLIIX,OVERSTOCK01,TGTDVS,WALMARTDS</t>
  </si>
  <si>
    <t>12/1/2016</t>
  </si>
  <si>
    <t>MP70-221</t>
  </si>
  <si>
    <t>PF001362;PP000524</t>
  </si>
  <si>
    <t>AMAZON,AMAZONDS,CSNSTORES,HDDS,JCPENNEY01,KOHLDSN,MACY02,OLLIIX,TGTDVS</t>
  </si>
  <si>
    <t>5/19/2016</t>
  </si>
  <si>
    <t>MP70-845</t>
  </si>
  <si>
    <t>Aubrey</t>
  </si>
  <si>
    <t>Whitman</t>
  </si>
  <si>
    <t>Charlotte</t>
  </si>
  <si>
    <t>Jacquard Shower Curtain</t>
  </si>
  <si>
    <t>Black</t>
  </si>
  <si>
    <t>B+</t>
  </si>
  <si>
    <t>PF003388;PP000381</t>
  </si>
  <si>
    <t>Paisley</t>
  </si>
  <si>
    <t>Traditional</t>
  </si>
  <si>
    <t>5/18/2024</t>
  </si>
  <si>
    <t>AMAZON,AMAZONDS,CSNSTORES,FINGERHUTDS,JCPENNEY01,KOHLDSN,MACY02,OLLIIX,OVERSTOCK01,TGTDVS,WALMARTDS</t>
  </si>
  <si>
    <t>12/7/2016</t>
  </si>
  <si>
    <t>MP70-224</t>
  </si>
  <si>
    <t>Blue/Brown</t>
  </si>
  <si>
    <t>PF003389;PP000381</t>
  </si>
  <si>
    <t>AMAZON,CSNSTORES,HSNDS,JCPENNEY01,KOHLDSN,MACY02,OLLIIX,OVERSTOCK01,TGTDVS,WALMARTDS</t>
  </si>
  <si>
    <t>12/22/2016</t>
  </si>
  <si>
    <t>MP70-3034</t>
  </si>
  <si>
    <t>Burgundy</t>
  </si>
  <si>
    <t>PF003393;PP000381</t>
  </si>
  <si>
    <t>AMAZON,AMAZONDS,CSNSTORES,DESINC,HDDS,JCPENNEY01,KOHLDSN,MACY02,OLLIIX,OVERSTOCK01,TGTDVS,WALMARTDS</t>
  </si>
  <si>
    <t>1/4/2017</t>
  </si>
  <si>
    <t>MP70-8320</t>
  </si>
  <si>
    <t>Teal</t>
  </si>
  <si>
    <t>TBD</t>
  </si>
  <si>
    <t>PP000381;PF006093</t>
  </si>
  <si>
    <t>1</t>
  </si>
  <si>
    <t>11/18/2023</t>
  </si>
  <si>
    <t>6/4/2024</t>
  </si>
  <si>
    <t>AMAZON,AMAZONDS,CSNSTORES,DESINC,HDDS,KOHLDSN,MACY02,OVERSTOCK01,TGTDVS</t>
  </si>
  <si>
    <t>Ready To Offer</t>
  </si>
  <si>
    <t>MP70-3039</t>
  </si>
  <si>
    <t>Princeton</t>
  </si>
  <si>
    <t>Dartmouth</t>
  </si>
  <si>
    <t>Cambridge</t>
  </si>
  <si>
    <t>PF003392;PP000487</t>
  </si>
  <si>
    <t>Damask</t>
  </si>
  <si>
    <t>5/12/2017</t>
  </si>
  <si>
    <t>AMAZON,AMAZONDS,CSNSTORES,DESINC,HDDS,JCPENNEY01,KOHLDSN,MACY02,OVERSTOCK01,TGTDVS,WALMARTDS</t>
  </si>
  <si>
    <t>1/16/2017</t>
  </si>
  <si>
    <t>MP70-3040</t>
  </si>
  <si>
    <t>AMAZON,AMAZONDS,CSNSTORES,HDDS,JCPENNEY01,KOHLDSN,MACY02,OVERSTOCK01,TGTDVS,WALMARTDS</t>
  </si>
  <si>
    <t>1/30/2017</t>
  </si>
  <si>
    <t>MP70-6824A</t>
  </si>
  <si>
    <t>Arlo</t>
  </si>
  <si>
    <t>Eider</t>
  </si>
  <si>
    <t>Orinn</t>
  </si>
  <si>
    <t>Super Waffle Textured Solid Shower Curtain</t>
  </si>
  <si>
    <t>White</t>
  </si>
  <si>
    <t>PF004964</t>
  </si>
  <si>
    <t>Cotton</t>
  </si>
  <si>
    <t>Solid</t>
  </si>
  <si>
    <t>Casual</t>
  </si>
  <si>
    <t>7/30/2020</t>
  </si>
  <si>
    <t>AMAZON,CSNSTORES,HDDS,HOUZZ,JCPENNEY01,KIRKLANDDS,KOHLDSN,MACY02,NRTPORT,OLLIIX,OVERSTOCK01,TGTDVS,WALMARTDS,ZOLA</t>
  </si>
  <si>
    <t>5/5/2021</t>
  </si>
  <si>
    <t>5/19/2021</t>
  </si>
  <si>
    <t>MP70-4246</t>
  </si>
  <si>
    <t>Quincy</t>
  </si>
  <si>
    <t>Pierce</t>
  </si>
  <si>
    <t>Ramsey</t>
  </si>
  <si>
    <t>Printed Cotton Shower Curtain</t>
  </si>
  <si>
    <t>Khaki</t>
  </si>
  <si>
    <t>PF002722;PP001842</t>
  </si>
  <si>
    <t>Print</t>
  </si>
  <si>
    <t>5/11/2024</t>
  </si>
  <si>
    <t>BEALLSDS,CSNSTORES,DESINC,HDDS,JCPENNEY01,KOHLDSN,MACY02,NRTPORT,OLLIIX,OVERSTOCK01,TGTDVS,WALMARTDS</t>
  </si>
  <si>
    <t>7/9/2017</t>
  </si>
  <si>
    <t>5/21/2018</t>
  </si>
  <si>
    <t>MP70-4982</t>
  </si>
  <si>
    <t>Spa Waffle</t>
  </si>
  <si>
    <t>Shower Curtain with 3M Treatment</t>
  </si>
  <si>
    <t>108x72"</t>
  </si>
  <si>
    <t>Grey</t>
  </si>
  <si>
    <t>Stripe</t>
  </si>
  <si>
    <t>Classic</t>
  </si>
  <si>
    <t>9/20/2017</t>
  </si>
  <si>
    <t>6/2/2024</t>
  </si>
  <si>
    <t>AMAZON,CSNSTORES,HDDS,JCPENNEY01,KOHLDSN,OLLIIX,OVERSTOCK01,TGTDVS,WALMARTDS</t>
  </si>
  <si>
    <t>8/23/2017</t>
  </si>
  <si>
    <t>11/6/2017</t>
  </si>
  <si>
    <t>MP70-4981</t>
  </si>
  <si>
    <t>54x78"</t>
  </si>
  <si>
    <t>4/29/2024</t>
  </si>
  <si>
    <t>AMAZON,AMAZONDS,CSNSTORES,HDDS,JCPENNEY01,KOHLDSN,OLLIIX,OVERSTOCK01,TGTDVS,WALMARTDS,ZOLA</t>
  </si>
  <si>
    <t>9/26/2017</t>
  </si>
  <si>
    <t>MP70-4987</t>
  </si>
  <si>
    <t>72x84"</t>
  </si>
  <si>
    <t>AAFESDS,AMAZON,AMAZONDS,CSNSTORES,DESINC,HDDS,JCPENNEY01,KOHLDSN,MACY02,OLLIIX,OVERSTOCK01,TGTDVS,ZOLA</t>
  </si>
  <si>
    <t>MP70-4977</t>
  </si>
  <si>
    <t>Taupe</t>
  </si>
  <si>
    <t>AMAZON,AMAZONDS,CSNSTORES,DESINC,HDDS,JCPENNEY01,KOHLDSN,MACY02,NRTPORT,OLLIIX,OVERSTOCK01,TGTDVS</t>
  </si>
  <si>
    <t>11/2/2017</t>
  </si>
  <si>
    <t>MP70-1915</t>
  </si>
  <si>
    <t>Serendipity</t>
  </si>
  <si>
    <t>Marcel</t>
  </si>
  <si>
    <t>Fenice</t>
  </si>
  <si>
    <t>Ivory</t>
  </si>
  <si>
    <t>Close-out</t>
  </si>
  <si>
    <t>PF001472;PP000504</t>
  </si>
  <si>
    <t>Geometric</t>
  </si>
  <si>
    <t>AMAZON,AMAZONDS,BEALLSDS,CSNSTORES,HDDS,HSNDS,JCPENNEY01,KOHLDSN,MACY02,OLLIIX,OVERSTOCK01,TGTDVS,WALMARTDS</t>
  </si>
  <si>
    <t>Discontinued</t>
  </si>
  <si>
    <t>1/28/2016</t>
  </si>
  <si>
    <t>MP70-5669</t>
  </si>
  <si>
    <t>Lola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</si>
  <si>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</si>
  <si>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</si>
  <si>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</si>
  <si>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</si>
  <si>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</si>
  <si>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</si>
  <si>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8/23/2024</t>
  </si>
  <si>
    <t>AMAZON,AMAZONDS,CSNSTORES,HDDS,JCPENNEY01,KOHLDSN,MACY02,OLLIIX,OVERSTOCK01,TGTDVS,WALMARTDS</t>
  </si>
  <si>
    <t>3/7/2018</t>
  </si>
  <si>
    <t>4/2/2018</t>
  </si>
  <si>
    <t>MP70-6875</t>
  </si>
  <si>
    <t>Odette</t>
  </si>
  <si>
    <t>Dillon</t>
  </si>
  <si>
    <t>Eliot</t>
  </si>
  <si>
    <t>Silver/Silver</t>
  </si>
  <si>
    <t>PF004304;PP000900</t>
  </si>
  <si>
    <t>10/22/2019</t>
  </si>
  <si>
    <t>5/8/2024</t>
  </si>
  <si>
    <t>1/21/2020</t>
  </si>
  <si>
    <t>9/2/2020</t>
  </si>
  <si>
    <t>MP70-8085</t>
  </si>
  <si>
    <t>Aqua/Silver</t>
  </si>
  <si>
    <t>PP000900;PF005801</t>
  </si>
  <si>
    <t>10/10/2022</t>
  </si>
  <si>
    <t>AMAZONDS,CSNSTORES,JCPENNEY01,KOHLDSN,MACY02,NRTPORT,OLLIIX,OVERSTOCK01,TGTDVS</t>
  </si>
  <si>
    <t>MP70-8084</t>
  </si>
  <si>
    <t>Tan/Ivory</t>
  </si>
  <si>
    <t>PP000900;PF004650</t>
  </si>
  <si>
    <t>11/11/2022</t>
  </si>
  <si>
    <t>MP70-3651</t>
  </si>
  <si>
    <t>Grace</t>
  </si>
  <si>
    <t>Hope</t>
  </si>
  <si>
    <t>Abby</t>
  </si>
  <si>
    <t>Ruffled Shower Curtain</t>
  </si>
  <si>
    <t>PF002762</t>
  </si>
  <si>
    <t>Cottage/Country</t>
  </si>
  <si>
    <t>6/13/2017</t>
  </si>
  <si>
    <t>6/14/2024</t>
  </si>
  <si>
    <t>AMAZON,AMAZONDS,HDDS,JCPENNEY01,KOHLDSN,MACY02,NRTPORT,OLLIIX,OVERSTOCK01,TGTDVS,WALMARTDS</t>
  </si>
  <si>
    <t>MP70-6631</t>
  </si>
  <si>
    <t>Cecily</t>
  </si>
  <si>
    <t>Vera</t>
  </si>
  <si>
    <t>Rosalie</t>
  </si>
  <si>
    <t>Burnout Printed Shower Curtain</t>
  </si>
  <si>
    <t>Seafoam</t>
  </si>
  <si>
    <t>PF004852;PP001360</t>
  </si>
  <si>
    <t>Botanical</t>
  </si>
  <si>
    <t>8/27/2019</t>
  </si>
  <si>
    <t>5/19/2024</t>
  </si>
  <si>
    <t>AMAZON,CSNSTORES,JCPENNEY01,KOHLDSN,MACY02,OLLIIX,OVERSTOCK01,TGTDVS,WALMARTDS,ZOLA</t>
  </si>
  <si>
    <t>6/11/2021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</si>
  <si>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</si>
  <si>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</si>
  <si>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</si>
  <si>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</si>
  <si>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</si>
  <si>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12/13/2021</t>
  </si>
  <si>
    <t>MP70-3467</t>
  </si>
  <si>
    <t>Anna</t>
  </si>
  <si>
    <t>Lydia</t>
  </si>
  <si>
    <t>Angie</t>
  </si>
  <si>
    <t>Sheer Shower Curtain</t>
  </si>
  <si>
    <t>PF001527</t>
  </si>
  <si>
    <t>9/4/2024</t>
  </si>
  <si>
    <t>AMAZON,CSNSTORES,HDDS,JCPENNEY01,KIRKLANDDS,KOHLDSN,MACY02,OLLIIX,OVERSTOCK01,TGTDVS,WALMARTDS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</si>
  <si>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</si>
  <si>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</si>
  <si>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</si>
  <si>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</si>
  <si>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</si>
  <si>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</si>
  <si>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</si>
  <si>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</si>
  <si>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5/16/2024</t>
  </si>
  <si>
    <t>AMAZON,CSNSTORES,DESINC,FINGERHUTDS,HDDS,JCPENNEY01,KOHLDSN,MACY02,OLLIIX,OVERSTOCK01,TGTDVS,WALMARTDS,ZOLA</t>
  </si>
  <si>
    <t>11/19/2019</t>
  </si>
  <si>
    <t>5/20/2020</t>
  </si>
  <si>
    <t>MP70-7541</t>
  </si>
  <si>
    <t>PP001339;PF005493</t>
  </si>
  <si>
    <t>5/25/2021</t>
  </si>
  <si>
    <t>AMAZON,AMAZONDS,CSNSTORES,DESINC,HDDS,JCPENNEY01,KOHLDSN,MACY02,OLLIIX,OVERSTOCK01,TGTDVS</t>
  </si>
  <si>
    <t>MP70-439</t>
  </si>
  <si>
    <t>Laurel</t>
  </si>
  <si>
    <t>Vivian</t>
  </si>
  <si>
    <t>Piedmont</t>
  </si>
  <si>
    <t>Tufted Semi-Sheer Shower Curtain</t>
  </si>
  <si>
    <t>PF002430;PP000440</t>
  </si>
  <si>
    <t>AMAZON,BEALLSDS,CSNSTORES,HDDS,HSNDS,KOHLDSN,MACY02,OLLIIX,OVERSTOCK01,WALMARTDS</t>
  </si>
  <si>
    <t>12/19/2016</t>
  </si>
  <si>
    <t>2/3/2017</t>
  </si>
  <si>
    <t>MP70-440</t>
  </si>
  <si>
    <t>Plum</t>
  </si>
  <si>
    <t>PF002424;PP000440</t>
  </si>
  <si>
    <t>4/17/2024</t>
  </si>
  <si>
    <t>AMAZON,AMAZONDS,CSNSTORES,DESINC,HDDS,HSNDS,KOHLDSN,MACY02,NRTPORT,OVERSTOCK01,TGTDVS</t>
  </si>
  <si>
    <t>MP70-438</t>
  </si>
  <si>
    <t>PF002422;PP000440</t>
  </si>
  <si>
    <t>AMAZON,AMAZONDS,CSNSTORES,DESINC,HDDS,HSNDS,JCPENNEY01,KOHLDSN,MACY02,OLLIIX,OVERSTOCK01,TGTDVS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</si>
  <si>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</si>
  <si>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</si>
  <si>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</si>
  <si>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</si>
  <si>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</si>
  <si>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</si>
  <si>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</si>
  <si>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1/16/2020</t>
  </si>
  <si>
    <t>MP70-6598</t>
  </si>
  <si>
    <t>Sophie</t>
  </si>
  <si>
    <t>Lauren</t>
  </si>
  <si>
    <t>Ashley</t>
  </si>
  <si>
    <t>PF001530;PP001619</t>
  </si>
  <si>
    <t>Polka Dots</t>
  </si>
  <si>
    <t>Shabby Chic</t>
  </si>
  <si>
    <t>8/7/2019</t>
  </si>
  <si>
    <t>AMAZON,CSNSTORES,HDDS,JCPENNEY01,KOHLDSN,MACY02,OVERSTOCK01,TGTDVS,WALMARTDS,ZOLA</t>
  </si>
  <si>
    <t>4/20/2022</t>
  </si>
  <si>
    <t>MP70-7471</t>
  </si>
  <si>
    <t>Blush</t>
  </si>
  <si>
    <t>PF005439;PP001619</t>
  </si>
  <si>
    <t>4/16/2021</t>
  </si>
  <si>
    <t>5/7/2024</t>
  </si>
  <si>
    <t>AMAZON,CSNSTORES,HDDS,JCPENNEY01,KOHLDSN,MACY02,OLLIIX,OVERSTOCK01,TGTDVS,ZOLA</t>
  </si>
  <si>
    <t>MP70-2493</t>
  </si>
  <si>
    <t>Dawn</t>
  </si>
  <si>
    <t>Vanessa</t>
  </si>
  <si>
    <t>Stella</t>
  </si>
  <si>
    <t>PF003403;PP000407</t>
  </si>
  <si>
    <t>5/3/2024</t>
  </si>
  <si>
    <t>AMAZON,BEALLSDS,CSNSTORES,HDDS,JCPENNEY01,KOHLDSN,MACY02,OLLIIX,OVERSTOCK01,TGTDVS,WALMARTDS</t>
  </si>
  <si>
    <t>12/26/2016</t>
  </si>
  <si>
    <t>MP70-3038</t>
  </si>
  <si>
    <t>Coral</t>
  </si>
  <si>
    <t>PF003408;PP000407</t>
  </si>
  <si>
    <t>4/5/2017</t>
  </si>
  <si>
    <t>7/6/2024</t>
  </si>
  <si>
    <t>AMAZON,BEALLSDS,CSNSTORES,DESINC,HDDS,JCPENNEY01,KOHLDSN,MACY02,OLLIIX,OVERSTOCK01,TGTDVS</t>
  </si>
  <si>
    <t>3/15/2017</t>
  </si>
  <si>
    <t>MP70-645</t>
  </si>
  <si>
    <t>Bayside</t>
  </si>
  <si>
    <t>Nantucket</t>
  </si>
  <si>
    <t>Rockaway</t>
  </si>
  <si>
    <t>PF003396;PP000384</t>
  </si>
  <si>
    <t>Coastal</t>
  </si>
  <si>
    <t>MP70-6707</t>
  </si>
  <si>
    <t>Metro</t>
  </si>
  <si>
    <t>Quade</t>
  </si>
  <si>
    <t>Gridd</t>
  </si>
  <si>
    <t>Woven Clipped Solid Shower Curtain</t>
  </si>
  <si>
    <t>PP001385</t>
  </si>
  <si>
    <t>10/29/2019</t>
  </si>
  <si>
    <t>AMAZON,CSNSTORES,HDDS,HOUZZ,JCPENNEY01,KOHLDSN,MACY02,NRTPORT,OLLIIX,OVERSTOCK01,TGTDVS,WALMARTDS</t>
  </si>
  <si>
    <t>4/16/2020</t>
  </si>
  <si>
    <t>MP70-6710</t>
  </si>
  <si>
    <t>Sand</t>
  </si>
  <si>
    <t>8/28/2024</t>
  </si>
  <si>
    <t>AMAZON,CSNSTORES,DESINC,HOUZZ,JCPENNEY01,KOHLDSN,MACY02,OLLIIX,OVERSTOCK01,TGTDVS</t>
  </si>
  <si>
    <t>7/9/2020</t>
  </si>
  <si>
    <t>MP70-6673</t>
  </si>
  <si>
    <t>Amaya</t>
  </si>
  <si>
    <t>Joelie</t>
  </si>
  <si>
    <t>Roselle</t>
  </si>
  <si>
    <t>Cotton Seersucker with Tassel Shower Curtain</t>
  </si>
  <si>
    <t>Donation</t>
  </si>
  <si>
    <t>PF004573;PP001090</t>
  </si>
  <si>
    <t>Boho</t>
  </si>
  <si>
    <t>9/23/2019</t>
  </si>
  <si>
    <t>12/6/2019</t>
  </si>
  <si>
    <t>2/26/2020</t>
  </si>
  <si>
    <t>MP70-8328</t>
  </si>
  <si>
    <t>Bonnie</t>
  </si>
  <si>
    <t>Kairi</t>
  </si>
  <si>
    <t>Miley</t>
  </si>
  <si>
    <t>Printed Seersucker Shower Curtain</t>
  </si>
  <si>
    <t>PP001900;PF006064</t>
  </si>
  <si>
    <t>Microfiber</t>
  </si>
  <si>
    <t>CSNSTORES,DESINC,HDDS,KOHLDSN,NRTPORT,OLLIIX,OVERSTOCK01,TGTDVS</t>
  </si>
  <si>
    <t>MP70-7842</t>
  </si>
  <si>
    <t>Cassandra</t>
  </si>
  <si>
    <t>Gisele</t>
  </si>
  <si>
    <t>Maddy</t>
  </si>
  <si>
    <t>PP001093;PF005653</t>
  </si>
  <si>
    <t>2/24/2022</t>
  </si>
  <si>
    <t>5/6/2024</t>
  </si>
  <si>
    <t>AMAZON,CSNSTORES,DESINC,JCPENNEY01,KOHLDSN,MACY02,OLLIIX,OVERSTOCK01,TGTDVS</t>
  </si>
  <si>
    <t>MP70-7697</t>
  </si>
  <si>
    <t>Charisma</t>
  </si>
  <si>
    <t>Charlaine</t>
  </si>
  <si>
    <t>Colissa</t>
  </si>
  <si>
    <t>Cotton Floral Printed Shower Curtain</t>
  </si>
  <si>
    <t>PP001680;PF005583</t>
  </si>
  <si>
    <t>11/10/2021</t>
  </si>
  <si>
    <t>AMAZONDS,CSNSTORES,JCPENNEY01,KOHLDSN,OLLIIX,OVERSTOCK01,TGTDVS</t>
  </si>
  <si>
    <t>MP70-7696</t>
  </si>
  <si>
    <t>PP001680;PF005582</t>
  </si>
  <si>
    <t>AMAZONDS,CSNSTORES,DESINC,JCPENNEY01,KOHLDSN,OVERSTOCK01,TGTDVS</t>
  </si>
  <si>
    <t>MP70-7695</t>
  </si>
  <si>
    <t>PP001680;PF005581</t>
  </si>
  <si>
    <t>AMAZONDS,CSNSTORES,JCPENNEY01,KIRKLANDDS,KOHLDSN,OLLIIX,OVERSTOCK01,TGTDVS</t>
  </si>
  <si>
    <t>MP70-8302</t>
  </si>
  <si>
    <t>Donovan</t>
  </si>
  <si>
    <t>Blaine</t>
  </si>
  <si>
    <t>Perry</t>
  </si>
  <si>
    <t>Embroidered Shower Curtain</t>
  </si>
  <si>
    <t>PP000411;PF006063</t>
  </si>
  <si>
    <t>Medallion</t>
  </si>
  <si>
    <t>8/24/2023</t>
  </si>
  <si>
    <t>AMAZON,AMAZONDS,CSNSTORES,DESINC,HDDS,KOHLDSN,MACY02,OLLIIX,OVERSTOCK01,TGTDVS</t>
  </si>
  <si>
    <t>MP70-7543</t>
  </si>
  <si>
    <t>PF002605;PP000411</t>
  </si>
  <si>
    <t>8/30/2021</t>
  </si>
  <si>
    <t>AMAZON,AMAZONDS,CSNSTORES,HDDS,JCPENNEY01,MACY02,OVERSTOCK01,TGTDVS</t>
  </si>
  <si>
    <t>MP70-5636</t>
  </si>
  <si>
    <t>Finley</t>
  </si>
  <si>
    <t>Rianon</t>
  </si>
  <si>
    <t>Lucina</t>
  </si>
  <si>
    <t>Finley 100% Cotton Waffle Weave Textured Shower Curtain</t>
  </si>
  <si>
    <t>PP000854;PF004193</t>
  </si>
  <si>
    <t>4/24/2018</t>
  </si>
  <si>
    <t>7/3/2024</t>
  </si>
  <si>
    <t>AMAZON,BEALLSDS,CSNSTORES,HDDS,JCPENNEY01,KIRKLANDDS,KOHLDSN,MACY02,NRTPORT,OLLIIX,OVERSCONSIGN,OVERSTOCK01,TGTDVS</t>
  </si>
  <si>
    <t>5/16/2018</t>
  </si>
  <si>
    <t>1/8/2019</t>
  </si>
  <si>
    <t>MP70-5822</t>
  </si>
  <si>
    <t>Isla</t>
  </si>
  <si>
    <t>Loleta</t>
  </si>
  <si>
    <t>Lian</t>
  </si>
  <si>
    <t>PF004254;PP000879</t>
  </si>
  <si>
    <t>Bohemian</t>
  </si>
  <si>
    <t>4/22/2018</t>
  </si>
  <si>
    <t>AMAZON,CSNSTORES,HDDS,JCPENNEY01,KOHLDSN,MACY02,OLLIIX,OVERSTOCK01,TGTDVS</t>
  </si>
  <si>
    <t>7/16/2018</t>
  </si>
  <si>
    <t>7/20/2018</t>
  </si>
  <si>
    <t>MP70-8150</t>
  </si>
  <si>
    <t>PP000879;PF005889</t>
  </si>
  <si>
    <t>BOHO</t>
  </si>
  <si>
    <t>12/8/2022</t>
  </si>
  <si>
    <t>AMAZONDS,CSNSTORES,DESINC,HDDS,KOHLDSN,MACY02,OVERSTOCK01,TGTDVS</t>
  </si>
  <si>
    <t>MP70-8327</t>
  </si>
  <si>
    <t>Neko</t>
  </si>
  <si>
    <t>Penelope</t>
  </si>
  <si>
    <t>Astrid</t>
  </si>
  <si>
    <t>Floral Printed Cotton Shower Curtain</t>
  </si>
  <si>
    <t>Lilac</t>
  </si>
  <si>
    <t>PP001910;PF006092</t>
  </si>
  <si>
    <t>2/8/2024</t>
  </si>
  <si>
    <t>CSNSTORES,KOHLDSN,OVERSTOCK01</t>
  </si>
  <si>
    <t>MP70-7542</t>
  </si>
  <si>
    <t>Norah</t>
  </si>
  <si>
    <t>Quinn</t>
  </si>
  <si>
    <t>Bridget</t>
  </si>
  <si>
    <t>Printed Floral Cotton Shower Curtain</t>
  </si>
  <si>
    <t>PP001644;PF005496</t>
  </si>
  <si>
    <t>6/23/2021</t>
  </si>
  <si>
    <t>8/30/2024</t>
  </si>
  <si>
    <t>MP70-8168</t>
  </si>
  <si>
    <t>Panache</t>
  </si>
  <si>
    <t>Arabella</t>
  </si>
  <si>
    <t>Pieced and Embroidered Shower Curtain</t>
  </si>
  <si>
    <t>PP001836;PF005885</t>
  </si>
  <si>
    <t>Color Block</t>
  </si>
  <si>
    <t>Glam/Luxury</t>
  </si>
  <si>
    <t>12/9/2022</t>
  </si>
  <si>
    <t>AMAZON,CSNSTORES,DESINC,JCPENNEY01,KIRKLANDDS,KOHLDSN,OLLIIX,OVERSTOCK01,TGTDVS</t>
  </si>
  <si>
    <t>MP70-6712</t>
  </si>
  <si>
    <t>Sade</t>
  </si>
  <si>
    <t>Esker</t>
  </si>
  <si>
    <t>Tinge</t>
  </si>
  <si>
    <t>Ombre Waffle Weave Shower Curtain</t>
  </si>
  <si>
    <t>PP001386</t>
  </si>
  <si>
    <t>Plaid</t>
  </si>
  <si>
    <t>9/19/2019</t>
  </si>
  <si>
    <t>2/17/2020</t>
  </si>
  <si>
    <t>MP72-3606</t>
  </si>
  <si>
    <t>BATH RUG</t>
  </si>
  <si>
    <t>Bath Rug</t>
  </si>
  <si>
    <t>Evan</t>
  </si>
  <si>
    <t>Ethan</t>
  </si>
  <si>
    <t>Jordan</t>
  </si>
  <si>
    <t>Cotton Tufted Bath Rug 24x40</t>
  </si>
  <si>
    <t>24x40"</t>
  </si>
  <si>
    <t>PF001520</t>
  </si>
  <si>
    <t>Border</t>
  </si>
  <si>
    <t>7/14/2017</t>
  </si>
  <si>
    <t>6/19/2024</t>
  </si>
  <si>
    <t>AAFESDS,AMAZON,AMAZONDS,CSNSTORES,HDDS,JCPENNEY01,KIRKLANDDS,KOHLDSN,MACY02,OLLIIX,OVERSTOCK01,TGTDVS,WALMARTDS</t>
  </si>
  <si>
    <t>1/3/2017</t>
  </si>
  <si>
    <t>11/23/2017</t>
  </si>
  <si>
    <t>MP72-3607</t>
  </si>
  <si>
    <t>Cotton Tufted Bath Rug 24x72</t>
  </si>
  <si>
    <t>24x72"</t>
  </si>
  <si>
    <t>AMAZON,AMAZONDS,CSNSTORES,HDDS,JCPENNEY01,KIRKLANDDS,KOHLDSN,MACY02,OLLIIX,OVERSTOCK01,TGTDVS,WALMARTDS</t>
  </si>
  <si>
    <t>5/7/2018</t>
  </si>
  <si>
    <t>MP72-6207</t>
  </si>
  <si>
    <t>Cotton Tufted Bath Rug 20x30</t>
  </si>
  <si>
    <t>20x30"</t>
  </si>
  <si>
    <t>PP001165;PF004655</t>
  </si>
  <si>
    <t>4/7/2019</t>
  </si>
  <si>
    <t>AMAZON,AMAZONDS,CSNSTORES,HDDS,HOUZZ,JCPENNEY01,KIRKLANDDS,KOHLDSN,MACY02,OLLIIX,OVERSTOCK01,TGTDVS,WALMARTDS</t>
  </si>
  <si>
    <t>7/30/2019</t>
  </si>
  <si>
    <t>12/7/2019</t>
  </si>
  <si>
    <t>MP72-6208</t>
  </si>
  <si>
    <t>8/12/2019</t>
  </si>
  <si>
    <t>11/18/2019</t>
  </si>
  <si>
    <t>MP72-6209</t>
  </si>
  <si>
    <t>AMAZON,AMAZONDS,CSNSTORES,HDDS,HOUZZ,JCPENNEY01,KIRKLANDDS,KOHLDSN,MACY02,OLLIIX,OVERSCONSIGN,OVERSTOCK01,TGTDVS,WALMARTDS</t>
  </si>
  <si>
    <t>1/15/2020</t>
  </si>
  <si>
    <t>MP72-3611</t>
  </si>
  <si>
    <t>PF001521</t>
  </si>
  <si>
    <t>AAFESDS,AMAZON,AMAZONDS,CSNSTORES,HDDS,HOUZZ,JCPENNEY01,KOHLDSN,MACY02,OLLIIX,OVERSTOCK01,TGTDVS,WALMARTDS</t>
  </si>
  <si>
    <t>8/2/2018</t>
  </si>
  <si>
    <t>MP72-3612</t>
  </si>
  <si>
    <t>AMAZON,AMAZONDS,CSNSTORES,HOUZZ,JCPENNEY01,KOHLDSN,MACY02,OLLIIX,OVERSTOCK01,TGTDVS,WALMARTDS</t>
  </si>
  <si>
    <t>1/7/2019</t>
  </si>
  <si>
    <t>MP72-3564</t>
  </si>
  <si>
    <t>PF001522</t>
  </si>
  <si>
    <t>AMAZON,AMAZONDS,CSNSTORES,HDDS,JCPENNEY01,KOHLDSN,MACY02,OLLIIX,OVERSCONSIGN,OVERSTOCK01,TGTDVS,WALMARTDS</t>
  </si>
  <si>
    <t>3/28/2017</t>
  </si>
  <si>
    <t>MP72-3566</t>
  </si>
  <si>
    <t>AMAZON,AMAZONDS,CSNSTORES,HDDS,HOUZZ,JCPENNEY01,KOHLDSN,MACY02,OLLIIX,OVERSTOCK01,TGTDVS</t>
  </si>
  <si>
    <t>2/1/2017</t>
  </si>
  <si>
    <t>MP72-7332</t>
  </si>
  <si>
    <t>PF005290</t>
  </si>
  <si>
    <t>2/4/2021</t>
  </si>
  <si>
    <t>AMAZON,AMAZONDS,CSNSTORES,HDDS,JCPENNEY01,KOHLDSN,MACY02,OLLIIX,OVERSTOCK01,TGTDVS</t>
  </si>
  <si>
    <t>MP72-7333</t>
  </si>
  <si>
    <t>MP72-7334</t>
  </si>
  <si>
    <t>MP72-5663</t>
  </si>
  <si>
    <t>Bittman</t>
  </si>
  <si>
    <t>Renu</t>
  </si>
  <si>
    <t>Reversible High Pile Tufted Microfiber Bath Rug</t>
  </si>
  <si>
    <t>21x34"</t>
  </si>
  <si>
    <t>PF004204;PP000860</t>
  </si>
  <si>
    <t>8/17/2018</t>
  </si>
  <si>
    <t>AMAZON,CSNSTORES,HDDS,HOUZZ,JCPENNEY01,KIRKLANDDS,KOHLDSN,MACY02,OLLIIX,OVERSTOCK01,TGTDVS,WALMARTDS</t>
  </si>
  <si>
    <t>2/18/2020</t>
  </si>
  <si>
    <t>MP72-5664</t>
  </si>
  <si>
    <t>24x60"</t>
  </si>
  <si>
    <t>AMAZON,AMAZONDS,CSNSTORES,FINGERHUTDS,HDDS,JCPENNEY01,KIRKLANDDS,KOHLDSN,MACY02,OLLIIX,OVERSTOCK01,TGTDVS,WALMARTDS</t>
  </si>
  <si>
    <t>MP72-5667</t>
  </si>
  <si>
    <t>PF004206;PP000860</t>
  </si>
  <si>
    <t>8/5/2019</t>
  </si>
  <si>
    <t>11/14/2019</t>
  </si>
  <si>
    <t>MP72-5668</t>
  </si>
  <si>
    <t>AMAZON,AMAZONDS,CSNSTORES,FINGERHUTDS,HDDS,JCPENNEY01,KOHLDSN,MACY02,OLLIIX,OVERSTOCK01,TGTDVS,WALMARTDS</t>
  </si>
  <si>
    <t>1/7/2020</t>
  </si>
  <si>
    <t>MP72-5665</t>
  </si>
  <si>
    <t>PF004205;PP000860</t>
  </si>
  <si>
    <t>AMAZON,AMAZONDS,BEALLSDS,CSNSTORES,HDDS,HOUZZ,JCPENNEY01,KIRKLANDDS,KOHLDSN,MACY02,OLLIIX,OVERSCONSIGN,OVERSTOCK01,TGTDVS</t>
  </si>
  <si>
    <t>8/9/2019</t>
  </si>
  <si>
    <t>MP72-4430</t>
  </si>
  <si>
    <t>Casablanca</t>
  </si>
  <si>
    <t>Marrakesh</t>
  </si>
  <si>
    <t>Tunisia</t>
  </si>
  <si>
    <t>Medallion Cotton Tufted Bath Rug</t>
  </si>
  <si>
    <t>PF001561</t>
  </si>
  <si>
    <t>Global Inspired</t>
  </si>
  <si>
    <t>8/26/2017</t>
  </si>
  <si>
    <t>AMAZON,AMAZONDS,CSNSTORES,HDDS,HOUZZ,KOHLDSN,MACY02,OLLIIX,OVERSTOCK01,TGTDVS,WALMARTDS</t>
  </si>
  <si>
    <t>12/17/2017</t>
  </si>
  <si>
    <t>2/23/2018</t>
  </si>
  <si>
    <t>MP72-4431</t>
  </si>
  <si>
    <t>25"R</t>
  </si>
  <si>
    <t>AAFESDS,AMAZON,AMAZONDS,CSNSTORES,HDDS,HOUZZ,JCPENNEY01,KIRKLANDDS,KOHLDSN,MACY02,OLLIIX,OVERSTOCK01,TGTDVS,WALMARTDS</t>
  </si>
  <si>
    <t>6/8/2018</t>
  </si>
  <si>
    <t>MP72-4432</t>
  </si>
  <si>
    <t>Pink</t>
  </si>
  <si>
    <t>PF004736</t>
  </si>
  <si>
    <t>7/28/2019</t>
  </si>
  <si>
    <t>AMAZONDS,CSNSTORES,DESINC,HDDS,HOUZZ,JCPENNEY01,KIRKLANDDS,KOHLDSN,MACY02,OLLIIX,OVERSTOCK01,TGTDVS</t>
  </si>
  <si>
    <t>8/31/2019</t>
  </si>
  <si>
    <t>MP72-1487</t>
  </si>
  <si>
    <t>Spa Cotton</t>
  </si>
  <si>
    <t>Reversible Bath Rug</t>
  </si>
  <si>
    <t>PF001449;PP000511</t>
  </si>
  <si>
    <t>7/31/2024</t>
  </si>
  <si>
    <t>AAFESDS,AMAZON,AMAZONDS,BEALLSDS,CSNSTORES,DESINC,HDDS,HOUZZ,JCPENNEY01,KIRKLANDDS,KOHLDSN,MACY02,OLLIIX,OVERSTOCK01,TGTDVS,WALMARTDS,ZOLA</t>
  </si>
  <si>
    <t>12/12/2016</t>
  </si>
  <si>
    <t>MP72-2491</t>
  </si>
  <si>
    <t>PF001449;PP000510</t>
  </si>
  <si>
    <t>AAFESDS,AMAZON,AMAZONDS,CSNSTORES,HDDS,JCPENNEY01,KIRKLANDDS,KOHLDSN,MACY02,OLLIIX,OVERSTOCK01,TGTDVS</t>
  </si>
  <si>
    <t>MP72-1543</t>
  </si>
  <si>
    <t>27x45"</t>
  </si>
  <si>
    <t>AMAZONDS,CSNSTORES,HDDS,JCPENNEY01,KIRKLANDDS,KOHLDSN,MACY02,OLLIIX,OVERSTOCK01,TGTDVS,ZOLA</t>
  </si>
  <si>
    <t>MP72-1488</t>
  </si>
  <si>
    <t>PF001450;PP000511</t>
  </si>
  <si>
    <t>AMAZON,AMAZONDS,BEALLSDS,CSNSTORES,HDDS,JCPENNEY01,KOHLDSN,MACY02,OLLIIX,OVERSTOCK01,TGTDVS,WALMARTDS</t>
  </si>
  <si>
    <t>MP72-2492</t>
  </si>
  <si>
    <t>AMAZON,CSNSTORES,HDDS,JCPENNEY01,KOHLDSN,MACY02,OVERSTOCK01,TGTDVS</t>
  </si>
  <si>
    <t>1/17/2017</t>
  </si>
  <si>
    <t>MP72-6210</t>
  </si>
  <si>
    <t>PP000511;PF004656</t>
  </si>
  <si>
    <t>4/9/2019</t>
  </si>
  <si>
    <t>AMAZON,AMAZONDS,CSNSTORES,HDDS,JCPENNEY01,KOHLDSN,MACY02,OLLIIX,OVERSCONSIGN,OVERSTOCK01,TGTDVS,ZOLA</t>
  </si>
  <si>
    <t>MP72-6212</t>
  </si>
  <si>
    <t>AMAZONDS,CSNSTORES,HDDS,HOUZZ,JCPENNEY01,KIRKLANDDS,KOHLDSN,MACY02,OLLIIX,OVERSTOCK01,TGTDVS,ZOLA</t>
  </si>
  <si>
    <t>10/15/2019</t>
  </si>
  <si>
    <t>MP72-5108</t>
  </si>
  <si>
    <t>Tufted Pearl Channel</t>
  </si>
  <si>
    <t>Rug</t>
  </si>
  <si>
    <t>17x24"</t>
  </si>
  <si>
    <t>9/23/2017</t>
  </si>
  <si>
    <t>10/1/2018</t>
  </si>
  <si>
    <t>MP72-5109</t>
  </si>
  <si>
    <t>8/3/2018</t>
  </si>
  <si>
    <t>MP72-5110</t>
  </si>
  <si>
    <t>24x58"</t>
  </si>
  <si>
    <t>AMAZONDS,CSNSTORES,DESINC,HDDS,JCPENNEY01,KOHLDSN,MACY02,OVERSTOCK01,TGTDVS,WALMARTDS</t>
  </si>
  <si>
    <t>7/25/2018</t>
  </si>
  <si>
    <t>MP72-5111</t>
  </si>
  <si>
    <t>CSNSTORES,HDDS,JCPENNEY01,KOHLDSN,MACY02,OLLIIX,OVERSCONSIGN,OVERSTOCK01,TGTDVS</t>
  </si>
  <si>
    <t>3/8/2019</t>
  </si>
  <si>
    <t>MP72-5112</t>
  </si>
  <si>
    <t>CSNSTORES,JCPENNEY01,KOHLDSN,MACY02,OLLIIX,OVERSTOCK01,TGTDVS</t>
  </si>
  <si>
    <t>1/22/2018</t>
  </si>
  <si>
    <t>MP72-5113</t>
  </si>
  <si>
    <t>CSNSTORES,HDDS,JCPENNEY01,KOHLDSN,MACY02,OLLIIX,OVERSTOCK01,TGTDVS</t>
  </si>
  <si>
    <t>3/13/2018</t>
  </si>
  <si>
    <t>MP72-5105</t>
  </si>
  <si>
    <t>6/21/2024</t>
  </si>
  <si>
    <t>8/27/2020</t>
  </si>
  <si>
    <t>MP72-5106</t>
  </si>
  <si>
    <t>AMAZON,AMAZONDS,CSNSTORES,HOUZZ,JCPENNEY01,KIRKLANDDS,KOHLDSN,MACY02,OLLIIX,OVERSTOCK01,TGTDVS</t>
  </si>
  <si>
    <t>MP72-5102</t>
  </si>
  <si>
    <t>Wheat</t>
  </si>
  <si>
    <t>5/24/2019</t>
  </si>
  <si>
    <t>MP72-5103</t>
  </si>
  <si>
    <t>AMAZON,AMAZONDS,CSNSTORES,DESINC,HDDS,JCPENNEY01,KOHLDSN,MACY02,OLLIIX,OVERSTOCK01,TGTDVS,ZOLA</t>
  </si>
  <si>
    <t>MP72-5104</t>
  </si>
  <si>
    <t>AMAZONDS,CSNSTORES,DESINC,HDDS,JCPENNEY01,KOHLDSN,MACY02,OLLIIX,OVERSTOCK01,TGTDVS,ZOLA</t>
  </si>
  <si>
    <t>11/5/2018</t>
  </si>
  <si>
    <t>MP72-6204</t>
  </si>
  <si>
    <t>Cotton Tufted Bath Rug</t>
  </si>
  <si>
    <t>PP000524;PF004654</t>
  </si>
  <si>
    <t>AMAZON,CSNSTORES,HDDS,JCPENNEY01,KIRKLANDDS,KOHLDSN,MACY02,OLLIIX,OVERSTOCK01,TGTDVS</t>
  </si>
  <si>
    <t>8/2/2019</t>
  </si>
  <si>
    <t>MP72-6206</t>
  </si>
  <si>
    <t>AMAZON,HDDS,JCPENNEY01,KIRKLANDDS,KOHLDSN,MACY02,OLLIIX,TGTDVS,WALMARTDS</t>
  </si>
  <si>
    <t>MP72-1558</t>
  </si>
  <si>
    <t>PF001435;PP000373</t>
  </si>
  <si>
    <t>7/10/2024</t>
  </si>
  <si>
    <t>AMAZON,CSNSTORES,DESINC,FINGERHUTDS,HDDS,JCPENNEY01,KOHLDSN,MACY02,OLLIIX,OVERSTOCK01,TGTDVS</t>
  </si>
  <si>
    <t>MP72-1559</t>
  </si>
  <si>
    <t>AMAZONDS,CSNSTORES,FINGERHUTDS,HDDS,JCPENNEY01,KOHLDSN,MACY02,OLLIIX,OVERSTOCK01,TGTDVS</t>
  </si>
  <si>
    <t>11/25/2016</t>
  </si>
  <si>
    <t>MP72-1048</t>
  </si>
  <si>
    <t>PF001434;PP000524</t>
  </si>
  <si>
    <t>AMAZON,AMAZONDS,BEALLSDS,HDDS,JCPENNEY01,KOHLDSN,MACY02,OLLIIX,OVERSCONSIGN,OVERSTOCK01,TGTDVS</t>
  </si>
  <si>
    <t>8/16/2017</t>
  </si>
  <si>
    <t>MP72-5075</t>
  </si>
  <si>
    <t>10/18/2017</t>
  </si>
  <si>
    <t>AMAZON,CSNSTORES,DESINC,HDDS,JCPENNEY01,KOHLDSN,MACY02,OLLIIX,OVERSTOCK01,TGTDVS</t>
  </si>
  <si>
    <t>6/28/2018</t>
  </si>
  <si>
    <t>MP72-1541</t>
  </si>
  <si>
    <t>4/4/2017</t>
  </si>
  <si>
    <t>AMAZON,AMAZONDS,CSNSTORES,JCPENNEY01,KOHLDSN,MACY02,OLLIIX,TGTDVS</t>
  </si>
  <si>
    <t>MP72-5843</t>
  </si>
  <si>
    <t>Reversible High Pile Tufted Bath Rug</t>
  </si>
  <si>
    <t>PP000384;PF004272</t>
  </si>
  <si>
    <t>4/10/2018</t>
  </si>
  <si>
    <t>AMAZON,AMAZONDS,BEALLSDS,BLK01,CSNSTORES,JCPENNEY01,KIRKLANDDS,KOHLDSN,MACY02,OLLIIX,OVERSTOCK01,TGTDVS</t>
  </si>
  <si>
    <t>2/12/2019</t>
  </si>
  <si>
    <t>MP72-5829</t>
  </si>
  <si>
    <t>Lasso</t>
  </si>
  <si>
    <t>Copula</t>
  </si>
  <si>
    <t>Braide</t>
  </si>
  <si>
    <t>100% Cotton Chenille Chain Stitch Rug</t>
  </si>
  <si>
    <t>Charcoal</t>
  </si>
  <si>
    <t>PP000880;PF004257</t>
  </si>
  <si>
    <t>5/8/2018</t>
  </si>
  <si>
    <t>2/19/2019</t>
  </si>
  <si>
    <t>MP72-5830</t>
  </si>
  <si>
    <t>8/28/2018</t>
  </si>
  <si>
    <t>MP72-5826</t>
  </si>
  <si>
    <t>PP000880;PF004256</t>
  </si>
  <si>
    <t>5/15/2018</t>
  </si>
  <si>
    <t>11/1/2018</t>
  </si>
  <si>
    <t>MP72-8341</t>
  </si>
  <si>
    <t>PP001960;PF006244</t>
  </si>
  <si>
    <t>3/16/2024</t>
  </si>
  <si>
    <t>5/23/2024</t>
  </si>
  <si>
    <t>KIRKLANDDS,KOHLDSN,OVERSTOCK01</t>
  </si>
  <si>
    <t>MP72-8342</t>
  </si>
  <si>
    <t>MP71-4894</t>
  </si>
  <si>
    <t>BATH ACCESSORIES</t>
  </si>
  <si>
    <t>Bath Accessory</t>
  </si>
  <si>
    <t>Mosaic</t>
  </si>
  <si>
    <t>4 Piece Bath Accessory Set</t>
  </si>
  <si>
    <t>See below</t>
  </si>
  <si>
    <t>Gold</t>
  </si>
  <si>
    <t>Abstract</t>
  </si>
  <si>
    <t>8/4/2017</t>
  </si>
  <si>
    <t>AMAZON,AMAZONDS,BEALLSDS,CSNSTORES,JCPENNEY01,MACY02,NRTPORT,OLLIIX,OVERSTOCK01,WALMARTDS</t>
  </si>
  <si>
    <t>8/28/2017</t>
  </si>
  <si>
    <t>1/29/2018</t>
  </si>
  <si>
    <t>MP71-4895</t>
  </si>
  <si>
    <t>Silver</t>
  </si>
  <si>
    <t>AMAZON,BEALLSDS,CSNSTORES,DESINC,JCPENNEY01,MACY02,NRTPORT,OLLIIX,OVERSTOCK01</t>
  </si>
  <si>
    <t>1/3/2018</t>
  </si>
  <si>
    <t>MP73-7450</t>
  </si>
  <si>
    <t>FASHION TOWEL</t>
  </si>
  <si>
    <t>Bath Towel</t>
  </si>
  <si>
    <t>6 Piece Jacquard Towel Set</t>
  </si>
  <si>
    <t>6-Piece</t>
  </si>
  <si>
    <t>PF005431;PP001616</t>
  </si>
  <si>
    <t>6</t>
  </si>
  <si>
    <t>3/15/2021</t>
  </si>
  <si>
    <t>5/25/2024</t>
  </si>
  <si>
    <t>AMAZON,AMAZONDS,CSNSTORES,DESINC,JCPENNEY01,KOHLDSN,MACY02,OLLIIX,OVERSTOCK01,TGTDVS</t>
  </si>
  <si>
    <t>MP73-7451</t>
  </si>
  <si>
    <t>PF005432;PP001616</t>
  </si>
  <si>
    <t>AMAZON,AMAZONDS,CSNSTORES,DESINC,JCPENNEY01,KOHLDSN,MACY02,NRTPORT,OLLIIX,OVERSTOCK01,TGTDVS</t>
  </si>
  <si>
    <t>MP73-7907</t>
  </si>
  <si>
    <t>Embroidered Cotton Jacquard 6 Piece Towel Set</t>
  </si>
  <si>
    <t>PP000505</t>
  </si>
  <si>
    <t>5/4/2022</t>
  </si>
  <si>
    <t>5/5/2024</t>
  </si>
  <si>
    <t>AMAZON,AMAZONDS,CSNSTORES,HOUZZ,JCPENNEY01,KOHLDSN,MACY02,OLLIIX,OVERSTOCK01,TGTDVS</t>
  </si>
  <si>
    <t>MP73-7820</t>
  </si>
  <si>
    <t>1/11/2022</t>
  </si>
  <si>
    <t>AMAZON,AMAZONDS,CSNSTORES,HDDS,JCPENNEY01,KOHLDSN,MACY02,NRTPORT,OLLIIX,OVERSTOCK01,TGTDVS</t>
  </si>
  <si>
    <t>MP73-7906</t>
  </si>
  <si>
    <t>AMAZON,CSNSTORES,DESINC,HDDS,JCPENNEY01,KOHLDSN,MACY02,NRTPORT,OLLIIX,OVERSTOCK01,TGTDVS</t>
  </si>
  <si>
    <t>MPE70-872</t>
  </si>
  <si>
    <t>Madison Park Essentials</t>
  </si>
  <si>
    <t>Sofia</t>
  </si>
  <si>
    <t>Thelma</t>
  </si>
  <si>
    <t>Leisha</t>
  </si>
  <si>
    <t>Botanical Printed Shower Curtain</t>
  </si>
  <si>
    <t>PP001405;PF004949</t>
  </si>
  <si>
    <t>11/26/2019</t>
  </si>
  <si>
    <t>AMAZON,AMAZONDS,CSNSTORES,JCPENNEY01,KIRKLANDDS,KOHLDSN,MACY02,OLLIIX,OVERSCONSIGN,OVERSTOCK01,TGTDVS,WALMARTDS</t>
  </si>
  <si>
    <t>2/14/2020</t>
  </si>
  <si>
    <t>MPE70-816</t>
  </si>
  <si>
    <t>Maible</t>
  </si>
  <si>
    <t>Caldwell</t>
  </si>
  <si>
    <t>Calla</t>
  </si>
  <si>
    <t>Printed Floral Shower Curtain</t>
  </si>
  <si>
    <t>PP000877;PF004251</t>
  </si>
  <si>
    <t>Casual|Modern/Contemporary</t>
  </si>
  <si>
    <t>6/13/2019</t>
  </si>
  <si>
    <t>6/15/2024</t>
  </si>
  <si>
    <t>CSNSTORES,HDDS,JCPENNEY01,KOHLDSN,MACY02,OLLIIX,OVERSTOCK01,TGTDVS,WALMARTDS</t>
  </si>
  <si>
    <t>8/1/2019</t>
  </si>
  <si>
    <t>11/20/2019</t>
  </si>
  <si>
    <t>MPE70-1029</t>
  </si>
  <si>
    <t>Saben</t>
  </si>
  <si>
    <t>Barret</t>
  </si>
  <si>
    <t>Seth</t>
  </si>
  <si>
    <t>Stripe Print Shower Curtain</t>
  </si>
  <si>
    <t>Aqua/Grey</t>
  </si>
  <si>
    <t>PP000497;PF004057</t>
  </si>
  <si>
    <t>10/31/2023</t>
  </si>
  <si>
    <t>5/4/2024</t>
  </si>
  <si>
    <t>AMAZON,AMAZONDS,CSNSTORES,KOHLDSN,OVERSTOCK01,TGTDVS</t>
  </si>
  <si>
    <t>MPE70-1030</t>
  </si>
  <si>
    <t>Taupe/Black</t>
  </si>
  <si>
    <t>PF003676;PP000497</t>
  </si>
  <si>
    <t>AMAZON,AMAZONDS,CSNSTORES,KOHLDSN,OLLIIX,OVERSTOCK01,TGTDVS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</si>
  <si>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</si>
  <si>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</si>
  <si>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</si>
  <si>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</si>
  <si>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</si>
  <si>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</si>
  <si>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</si>
  <si>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</si>
  <si>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CSNSTORES,HDDS,JCPENNEY01,KOHLDSN,MACY02,OLLIIX,OVERSTOCK01,TGTDVS,WALMARTDS,ZOLA</t>
  </si>
  <si>
    <t>6/4/2020</t>
  </si>
  <si>
    <t>UH70-2242</t>
  </si>
  <si>
    <t>Brooklyn</t>
  </si>
  <si>
    <t>Maize</t>
  </si>
  <si>
    <t>Kay</t>
  </si>
  <si>
    <t>Brooklyn Cotton Jacquard Pom Pom Shower Curtain</t>
  </si>
  <si>
    <t>PF002471;PP000834</t>
  </si>
  <si>
    <t>12/27/2018</t>
  </si>
  <si>
    <t>AMAZON,BEALLSDS,HDDS,JCPENNEY01,KOHLDSN,MACY02,TGTDVS,WALMARTDS</t>
  </si>
  <si>
    <t>8/8/2019</t>
  </si>
  <si>
    <t>UH70-2312</t>
  </si>
  <si>
    <t>Cotton Jacquard Pom Pom Shower Curtain</t>
  </si>
  <si>
    <t>Indigo Blue</t>
  </si>
  <si>
    <t>PP000834;PF004684</t>
  </si>
  <si>
    <t>1/8/2020</t>
  </si>
  <si>
    <t>AMAZON,AMAZONDS,CSNSTORES,DESINC,JCPENNEY01,MACY02,TGTDVS,WALMARTDS</t>
  </si>
  <si>
    <t>8/16/2021</t>
  </si>
  <si>
    <t>UH70-2386</t>
  </si>
  <si>
    <t>Myla</t>
  </si>
  <si>
    <t>Jojo</t>
  </si>
  <si>
    <t>Kira</t>
  </si>
  <si>
    <t>Cotton Jacquard Shower Curtain</t>
  </si>
  <si>
    <t>PF002478;PP000835</t>
  </si>
  <si>
    <t>Casual|Cottage/Country</t>
  </si>
  <si>
    <t>CSNSTORES,JCPENNEY01,KOHLDSN,OLLIIX,OVERSTOCK01,TGTDVS</t>
  </si>
  <si>
    <t>MPS72-171</t>
  </si>
  <si>
    <t>Madison Park Signature</t>
  </si>
  <si>
    <t>Marshmallow</t>
  </si>
  <si>
    <t>PF001511</t>
  </si>
  <si>
    <t>Luxury</t>
  </si>
  <si>
    <t>AMAZON,AMAZONDS,CSNSTORES,HDDS,HOUZZ,JCPENNEY01,KIRKLANDDS,KOHLDSN,MACY02,OLLIIX,OVERSCONSIGN,OVERSTOCK01,TGTDVS,WALMARTDS,ZOLA</t>
  </si>
  <si>
    <t>9/17/2018</t>
  </si>
  <si>
    <t>MPS72-173</t>
  </si>
  <si>
    <t>Contour</t>
  </si>
  <si>
    <t>AMAZON,AMAZONDS,CSNSTORES,DESINC,HDDS,HOUZZ,JCPENNEY01,KIRKLANDDS,KOHLDSN,MACY02,OLLIIX,OVERSTOCK01,TGTDVS,WALMARTDS</t>
  </si>
  <si>
    <t>4/14/2017</t>
  </si>
  <si>
    <t>MPS72-384</t>
  </si>
  <si>
    <t>PF004336</t>
  </si>
  <si>
    <t>5/9/2018</t>
  </si>
  <si>
    <t>AMAZON,AMAZONDS,CSNSTORES,HDDS,JCPENNEY01,KIRKLANDDS,KOHLDSN,MACY02,OLLIIX,OVERSCONSIGN,OVERSTOCK01,TGTDVS,WALMARTDS</t>
  </si>
  <si>
    <t>9/18/2019</t>
  </si>
  <si>
    <t>MPS72-385</t>
  </si>
  <si>
    <t>MPS72-386</t>
  </si>
  <si>
    <t>AMAZON,CSNSTORES,HDDS,JCPENNEY01,KIRKLANDDS,KOHLDSN,MACY02,OLLIIX,OVERSCONSIGN,OVERSTOCK01,TGTDVS</t>
  </si>
  <si>
    <t>MPS72-387</t>
  </si>
  <si>
    <t>AMAZONDS,CSNSTORES,HDDS,JCPENNEY01,KIRKLANDDS,KOHLDSN,MACY02,OLLIIX,OVERSTOCK01,TGTDVS</t>
  </si>
  <si>
    <t>1/29/2020</t>
  </si>
  <si>
    <t>MPS72-478</t>
  </si>
  <si>
    <t>PP001623;PF005449</t>
  </si>
  <si>
    <t>5/24/2021</t>
  </si>
  <si>
    <t>AMAZON,AMAZONDS,CSNSTORES,DESINC,HDDS,JCPENNEY01,KIRKLANDDS,KOHLDSN,MACY02,OLLIIX,OVERSCONSIGN,OVERSTOCK01,TGTDVS</t>
  </si>
  <si>
    <t>MPS72-479</t>
  </si>
  <si>
    <t>AMAZON,AMAZONDS,CSNSTORES,DESINC,JCPENNEY01,KOHLDSN,MACY02,OLLIIX,OVERSTOCK01,TGTDVS,ZOLA</t>
  </si>
  <si>
    <t>MPS72-480</t>
  </si>
  <si>
    <t>AMAZON,AMAZONDS,CSNSTORES,DESINC,HDDS,JCPENNEY01,KOHLDSN,MACY02,OVERSTOCK01,TGTDVS,ZOLA</t>
  </si>
  <si>
    <t>MPS72-481</t>
  </si>
  <si>
    <t>AMAZON,AMAZONDS,CSNSTORES,DESINC,HDDS,JCPENNEY01,KIRKLANDDS,KOHLDSN,MACY02,OLLIIX,OVERSTOCK01,TGTDVS</t>
  </si>
  <si>
    <t>MPS72-166</t>
  </si>
  <si>
    <t>PF001510</t>
  </si>
  <si>
    <t>AMAZON,AMAZONDS,CSNSTORES,HDDS,JCPENNEY01,KIRKLANDDS,KOHLDSN,MACY02,OLLIIX,OVERSCONSIGN,OVERSTOCK01,TGTDVS,ZOLA</t>
  </si>
  <si>
    <t>1/31/2019</t>
  </si>
  <si>
    <t>MPS72-167</t>
  </si>
  <si>
    <t>AMAZON,AMAZONDS,CSNSTORES,DESINC,FINGERHUTDS,HDDS,HOUZZ,JCPENNEY01,KIRKLANDDS,KOHLDSN,MACY02,OLLIIX,OVERSTOCK01,TGTDVS</t>
  </si>
  <si>
    <t>6/20/2018</t>
  </si>
  <si>
    <t>MPS72-168</t>
  </si>
  <si>
    <t>5/31/2024</t>
  </si>
  <si>
    <t>AMAZON,CSNSTORES,DESINC,FINGERHUTDS,HDDS,JCPENNEY01,KIRKLANDDS,KOHLDSN,MACY02,OLLIIX,OVERSTOCK01,TGTDVS</t>
  </si>
  <si>
    <t>1/27/2017</t>
  </si>
  <si>
    <t>MPS72-169</t>
  </si>
  <si>
    <t>AMAZON,AMAZONDS,CSNSTORES,DESINC,HDDS,HOUZZ,JCPENNEY01,KIRKLANDDS,KOHLDSN,MACY02,OLLIIX,OVERSTOCK01,TGTDVS</t>
  </si>
  <si>
    <t>2/21/2019</t>
  </si>
  <si>
    <t>MPS72-162</t>
  </si>
  <si>
    <t>PF001509</t>
  </si>
  <si>
    <t>AMAZON,AMAZONDS,CSNSTORES,HDDS,JCPENNEY01,KIRKLANDDS,KOHLDSN,MACY02,OLLIIX,OVERSTOCK01,TGTDVS</t>
  </si>
  <si>
    <t>4/13/2017</t>
  </si>
  <si>
    <t>MPS72-163</t>
  </si>
  <si>
    <t>AMAZON,AMAZONDS,CSNSTORES,JCPENNEY01,KIRKLANDDS,KOHLDSN,MACY02,OLLIIX,OVERSTOCK01,TGTDVS</t>
  </si>
  <si>
    <t>8/14/2017</t>
  </si>
  <si>
    <t>MPS72-164</t>
  </si>
  <si>
    <t>A++</t>
  </si>
  <si>
    <t>AMAZON,AMAZONDS,CSNSTORES,FINGERHUTDS,HDDS,JCPENNEY01,KIRKLANDDS,KOHLDSN,MACY02,OLLIIX,OVERSTOCK01,TGTDVS</t>
  </si>
  <si>
    <t>MPS72-165</t>
  </si>
  <si>
    <t>6/25/2018</t>
  </si>
  <si>
    <t>MPS72-452</t>
  </si>
  <si>
    <t>Ritzy</t>
  </si>
  <si>
    <t>100% Cotton Solid Tufted 2 Piece Bath Rug Set</t>
  </si>
  <si>
    <t>C+</t>
  </si>
  <si>
    <t>PF004965;PP001582</t>
  </si>
  <si>
    <t>2</t>
  </si>
  <si>
    <t>Mid-Century|Modern/Contemporary</t>
  </si>
  <si>
    <t>CSNSTORES,HDDS,JCPENNEY01,KIRKLANDDS,KOHLDSN,MACY02,OLLIIX,OVERSTOCK01,TGTDVS</t>
  </si>
  <si>
    <t>1/17/2020</t>
  </si>
  <si>
    <t>MPS72-451</t>
  </si>
  <si>
    <t>CSNSTORES,HDDS,HOUZZ,JCPENNEY01,KIRKLANDDS,KOHLDSN,MACY02,OLLIIX,OVERSTOCK01,TGTDVS</t>
  </si>
  <si>
    <t>5/6/2020</t>
  </si>
  <si>
    <t>MPS72-519</t>
  </si>
  <si>
    <t>Splendor</t>
  </si>
  <si>
    <t>100% Cotton Tufted 3000 GSM Reversible Bath Rug</t>
  </si>
  <si>
    <t>PP001359;PF006125</t>
  </si>
  <si>
    <t>12/21/2023</t>
  </si>
  <si>
    <t>AMAZON,AMAZONDS,CSNSTORES,OLLIIX,OVERSTOCK01</t>
  </si>
  <si>
    <t>MPS72-520</t>
  </si>
  <si>
    <t>AMAZON,AMAZONDS,CSNSTORES,KOHLDSN,OLLIIX,OVERSTOCK01</t>
  </si>
  <si>
    <t>MPS72-517</t>
  </si>
  <si>
    <t>PP001359;PF006124</t>
  </si>
  <si>
    <t>6/28/2024</t>
  </si>
  <si>
    <t>AMAZON,AMAZONDS,CSNSTORES,DESINC,OVERSTOCK01</t>
  </si>
  <si>
    <t>MPS72-518</t>
  </si>
  <si>
    <t>AMAZON,AMAZONDS,CSNSTORES,DESINC,KOHLDSN,OVERSTOCK01</t>
  </si>
  <si>
    <t>MPS72-473</t>
  </si>
  <si>
    <t>100% Cotton Tufted 3000GSM Reversible Bath Rug</t>
  </si>
  <si>
    <t>PP001359;PF005276</t>
  </si>
  <si>
    <t>1/4/2021</t>
  </si>
  <si>
    <t>AMAZON,AMAZONDS,CSNSTORES,HDDS,HOUZZ,JCPENNEY01,KIRKLANDDS,KOHLDSN,MACY02,OLLIIX,OVERSCONSIGN,OVERSTOCK01,TGTDVS,ZOLA</t>
  </si>
  <si>
    <t>MPS72-474</t>
  </si>
  <si>
    <t>AMAZON,AMAZONDS,CSNSTORES,HDDS,JCPENNEY01,KIRKLANDDS,KOHLDSN,MACY02,NRTPORT,OLLIIX,OVERSTOCK01,TGTDVS,ZOLA</t>
  </si>
  <si>
    <t>ID70-1291</t>
  </si>
  <si>
    <t xml:space="preserve">Intelligent Design </t>
  </si>
  <si>
    <t>Raina</t>
  </si>
  <si>
    <t>Khloe</t>
  </si>
  <si>
    <t>Arielle</t>
  </si>
  <si>
    <t>Printed Metallic Shower Curtain</t>
  </si>
  <si>
    <t>PF001694;PP000896</t>
  </si>
  <si>
    <t>7/19/2017</t>
  </si>
  <si>
    <t>1/23/2018</t>
  </si>
  <si>
    <t>ID70-1292</t>
  </si>
  <si>
    <t>Grey/Silver</t>
  </si>
  <si>
    <t>PF001695;PP000896</t>
  </si>
  <si>
    <t>AMAZON,BEALLSDS,CSNSTORES,HDDS,JCPENNEY01,KOHLDSN,MACY02,NRTPORT,OLLIIX,OVERSTOCK01,TGTDVS,WALMARTDS</t>
  </si>
  <si>
    <t>10/11/2017</t>
  </si>
  <si>
    <t>ID70-1373</t>
  </si>
  <si>
    <t>Zoey</t>
  </si>
  <si>
    <t>Liv</t>
  </si>
  <si>
    <t>Nova</t>
  </si>
  <si>
    <t>Metallic Printed Shower Curtain</t>
  </si>
  <si>
    <t>PP000812;PF004132</t>
  </si>
  <si>
    <t>12/26/2017</t>
  </si>
  <si>
    <t>CSNSTORES,DESINC,HDDS,JCPENNEY01,KOHLDSN,OLLIIX,OVERSTOCK01,TGTDVS,WALMARTDS</t>
  </si>
  <si>
    <t>9/10/2018</t>
  </si>
  <si>
    <t>ID91-523</t>
  </si>
  <si>
    <t>Lita</t>
  </si>
  <si>
    <t>Gwen</t>
  </si>
  <si>
    <t>Sonya</t>
  </si>
  <si>
    <t>Cotton Jacquard Bath Towel 6 Piece Set</t>
  </si>
  <si>
    <t>PF001469;PP000446</t>
  </si>
  <si>
    <t>AMAZON,AMAZONDS,BEALLSDS,BLK01,CSNSTORES,FINGERHUTDS,HDDS,JCPENNEY01,KOHLDSN,OLLIIX,OVERSCONSIGN,OVERSTOCK01,TGTDVS</t>
  </si>
  <si>
    <t>4/10/2017</t>
  </si>
  <si>
    <t>ID91-525</t>
  </si>
  <si>
    <t>Nadia</t>
  </si>
  <si>
    <t>Laila</t>
  </si>
  <si>
    <t>Darcy</t>
  </si>
  <si>
    <t>PF001471;PP000465</t>
  </si>
  <si>
    <t>Chevron</t>
  </si>
  <si>
    <t>8/5/2024</t>
  </si>
  <si>
    <t>AMAZON,AMAZONDS,BEALLSDS,CSNSTORES,DESINC,HDDS,JCPENNEY01,KOHLDSN,MACY02,NRTPORT,OLLIIX,OVERSTOCK01,TGTDVS,ZOLA</t>
  </si>
  <si>
    <t>3/1/2017</t>
  </si>
  <si>
    <t>WR70-1815</t>
  </si>
  <si>
    <t>Woolrich</t>
  </si>
  <si>
    <t>Winter Hills</t>
  </si>
  <si>
    <t>100% Cotton Shower Curtain</t>
  </si>
  <si>
    <t>Tan</t>
  </si>
  <si>
    <t>PF003308;PP000534</t>
  </si>
  <si>
    <t>Lodge/Cabin</t>
  </si>
  <si>
    <t>11/19/2021</t>
  </si>
  <si>
    <t>1/18/2022</t>
  </si>
  <si>
    <t>WR70-3902</t>
  </si>
  <si>
    <t>Mill Creek</t>
  </si>
  <si>
    <t>Pieced Cotton Shower Curtain</t>
  </si>
  <si>
    <t>PP000534;PF004793</t>
  </si>
  <si>
    <t>Patchwork</t>
  </si>
  <si>
    <t>11/10/2022</t>
  </si>
  <si>
    <t>AMAZONDS,CSNSTORES,DESINC,HDDS,JCPENNEY01,KOHLDSN,OLLIIX,OVERSTOCK01,TGTDVS</t>
  </si>
  <si>
    <t>WR70-1814</t>
  </si>
  <si>
    <t>Sunset</t>
  </si>
  <si>
    <t>B-</t>
  </si>
  <si>
    <t>4/23/2024</t>
  </si>
  <si>
    <t>12/6/2021</t>
  </si>
  <si>
    <t>5DS70-0231</t>
  </si>
  <si>
    <t>510 Design</t>
  </si>
  <si>
    <t>Donnell</t>
  </si>
  <si>
    <t>Shane</t>
  </si>
  <si>
    <t>Merissi</t>
  </si>
  <si>
    <t>Embroidered and Pieced Shower Curtain</t>
  </si>
  <si>
    <t>Black/Grey</t>
  </si>
  <si>
    <t>PP001563;PF005245</t>
  </si>
  <si>
    <t>5DS70-0250</t>
  </si>
  <si>
    <t>Lynda</t>
  </si>
  <si>
    <t>Casey</t>
  </si>
  <si>
    <t>Printed and Embroidered Shower Curtain</t>
  </si>
  <si>
    <t>PF005656;PP001734</t>
  </si>
  <si>
    <t>7/7/2022</t>
  </si>
  <si>
    <t>CSNSTORES,DESINC,JCPENNEY01,KOHLDSN,MACY02,OVERSTOCK01,TGTDVS</t>
  </si>
  <si>
    <t>5DS70-0217</t>
  </si>
  <si>
    <t>PF004870;PP001734</t>
  </si>
  <si>
    <t>8/22/2019</t>
  </si>
  <si>
    <t>6/18/2021</t>
  </si>
  <si>
    <t>5DS70-0251</t>
  </si>
  <si>
    <t>Shawnee</t>
  </si>
  <si>
    <t>Josefina</t>
  </si>
  <si>
    <t>Stacie</t>
  </si>
  <si>
    <t>PF005657;PP001733</t>
  </si>
  <si>
    <t>5DS70-0094</t>
  </si>
  <si>
    <t>PF004214;PP001733</t>
  </si>
  <si>
    <t>4/9/2018</t>
  </si>
  <si>
    <t>AAFESDS,AMAZON,AMAZONDS,BEALLSDS,CSNSTORES,JCPENNEY01,KOHLDSN,MACY02,OLLIIX,OVERSTOCK01,TGTDVS</t>
  </si>
  <si>
    <t>1/14/2019</t>
  </si>
  <si>
    <t>BR72-3766</t>
  </si>
  <si>
    <t>Beautyrest</t>
  </si>
  <si>
    <t>Plume</t>
  </si>
  <si>
    <t>Feather Touch Reversible Bath Rug</t>
  </si>
  <si>
    <t>PP001590;PF005340</t>
  </si>
  <si>
    <t>11/4/2022</t>
  </si>
  <si>
    <t>AMAZONDS,CSNSTORES,JCPENNEY01,KOHLDSN,MACY02,OLLIIX,OVERSTOCK01,TGTDVS,ZOLA</t>
  </si>
  <si>
    <t>BR72-3767</t>
  </si>
  <si>
    <t>AMAZONDS,CSNSTORES,HDDS,JCPENNEY01,KOHLDSN,MACY02,OLLIIX,OVERSTOCK01,TGTDVS,ZOLA</t>
  </si>
  <si>
    <t>BR72-3768</t>
  </si>
  <si>
    <t>AMAZONDS,CSNSTORES,JCPENNEY01,MACY02,OLLIIX,OVERSTOCK01,TGTDVS,ZOLA</t>
  </si>
  <si>
    <t>BR72-3876</t>
  </si>
  <si>
    <t>PP001590;PF005337</t>
  </si>
  <si>
    <t>BR72-3877</t>
  </si>
  <si>
    <t>BR72-3878</t>
  </si>
  <si>
    <t>AMAZONDS,DESINC,HDDS,JCPENNEY01,KOHLDSN,MACY02,OLLIIX,OVERSTOCK01,TGTDVS,ZOLA</t>
  </si>
  <si>
    <t>BR72-3763</t>
  </si>
  <si>
    <t>PP001590;PF005336</t>
  </si>
  <si>
    <t>BR72-3764</t>
  </si>
  <si>
    <t>BR72-3765</t>
  </si>
  <si>
    <t>CS70-0102R</t>
  </si>
  <si>
    <t>Comfort Spaces</t>
  </si>
  <si>
    <t>Cavoy</t>
  </si>
  <si>
    <t>Tufted Shower Curtain</t>
  </si>
  <si>
    <t>ARC</t>
  </si>
  <si>
    <t>AMAZON</t>
  </si>
  <si>
    <t>Other</t>
  </si>
  <si>
    <t>Open</t>
  </si>
  <si>
    <t>CS70-0682R</t>
  </si>
  <si>
    <t>Coco</t>
  </si>
  <si>
    <t>shower curtain</t>
  </si>
  <si>
    <t>Black/White</t>
  </si>
  <si>
    <t>II72-1228</t>
  </si>
  <si>
    <t>INK+IVY</t>
  </si>
  <si>
    <t>Ansel</t>
  </si>
  <si>
    <t>Geo Diamond Yarn Dyed Cotton Tufted Bath Rug</t>
  </si>
  <si>
    <t>20x32"</t>
  </si>
  <si>
    <t>Black/Neutral</t>
  </si>
  <si>
    <t>PP001716;PF005631</t>
  </si>
  <si>
    <t>3/11/2022</t>
  </si>
  <si>
    <t>AMAZONDS,CSNSTORES,DESINC,JCPENNEY01,KIRKLANDDS,KOHLDSN,MACY02,NRTPORT,OLLIIX,OVERSTOCK01,TGTDVS</t>
  </si>
  <si>
    <t>Restricted</t>
  </si>
  <si>
    <t>II72-1236</t>
  </si>
  <si>
    <t>Arbor</t>
  </si>
  <si>
    <t>Stripe Tassel Cotton Tufted Rug</t>
  </si>
  <si>
    <t>PP001728;PF005644</t>
  </si>
  <si>
    <t>2/2/2022</t>
  </si>
  <si>
    <t>AMAZONDS,CSNSTORES,DESINC,HOUZZ,JCPENNEY01,KIRKLANDDS,KOHLDSN,MACY02,OLLIIX,OVERSTOCK01,TGTDVS,ZOLA</t>
  </si>
  <si>
    <t>II72-1290</t>
  </si>
  <si>
    <t>Asher</t>
  </si>
  <si>
    <t>Woven Texture Stripe Bath Rug</t>
  </si>
  <si>
    <t>22x58"</t>
  </si>
  <si>
    <t>PP001715;PF005629</t>
  </si>
  <si>
    <t>9/23/2023</t>
  </si>
  <si>
    <t>AMAZON,AMAZONDS,CSNSTORES,DESINC,KIRKLANDDS,KOHLDSN,MACY02,NRTPORT,OLLIIX,OVERSTOCK01,TGTDVS,ZOLA</t>
  </si>
  <si>
    <t>II72-1226</t>
  </si>
  <si>
    <t>12/23/2021</t>
  </si>
  <si>
    <t>AMAZON,AMAZONDS,CSNSTORES,DESINC,JCPENNEY01,KIRKLANDDS,KOHLDSN,MACY02,OLLIIX,OVERSTOCK01,ZOLA</t>
  </si>
  <si>
    <t>II72-1291</t>
  </si>
  <si>
    <t>Natural</t>
  </si>
  <si>
    <t>PP001715;PF005630</t>
  </si>
  <si>
    <t>9/26/2023</t>
  </si>
  <si>
    <t>AMAZON,AMAZONDS,CSNSTORES,KIRKLANDDS,KOHLDSN,MACY02,OLLIIX,OVERSTOCK01,TGTDVS,ZOLA</t>
  </si>
  <si>
    <t>II72-1227</t>
  </si>
  <si>
    <t>3/15/2022</t>
  </si>
  <si>
    <t>AMAZON,AMAZONDS,CSNSTORES,DESINC,JCPENNEY01,KIRKLANDDS,KOHLDSN,MACY02,OLLIIX,OVERSTOCK01,TGTDVS,ZOLA</t>
  </si>
  <si>
    <t>II70-779</t>
  </si>
  <si>
    <t>Alpine</t>
  </si>
  <si>
    <t>Cotton Printed Shower Curtain</t>
  </si>
  <si>
    <t>PF001637;PP000371</t>
  </si>
  <si>
    <t>7/9/2024</t>
  </si>
  <si>
    <t>AMAZON,AMAZONDS,BEALLSDS,CSNSTORES,HDDS,JCPENNEY01,KOHLDSN,MACY02,OLLIIX,OVERSTOCK01,TGTDVS</t>
  </si>
  <si>
    <t>II70-541</t>
  </si>
  <si>
    <t>PF001636;PP000371</t>
  </si>
  <si>
    <t>AMAZON,AMAZONDS,BEALLSDS,CSNSTORES,DESINC,HDDS,JCPENNEY01,KOHLDSN,MACY02,NRTPORT,OLLIIX,OVERSTOCK01,TGTDVS</t>
  </si>
  <si>
    <t>II70-780</t>
  </si>
  <si>
    <t>PF001638;PP000371</t>
  </si>
  <si>
    <t>AMAZON,BEALLSDS,CSNSTORES,DESINC,HDDS,JCPENNEY01,KOHLDSN,MACY02,NRTPORT,OLLIIX,OVERSTOCK01,TGTDVS</t>
  </si>
  <si>
    <t>II70-1285</t>
  </si>
  <si>
    <t>Cody</t>
  </si>
  <si>
    <t>Cotton Stripe Printed Shower Curtain with Tassel</t>
  </si>
  <si>
    <t>Gray/Navy</t>
  </si>
  <si>
    <t>PP001505;PF005755</t>
  </si>
  <si>
    <t>10/13/2022</t>
  </si>
  <si>
    <t>AMAZON,CSNSTORES,HOUZZ,JCPENNEY01,KIRKLANDDS,KOHLDSN,MACY02,NRTPORT,OLLIIX,OVERSTOCK01,TGTDVS,ZOLA</t>
  </si>
  <si>
    <t>II70-1284</t>
  </si>
  <si>
    <t>Gray/Yellow</t>
  </si>
  <si>
    <t>PP001505;PF005117</t>
  </si>
  <si>
    <t>6/3/2024</t>
  </si>
  <si>
    <t>AMAZONDS,CSNSTORES,DESINC,HDDS,JCPENNEY01,KIRKLANDDS,KOHLDSN,OLLIIX,OVERSTOCK01,TGTDVS</t>
  </si>
  <si>
    <t>II70-1123</t>
  </si>
  <si>
    <t>Imani</t>
  </si>
  <si>
    <t>Cotton Printed Shower Curtain with Chenille</t>
  </si>
  <si>
    <t>Gray</t>
  </si>
  <si>
    <t>PF005067;PP001556</t>
  </si>
  <si>
    <t>Mid-Century</t>
  </si>
  <si>
    <t>Casual|Farm House</t>
  </si>
  <si>
    <t>10/30/2020</t>
  </si>
  <si>
    <t>8/14/2024</t>
  </si>
  <si>
    <t>AMAZON,AMAZONDS,CSNSTORES,DESINC,HDDS,JCPENNEY01,KIRKLANDDS,KOHLDSN,MACY02,NRTPORT,OLLIIX,OVERSCONSIGN,OVERSTOCK01,TGTDVS,ZOLA</t>
  </si>
  <si>
    <t>II70-1121</t>
  </si>
  <si>
    <t>PF004112;PP001556</t>
  </si>
  <si>
    <t>10/3/2020</t>
  </si>
  <si>
    <t>5/13/2024</t>
  </si>
  <si>
    <t>AMAZON,CSNSTORES,DESINC,HDDS,HOUZZ,JCPENNEY01,KIRKLANDDS,KOHLDSN,MACY02,NRTPORT,OLLIIX,OVERSCONSIGN,OVERSTOCK01,TGTDVS</t>
  </si>
  <si>
    <t>II70-1319</t>
  </si>
  <si>
    <t>White/Navy</t>
  </si>
  <si>
    <t>PP000428;PF005760</t>
  </si>
  <si>
    <t>II70-1287</t>
  </si>
  <si>
    <t>Kara</t>
  </si>
  <si>
    <t>PP001486;PF005087</t>
  </si>
  <si>
    <t>Farm House</t>
  </si>
  <si>
    <t>11/17/2022</t>
  </si>
  <si>
    <t>AMAZON,CSNSTORES,KIRKLANDDS,KOHLDSN,MACY02,OLLIIX,OVERSTOCK01,TGTDVS,ZOLA</t>
  </si>
  <si>
    <t>II70-1288</t>
  </si>
  <si>
    <t>PP001486;PF005762</t>
  </si>
  <si>
    <t>II70-1289</t>
  </si>
  <si>
    <t>PP001486;PF005761</t>
  </si>
  <si>
    <t>AMAZON,CSNSTORES,DESINC,KIRKLANDDS,KOHLDSN,MACY02,OLLIIX,OVERSTOCK01,TGTDVS,ZOLA</t>
  </si>
  <si>
    <t>II70-1120</t>
  </si>
  <si>
    <t>Nea</t>
  </si>
  <si>
    <t>Cotton Printed Shower Curtain with Trims</t>
  </si>
  <si>
    <t>Off White/Gray</t>
  </si>
  <si>
    <t>PP001095;PF004583</t>
  </si>
  <si>
    <t>6/30/2020</t>
  </si>
  <si>
    <t>AMAZON,AMAZONDS,CSNSTORES,DESINC,JCPENNEY01,KIRKLANDDS,KOHLDSN,MACY02,OLLIIX,OVERSTOCK01,TGTDVS</t>
  </si>
  <si>
    <t>II70-1286</t>
  </si>
  <si>
    <t>Rhea</t>
  </si>
  <si>
    <t>Ivory/Charcoal</t>
  </si>
  <si>
    <t>PF004418;PP001731</t>
  </si>
  <si>
    <t>10/21/2022</t>
  </si>
  <si>
    <t>5/28/2024</t>
  </si>
  <si>
    <t>AMAZON,CSNSTORES,JCPENNEY01,KIRKLANDDS,KOHLDSN,MACY02,OLLIIX,OVERSCONSIGN,OVERSTOCK01,TGTDVS</t>
  </si>
  <si>
    <t>MP73-5974</t>
  </si>
  <si>
    <t>TOWL</t>
  </si>
  <si>
    <t>BATH TOWEL</t>
  </si>
  <si>
    <t>Cotton Waffle Jacquard Antimicrobial Bath Towel 6 Piece Set</t>
  </si>
  <si>
    <t>PP000511</t>
  </si>
  <si>
    <t>5/29/2018</t>
  </si>
  <si>
    <t>AMAZON,AMAZONDS,BEALLSDS,BLK01,CSNSTORES,HDDS,JCPENNEY01,KOHLDSN,MACY02,OLLIIX,OVERSTOCK01,TGTDVS,WALMARTDS,ZOLA</t>
  </si>
  <si>
    <t>7/19/2019</t>
  </si>
  <si>
    <t>5/1/2020</t>
  </si>
  <si>
    <t>MP73-5915</t>
  </si>
  <si>
    <t>6/30/2024</t>
  </si>
  <si>
    <t>MP73-5912</t>
  </si>
  <si>
    <t>AMAZON,AMAZONDS,BEALLSDS,BLK01,CSNSTORES,HDDS,HOUZZ,JCPENNEY01,KOHLDSN,MACY02,OLLIIX,OVERSTOCK01,TGTDVS,WALMARTDS,ZOLA</t>
  </si>
  <si>
    <t>10/2/2019</t>
  </si>
  <si>
    <t>MP73-5913</t>
  </si>
  <si>
    <t>AMAZON,BEALLSDS,BLK01,CSNSTORES,HDDS,JCPENNEY01,KOHLDSN,MACY02,OLLIIX,OVERSTOCK01,TGTDVS,WALMARTDS,ZOLA</t>
  </si>
  <si>
    <t>1/10/2020</t>
  </si>
  <si>
    <t>MP73-6220</t>
  </si>
  <si>
    <t>3/30/2019</t>
  </si>
  <si>
    <t>AMAZON,AMAZONDS,BLK01,CSNSTORES,HDDS,JCPENNEY01,KOHLDSN,MACY02,OLLIIX,OVERSTOCK01,TGTDVS,WALMARTDS,ZOLA</t>
  </si>
  <si>
    <t>6/8/2020</t>
  </si>
  <si>
    <t>MP73-7179</t>
  </si>
  <si>
    <t>8/20/2020</t>
  </si>
  <si>
    <t>AMAZON,AMAZONDS,BLK01,CSNSTORES,HDDS,JCPENNEY01,KIRKLANDDS,KOHLDSN,MACY02,OLLIIX,OVERSTOCK01,TGTDVS,WALMARTDS,ZOLA</t>
  </si>
  <si>
    <t>5/14/2021</t>
  </si>
  <si>
    <t>11/16/2021</t>
  </si>
  <si>
    <t>MP73-5914</t>
  </si>
  <si>
    <t>AMAZON,AMAZONDS,BLK01,CSNSTORES,DESINC,HDDS,JCPENNEY01,KOHLDSN,MACY02,OLLIIX,OVERSTOCK01,TGTDVS,WALMARTDS,ZOLA</t>
  </si>
  <si>
    <t>8/11/2019</t>
  </si>
  <si>
    <t>10/11/2020</t>
  </si>
  <si>
    <t>MP73-5138</t>
  </si>
  <si>
    <t>Organic</t>
  </si>
  <si>
    <t>6 Piece Organic Cotton Towel Set</t>
  </si>
  <si>
    <t>6/23/2024</t>
  </si>
  <si>
    <t>MP73-5137</t>
  </si>
  <si>
    <t>AMAZONDS,BEALLSDS,BLK01,CSNSTORES,HDDS,JCPENNEY01,KOHLDSN,MACY02,OLLIIX,OVERSTOCK01,TGTDVS,WALMARTDS,ZOLA</t>
  </si>
  <si>
    <t>1/4/2018</t>
  </si>
  <si>
    <t>MP73-6181</t>
  </si>
  <si>
    <t>PP001101</t>
  </si>
  <si>
    <t>AMAZON,AMAZONDS,BLK01,CSNSTORES,HDDS,JCPENNEY01,KOHLDSN,MACY02,OVERSTOCK01,TGTDVS,WALMARTDS,ZOLA</t>
  </si>
  <si>
    <t>10/21/2019</t>
  </si>
  <si>
    <t>4/13/2020</t>
  </si>
  <si>
    <t>MP73-6629</t>
  </si>
  <si>
    <t>9/20/2019</t>
  </si>
  <si>
    <t>BLK01,CSNSTORES,HDDS,JCPENNEY01,KOHLDSN,MACY02,OLLIIX,OVERSTOCK01,TGTDVS,WALMARTDS,ZOLA</t>
  </si>
  <si>
    <t>10/24/2019</t>
  </si>
  <si>
    <t>3/6/2020</t>
  </si>
  <si>
    <t>MP73-7473</t>
  </si>
  <si>
    <t>6/8/2021</t>
  </si>
  <si>
    <t>AMAZON,AMAZONDS,HDDS,JCPENNEY01,KOHLDSN,MACY02,OLLIIX,OVERSTOCK01,TGTDVS</t>
  </si>
  <si>
    <t>MP73-7472</t>
  </si>
  <si>
    <t>MP73-6182</t>
  </si>
  <si>
    <t>AMAZON,AMAZONDS,BLK01,CSNSTORES,HDDS,JCPENNEY01,KOHLDSN,MACY02,OLLIIX,OVERSTOCK01,TGTDVS,ZOLA</t>
  </si>
  <si>
    <t>2/24/2020</t>
  </si>
  <si>
    <t>MP73-5715</t>
  </si>
  <si>
    <t>Breeze</t>
  </si>
  <si>
    <t>Aer</t>
  </si>
  <si>
    <t>Curv</t>
  </si>
  <si>
    <t>Jacquard Wavy Border Zero Twist Antimicrobial Cotton Towel Set</t>
  </si>
  <si>
    <t>PP000868</t>
  </si>
  <si>
    <t>5/30/2018</t>
  </si>
  <si>
    <t>BEALLSDS,BIGLOTSDS,BLK01,CSNSTORES,FINGERHUTDS,HDDS,JCPENNEY01,KOHLDSN,OLLIIX,OVERSTOCK01,TGTDVS</t>
  </si>
  <si>
    <t>4/26/2020</t>
  </si>
  <si>
    <t>MP73-5716</t>
  </si>
  <si>
    <t>BEALLSDS,BLK01,CSNSTORES,HDDS,JCPENNEY01,KOHLDSN,OLLIIX,OVERSTOCK01,TGTDVS</t>
  </si>
  <si>
    <t>10/11/2019</t>
  </si>
  <si>
    <t>2/8/2021</t>
  </si>
  <si>
    <t>MP73-5713</t>
  </si>
  <si>
    <t>11/13/2019</t>
  </si>
  <si>
    <t>MPS73-461</t>
  </si>
  <si>
    <t>800gsm</t>
  </si>
  <si>
    <t>100% Cotton Bath Sheet Antimicrobial 2 Piece Set</t>
  </si>
  <si>
    <t>34x68" – 2PK</t>
  </si>
  <si>
    <t>PF001493;PP001046</t>
  </si>
  <si>
    <t>4/23/2020</t>
  </si>
  <si>
    <t>AMAZON,AMAZONDS,BLK01,CSNSTORES,HDDS,HOUZZ,JCPENNEY01,KOHLDSN,MACY02,OLLIIX,OVERSTOCK01,TGTDVS,WALMARTDS</t>
  </si>
  <si>
    <t>8/17/2021</t>
  </si>
  <si>
    <t>MPS73-471</t>
  </si>
  <si>
    <t>800GSM</t>
  </si>
  <si>
    <t>100% Cotton 8 Piece Antimicrobial Towel Set</t>
  </si>
  <si>
    <t>PP001046;PF005251</t>
  </si>
  <si>
    <t>8</t>
  </si>
  <si>
    <t>12/2/2020</t>
  </si>
  <si>
    <t>8/7/2024</t>
  </si>
  <si>
    <t>AMAZONDS,BLK01,CSNSTORES,FINGERHUTDS,HDDS,JCPENNEY01,KOHLDSN,MACY02,OLLIIX,OVERSTOCK01,TGTDVS,WALMARTDS,ZOLA</t>
  </si>
  <si>
    <t>2/12/2024</t>
  </si>
  <si>
    <t>MPS73-460</t>
  </si>
  <si>
    <t>Slate Blue</t>
  </si>
  <si>
    <t>PF001499;PP001046</t>
  </si>
  <si>
    <t>1/10/2022</t>
  </si>
  <si>
    <t>MPS73-199</t>
  </si>
  <si>
    <t>AMAZON,AMAZONDS,BLK01,CSNSTORES,DESINC,FINGERHUTDS,HDDS,HOUZZ,JCPENNEY01,KOHLDSN,MACY02,OLLIIX,OVERSTOCK01,TGTDVS,WALMARTDS,ZOLA</t>
  </si>
  <si>
    <t>1/8/2018</t>
  </si>
  <si>
    <t>MPS73-526</t>
  </si>
  <si>
    <t>NEW</t>
  </si>
  <si>
    <t>PP001046;PF005089</t>
  </si>
  <si>
    <t>MPS73-320</t>
  </si>
  <si>
    <t>4/22/2024</t>
  </si>
  <si>
    <t>AAFESDS,AMAZON,AMAZONDS,BLK01,CSNSTORES,FINGERHUTDS,HDDS,JCPENNEY01,KOHLDSN,MACY02,OLLIIX,OVERSTOCK01,TGTDVS</t>
  </si>
  <si>
    <t>MPS73-195</t>
  </si>
  <si>
    <t>PF001495;PP001046</t>
  </si>
  <si>
    <t>AMAZON,AMAZONDS,BLK01,CSNSTORES,FINGERHUTDS,HDDS,JCPENNEY01,KOHLDSN,MACY02,OLLIIX,OVERSTOCK01,TGTDVS,ZOLA</t>
  </si>
  <si>
    <t>6/4/2018</t>
  </si>
  <si>
    <t>MPS73-530</t>
  </si>
  <si>
    <t>Dark Green</t>
  </si>
  <si>
    <t>PP001046</t>
  </si>
  <si>
    <t>MPS73-430</t>
  </si>
  <si>
    <t>PF001497;PP001046</t>
  </si>
  <si>
    <t>AMAZON,AMAZONDS,BLK01,CSNSTORES,HDDS,HOUZZ,JCPENNEY01,KOHLDSN,MACY02,OLLIIX,OVERSTOCK01,TGTDVS</t>
  </si>
  <si>
    <t>6/16/2020</t>
  </si>
  <si>
    <t>MPS73-190</t>
  </si>
  <si>
    <t>PF001490;PP001046</t>
  </si>
  <si>
    <t>AAFESDS,AMAZON,AMAZONDS,BLK01,CSNSTORES,FINGERHUTDS,HDDS,JCPENNEY01,KOHLDSN,MACY02,OLLIIX,OVERSTOCK01,TGTDVS,ZOLA</t>
  </si>
  <si>
    <t>MPS73-200</t>
  </si>
  <si>
    <t>PF001500;PP001046</t>
  </si>
  <si>
    <t>7/25/2024</t>
  </si>
  <si>
    <t>AAFESDS,AMAZON,AMAZONDS,BLK01,CSNSTORES,FINGERHUTDS,HDDS,HOUZZ,JCPENNEY01,KOHLDSN,MACY02,OLLIIX,OVERSTOCK01,TGTDVS,ZOLA</t>
  </si>
  <si>
    <t>6/14/2018</t>
  </si>
  <si>
    <t>MPS73-412</t>
  </si>
  <si>
    <t>PF004534;PP001046</t>
  </si>
  <si>
    <t>12/17/2018</t>
  </si>
  <si>
    <t>AMAZON,AMAZONDS,BLK01,CSNSTORES,FINGERHUTDS,JCPENNEY01,KOHLDSN,MACY02,OLLIIX,OVERSTOCK01,TGTDVS</t>
  </si>
  <si>
    <t>5/15/2020</t>
  </si>
  <si>
    <t>MPS73-514</t>
  </si>
  <si>
    <t>Sage Green</t>
  </si>
  <si>
    <t>PP001046;PF005956</t>
  </si>
  <si>
    <t>5/22/2023</t>
  </si>
  <si>
    <t>AMAZON,BLK01,CSNSTORES,FINGERHUTDS,KOHLDSN,MACY02,OLLIIX,OVERSTOCK01,TGTDVS,ZOLA</t>
  </si>
  <si>
    <t>MPS73-528</t>
  </si>
  <si>
    <t>PF001492;PP001046</t>
  </si>
  <si>
    <t>MPS73-431</t>
  </si>
  <si>
    <t>PF001491;PP001046</t>
  </si>
  <si>
    <t>AMAZON,AMAZONDS,BLK01,CSNSTORES,HDDS,JCPENNEY01,KOHLDSN,MACY02,OLLIIX,OVERSTOCK01,TGTDVS</t>
  </si>
  <si>
    <t>MPS73-191</t>
  </si>
  <si>
    <t>AAFESDS,AMAZON,AMAZONDS,BLK01,CSNSTORES,DESINC,FINGERHUTDS,HDDS,JCPENNEY01,KOHLDSN,MACY02,OLLIIX,OVERSCONSIGN,OVERSTOCK01,TGTDVS,ZOLA</t>
  </si>
  <si>
    <t>6/22/2018</t>
  </si>
  <si>
    <t>MPS73-432</t>
  </si>
  <si>
    <t>PF001488;PP001046</t>
  </si>
  <si>
    <t>MPS73-188</t>
  </si>
  <si>
    <t>3/17/2017</t>
  </si>
  <si>
    <t>MPS73-416</t>
  </si>
  <si>
    <t>Turkish</t>
  </si>
  <si>
    <t>Cotton 6 Piece Bath Towel Set</t>
  </si>
  <si>
    <t>PP001361</t>
  </si>
  <si>
    <t>1/18/2019</t>
  </si>
  <si>
    <t>5/12/2024</t>
  </si>
  <si>
    <t>AAFESDS,AMAZON,AMAZONDS,BLK01,CSNSTORES,FINGERHUTDS,HDDS,JCPENNEY01,KOHLDSN,MACY02,OLLIIX,OVERSCONSIGN,OVERSTOCK01,TGTDVS,WALMARTDS,ZOLA</t>
  </si>
  <si>
    <t>3/8/2022</t>
  </si>
  <si>
    <t>MPS73-454</t>
  </si>
  <si>
    <t>AAFESDS,AMAZON,AMAZONDS,BLK01,CSNSTORES,DESINC,FINGERHUTDS,HDDS,JCPENNEY01,KOHLDSN,MACY02,OLLIIX,OVERSTOCK01,TGTDVS,WALMARTDS,ZOLA</t>
  </si>
  <si>
    <t>12/17/2019</t>
  </si>
  <si>
    <t>MPS73-532</t>
  </si>
  <si>
    <t>100% Cotton Bath Sheet 2 Piece Set</t>
  </si>
  <si>
    <t>35x70" - 2PK</t>
  </si>
  <si>
    <t>5/30/2024</t>
  </si>
  <si>
    <t>MPS73-349</t>
  </si>
  <si>
    <t>11/27/2017</t>
  </si>
  <si>
    <t>AAFESDS,AMAZON,AMAZONDS,BLK01,CSNSTORES,DESINC,HDDS,JCPENNEY01,KOHLDSN,MACY02,OLLIIX,OVERSTOCK01,TGTDVS,WALMARTDS,ZOLA</t>
  </si>
  <si>
    <t>3/12/2018</t>
  </si>
  <si>
    <t>MPS73-531</t>
  </si>
  <si>
    <t>MPS73-467</t>
  </si>
  <si>
    <t>8/26/2020</t>
  </si>
  <si>
    <t>AMAZON,AMAZONDS,BLK01,CSNSTORES,FINGERHUTDS,HDDS,JCPENNEY01,KOHLDSN,MACY02,OLLIIX,OVERSCONSIGN,OVERSTOCK01,TGTDVS,WALMARTDS,ZOLA</t>
  </si>
  <si>
    <t>4/12/2024</t>
  </si>
  <si>
    <t>MPS73-450</t>
  </si>
  <si>
    <t>AMAZONDS,BLK01,CSNSTORES,HDDS,JCPENNEY01,KOHLDSN,MACY02,OVERSTOCK01,TGTDVS,ZOLA</t>
  </si>
  <si>
    <t>11/26/2022</t>
  </si>
  <si>
    <t>MPS73-316</t>
  </si>
  <si>
    <t>AAFESDS,AMAZON,AMAZONDS,BEALLSDS,BLK01,CSNSTORES,DESINC,HDDS,JCPENNEY01,KOHLDSN,MACY02,OLLIIX,OVERSCONSIGN,OVERSTOCK01,TGTDVS,ZOLA</t>
  </si>
  <si>
    <t>2/12/2018</t>
  </si>
  <si>
    <t>MPS73-533</t>
  </si>
  <si>
    <t>MPS73-475</t>
  </si>
  <si>
    <t>Lavender</t>
  </si>
  <si>
    <t>11/4/2020</t>
  </si>
  <si>
    <t>6/1/2024</t>
  </si>
  <si>
    <t>AMAZON,AMAZONDS,BLK01,CSNSTORES,FINGERHUTDS,HDDS,JCPENNEY01,KOHLDSN,MACY02,OLLIIX,OVERSTOCK01,TGTDVS</t>
  </si>
  <si>
    <t>MPS73-455</t>
  </si>
  <si>
    <t>Light Blue</t>
  </si>
  <si>
    <t>MPS73-534</t>
  </si>
  <si>
    <t>MPS73-468</t>
  </si>
  <si>
    <t>AAFESDS,AMAZON,AMAZONDS,BLK01,CSNSTORES,HDDS,HOUZZ,JCPENNEY01,KOHLDSN,MACY02,OLLIIX,OVERSTOCK01,TGTDVS,ZOLA</t>
  </si>
  <si>
    <t>8/23/2021</t>
  </si>
  <si>
    <t>MPS73-319</t>
  </si>
  <si>
    <t>AAFESDS,AMAZON,AMAZONDS,BEALLSDS,BLK01,CSNSTORES,HDDS,JCPENNEY01,KOHLDSN,MACY02,OLLIIX,OVERSCONSIGN,OVERSTOCK01,TGTDVS,ZOLA</t>
  </si>
  <si>
    <t>4/20/2018</t>
  </si>
  <si>
    <t>MPS73-477</t>
  </si>
  <si>
    <t>Luce</t>
  </si>
  <si>
    <t>100% Egyptian Cotton 6 Piece Towel Set</t>
  </si>
  <si>
    <t>PP001119</t>
  </si>
  <si>
    <t>8/27/2021</t>
  </si>
  <si>
    <t>6/25/2024</t>
  </si>
  <si>
    <t>AMAZON,CSNSTORES,HDDS,JCPENNEY01,KOHLDSN,MACY02,OVERSTOCK01,TGTDVS,ZOLA</t>
  </si>
  <si>
    <t>MPS73-427</t>
  </si>
  <si>
    <t>Dark Taupe</t>
  </si>
  <si>
    <t>5/2/2019</t>
  </si>
  <si>
    <t>AMAZON,AMAZONDS,BLK01,CSNSTORES,HDDS,JCPENNEY01,KOHLDSN,MACY02,OLLIIX,OVERSCONSIGN,OVERSTOCK01,TGTDVS,ZOLA</t>
  </si>
  <si>
    <t>11/5/2019</t>
  </si>
  <si>
    <t>7/18/2022</t>
  </si>
  <si>
    <t>MPS73-476</t>
  </si>
  <si>
    <t>AMAZON,AMAZONDS,CSNSTORES,HDDS,JCPENNEY01,KOHLDSN,MACY02,OVERSTOCK01,TGTDVS,ZOLA</t>
  </si>
  <si>
    <t>MPS73-429</t>
  </si>
  <si>
    <t>5/31/2019</t>
  </si>
  <si>
    <t>AAFESDS,AMAZON,BLK01,JCPENNEY01,KIRKLANDDS,KOHLDSN,MACY02,OLLIIX,OVERSTOCK01,TGTDVS</t>
  </si>
  <si>
    <t>MPS73-426</t>
  </si>
  <si>
    <t>AMAZON,AMAZONDS,BLK01,CSNSTORES,JCPENNEY01,KOHLDSN,MACY02,OLLIIX,OVERSTOCK01,TGTDVS,ZOLA</t>
  </si>
  <si>
    <t>1/9/2023</t>
  </si>
  <si>
    <t>MPS73-425</t>
  </si>
  <si>
    <t>AAFESDS,AMAZON,BLK01,CSNSTORES,HDDS,JCPENNEY01,KOHLDSN,MACY02,OLLIIX,OVERSTOCK01,TGTDVS,ZOLA</t>
  </si>
  <si>
    <t>1/20/2020</t>
  </si>
  <si>
    <t>MPS73-433</t>
  </si>
  <si>
    <t>1000gsm 100% Cotton 6 Piece Towel Set</t>
  </si>
  <si>
    <t>PP001153</t>
  </si>
  <si>
    <t>5/21/2019</t>
  </si>
  <si>
    <t>AMAZON,AMAZONDS,BLK01,CSNSTORES,FINGERHUTDS,HDDS,HOUZZ,JCPENNEY01,KOHLDSN,MACY02,OLLIIX,OVERSTOCK01,TGTDVS</t>
  </si>
  <si>
    <t>6/5/2020</t>
  </si>
  <si>
    <t>MPS73-470</t>
  </si>
  <si>
    <t>12/17/2020</t>
  </si>
  <si>
    <t>AMAZONDS,BLK01,CSNSTORES,HDDS,JCPENNEY01,KOHLDSN,MACY02,OLLIIX,OVERSTOCK01,TGTDVS,ZOLA</t>
  </si>
  <si>
    <t>MPS73-435</t>
  </si>
  <si>
    <t>AMAZON,AMAZONDS,BLK01,CSNSTORES,JCPENNEY01,MACY02,OLLIIX,OVERSTOCK01,TGTDVS</t>
  </si>
  <si>
    <t>12/18/2020</t>
  </si>
  <si>
    <t>MPS73-436</t>
  </si>
  <si>
    <t>AMAZON,AMAZONDS,BLK01,CSNSTORES,HDDS,JCPENNEY01,KIRKLANDDS,KOHLDSN,MACY02,OLLIIX,OVERSTOCK01,TGTDVS</t>
  </si>
  <si>
    <t>7/7/2020</t>
  </si>
  <si>
    <t>MPS73-434</t>
  </si>
  <si>
    <t>7/20/2024</t>
  </si>
  <si>
    <t>AMAZON,AMAZONDS,BLK01,CSNSTORES,FINGERHUTDS,HDDS,JCPENNEY01,KIRKLANDDS,KOHLDSN,MACY02,OLLIIX,OVERSCONSIGN,OVERSTOCK01,TGTDVS</t>
  </si>
  <si>
    <t>7/16/2021</t>
  </si>
  <si>
    <t>5DS73-0237</t>
  </si>
  <si>
    <t>Aegean</t>
  </si>
  <si>
    <t>100% Turkish Cotton 6 Piece Towel Set</t>
  </si>
  <si>
    <t>PP001568;PF005269</t>
  </si>
  <si>
    <t>11/28/2020</t>
  </si>
  <si>
    <t>BIGLOTSDS,BLK01,DESINC,FINGERHUTDS,JCPENNEY01,KIRKLANDDS,KOHLDSN,MACY02,OLLIIX,OVERSTOCK01,TGTDVS,WALMARTDS</t>
  </si>
  <si>
    <t>8/9/2021</t>
  </si>
  <si>
    <t>5DS73-0232</t>
  </si>
  <si>
    <t>PP001568;PF005264</t>
  </si>
  <si>
    <t>BIGLOTSDS,BLK01,CSNSTORES,DESINC,FINGERHUTDS,JCPENNEY01,KOHLDSN,MACY02,OLLIIX,OVERSTOCK01,TGTDVS,WALMARTDS</t>
  </si>
  <si>
    <t>5DS73-0234</t>
  </si>
  <si>
    <t>PP001568;PF005266</t>
  </si>
  <si>
    <t>BIGLOTSDS,BLK01,FINGERHUTDS,JCPENNEY01,KIRKLANDDS,KOHLDSN,MACY02,OLLIIX,OVERSTOCK01,TGTDVS,WALMARTDS</t>
  </si>
  <si>
    <t>6/14/2022</t>
  </si>
  <si>
    <t>5DS73-0236</t>
  </si>
  <si>
    <t>PP001568;PF005268</t>
  </si>
  <si>
    <t>BIGLOTSDS,BLK01,DESINC,FINGERHUTDS,JCPENNEY01,KIRKLANDDS,KOHLDSN,MACY02,OLLIIX,OVERSTOCK01,TGTDVS</t>
  </si>
  <si>
    <t>5/10/2021</t>
  </si>
  <si>
    <t>5DS73-0233</t>
  </si>
  <si>
    <t>PP001568;PF005265</t>
  </si>
  <si>
    <t>BIGLOTSDS,BLK01,FINGERHUTDS,JCPENNEY01,KOHLDSN,MACY02,OLLIIX,OVERSCONSIGN,TGTDVS</t>
  </si>
  <si>
    <t>5DS73-0200</t>
  </si>
  <si>
    <t>Big Bundle</t>
  </si>
  <si>
    <t>100% Cotton Quick Dry 12 Piece Bath Towel Set</t>
  </si>
  <si>
    <t>PP001159;PF006344</t>
  </si>
  <si>
    <t>12</t>
  </si>
  <si>
    <t>8/26/2024</t>
  </si>
  <si>
    <t>AAFESDS,BEALLSDS,BIGLOTSDS,BLK01,CSNSTORES,FINGERHUTDS,JCPENNEY01,KOHLDSN,MACY02,OLLIIX,OVERSTOCK01,TGTDVS,WALMARTDS</t>
  </si>
  <si>
    <t>4/20/2020</t>
  </si>
  <si>
    <t>5DS73-0217</t>
  </si>
  <si>
    <t>Beige</t>
  </si>
  <si>
    <t>PP001159;PF006347</t>
  </si>
  <si>
    <t>7/3/2019</t>
  </si>
  <si>
    <t>6/9/2024</t>
  </si>
  <si>
    <t>BIGLOTSDS,BLK01,CSNSTORES,FINGERHUTDS,JCPENNEY01,KIRKLANDDS,KOHLDSN,MACY02,OLLIIX,TGTDVS,WALMARTDS</t>
  </si>
  <si>
    <t>7/31/2019</t>
  </si>
  <si>
    <t>5DS73-0289</t>
  </si>
  <si>
    <t>PP001159;PF006348</t>
  </si>
  <si>
    <t>2/10/2024</t>
  </si>
  <si>
    <t>8/25/2024</t>
  </si>
  <si>
    <t>AMAZON,FINGERHUTDS,TGTDVS</t>
  </si>
  <si>
    <t>5DS73-0201</t>
  </si>
  <si>
    <t>PP001159;PF006346</t>
  </si>
  <si>
    <t>AAFESDS,AMAZONDS,BEALLSDS,BIGLOTSDS,BLK01,CSNSTORES,FINGERHUTDS,JCPENNEY01,KOHLDSN,MACY02,OLLIIX,OVERSTOCK01,TGTDVS</t>
  </si>
  <si>
    <t>11/21/2020</t>
  </si>
  <si>
    <t>5DS73-0202</t>
  </si>
  <si>
    <t>Indigo</t>
  </si>
  <si>
    <t>PP001159;PF006343</t>
  </si>
  <si>
    <t>AAFESDS,BEALLSDS,BLK01,CSNSTORES,FINGERHUTDS,JCPENNEY01,KOHLDSN,MACY02,OLLIIX,OVERSTOCK01,TGTDVS</t>
  </si>
  <si>
    <t>11/16/2020</t>
  </si>
  <si>
    <t>5DS73-0261</t>
  </si>
  <si>
    <t>PP001159;PF006345</t>
  </si>
  <si>
    <t>12/2/2022</t>
  </si>
  <si>
    <t>AMAZONDS,BLK01,FINGERHUTDS,JCPENNEY01,KOHLDSN,MACY02,TGTDVS</t>
  </si>
  <si>
    <t>MPE73-668</t>
  </si>
  <si>
    <t>Adrien</t>
  </si>
  <si>
    <t>Remy</t>
  </si>
  <si>
    <t>Roman</t>
  </si>
  <si>
    <t>Super Soft Cotton Quick Dry Bath Towel 6 Piece Set</t>
  </si>
  <si>
    <t>AMAZON,AMAZONDS,BEALLSDS,BIGLOTSDS,BLK01,CSNSTORES,JCPENNEY01,KOHLDSN,MACY02,OLLIIX,OVERSTOCK01,TGTDVS,WALMARTDS</t>
  </si>
  <si>
    <t>9/28/2018</t>
  </si>
  <si>
    <t>MPE73-788</t>
  </si>
  <si>
    <t>PP001058</t>
  </si>
  <si>
    <t>1/24/2019</t>
  </si>
  <si>
    <t>AMAZON,AMAZONDS,BIGLOTSDS,BLK01,CSNSTORES,HDDS,JCPENNEY01,KOHLDSN,MACY02,OVERSTOCK01,TGTDVS,WALMARTDS</t>
  </si>
  <si>
    <t>12/2/2019</t>
  </si>
  <si>
    <t>MPE73-664</t>
  </si>
  <si>
    <t>AMAZON,BEALLSDS,BIGLOTSDS,BLK01,CSNSTORES,JCPENNEY01,KOHLDSN,MACY02,OLLIIX,TGTDVS,WALMARTDS</t>
  </si>
  <si>
    <t>3/1/2018</t>
  </si>
  <si>
    <t>MPE73-1024</t>
  </si>
  <si>
    <t>PP001058;PF005959</t>
  </si>
  <si>
    <t>7/4/2023</t>
  </si>
  <si>
    <t>AMAZON,AMAZONDS,CSNSTORES,KOHLDSN,MACY02,OLLIIX,OVERSTOCK01,TGTDVS,ZOLA</t>
  </si>
  <si>
    <t>MPE73-667</t>
  </si>
  <si>
    <t>7/16/2024</t>
  </si>
  <si>
    <t>AMAZON,AMAZONDS,BEALLSDS,BIGLOTSDS,BLK01,CSNSTORES,JCPENNEY01,KOHLDSN,MACY02,OLLIIX,OVERSTOCK01,TGTDVS</t>
  </si>
  <si>
    <t>MPE73-665</t>
  </si>
  <si>
    <t>Dark Gray</t>
  </si>
  <si>
    <t>MPE73-662</t>
  </si>
  <si>
    <t>AMAZON,AMAZONDS,BEALLSDS,BLK01,CSNSTORES,JCPENNEY01,KOHLDSN,MACY02,OLLIIX,OVERSTOCK01,TGTDVS</t>
  </si>
  <si>
    <t>6/1/2018</t>
  </si>
  <si>
    <t>MPE73-1023</t>
  </si>
  <si>
    <t>PP001058;PF005958</t>
  </si>
  <si>
    <t>AMAZON,AMAZONDS,CSNSTORES,KOHLDSN,MACY02,OVERSTOCK01,TGTDVS,ZOLA</t>
  </si>
  <si>
    <t>BR73-3755</t>
  </si>
  <si>
    <t>Nuage</t>
  </si>
  <si>
    <t>Cotton Tencel Blend Antimicrobial 6 Piece Towel Set</t>
  </si>
  <si>
    <t>PP001792;PF005774</t>
  </si>
  <si>
    <t>11/22/2022</t>
  </si>
  <si>
    <t>7/26/2024</t>
  </si>
  <si>
    <t>BR73-3753</t>
  </si>
  <si>
    <t>PP001792;PF005772</t>
  </si>
  <si>
    <t>AMAZONDS,CSNSTORES,HDDS,JCPENNEY01,MACY02,OLLIIX,OVERSTOCK01,TGTDVS,ZOLA</t>
  </si>
  <si>
    <t>BR73-3750</t>
  </si>
  <si>
    <t>PP001792;PF005769</t>
  </si>
  <si>
    <t>AMAZONDS,BLK01,CSNSTORES,HDDS,JCPENNEY01,MACY02,OLLIIX,OVERSTOCK01,TGTDVS,ZOLA</t>
  </si>
  <si>
    <t>BR73-3752</t>
  </si>
  <si>
    <t>PP001792;PF005771</t>
  </si>
  <si>
    <t>BR73-3754</t>
  </si>
  <si>
    <t>PP001792;PF005773</t>
  </si>
  <si>
    <t>AMAZONDS,CSNSTORES,HDDS,JCPENNEY01,KOHLDSN,MACY02,OLLIIX,OVERSTOCK01,TGTDVS</t>
  </si>
  <si>
    <t>BR73-3751</t>
  </si>
  <si>
    <t>PP001792;PF005770</t>
  </si>
  <si>
    <t>AMAZONDS,BLK01,CSNSTORES,JCPENNEY01,KOHLDSN,MACY02,OLLIIX,OVERSTOCK01,TGTDVS,ZOLA</t>
  </si>
  <si>
    <t>BR73-2438</t>
  </si>
  <si>
    <t>100% Cotton Feather Touch Antimicrobial Towel 6 Piece Set</t>
  </si>
  <si>
    <t>PP001590;PF005339</t>
  </si>
  <si>
    <t>AMAZON,BEALLSDS,CSNSTORES,JCPENNEY01,KOHLDSN,MACY02,NORDSTRACKDS,OLLIIX,OVERSTOCK01,TGTDVS,ZOLA</t>
  </si>
  <si>
    <t>BR73-2440</t>
  </si>
  <si>
    <t>PP001590;PF005341</t>
  </si>
  <si>
    <t>BLK01,CSNSTORES,HDDS,JCPENNEY01,KOHLDSN,MACY02,OLLIIX,OVERSTOCK01,TGTDVS,ZOLA</t>
  </si>
  <si>
    <t>BR73-2439</t>
  </si>
  <si>
    <t>AMAZON,CSNSTORES,HDDS,JCPENNEY01,KOHLDSN,MACY02,NORDSTRACKDS,OLLIIX,OVERSTOCK01,TGTDVS,ZOLA</t>
  </si>
  <si>
    <t>BR73-2436</t>
  </si>
  <si>
    <t>BR73-4070</t>
  </si>
  <si>
    <t>PP001590;PF005957</t>
  </si>
  <si>
    <t>6/27/2023</t>
  </si>
  <si>
    <t>AMAZON,AMAZONDS,CSNSTORES,KOHLDSN,MACY02,OLLIIX,TGTDVS,ZOLA</t>
  </si>
  <si>
    <t>BR73-2437</t>
  </si>
  <si>
    <t>PP001590;PF005338</t>
  </si>
  <si>
    <t>AMAZON,AMAZONDS,BEALLSDS,CSNSTORES,HDDS,JCPENNEY01,KOHLDSN,MACY02,OLLIIX,OVERSTOCK01,ZOLA</t>
  </si>
  <si>
    <t>BR73-2435</t>
  </si>
  <si>
    <t>AAFESDS,AMAZON,BEALLSDS,BLK01,HDDS,HOUZZ,JCPENNEY01,KOHLDSN,MACY02,OLLIIX,OVERSTOCK01,TGTDVS,ZOLA</t>
  </si>
  <si>
    <t>LCN73-0132</t>
  </si>
  <si>
    <t>Clean Spaces</t>
  </si>
  <si>
    <t>Nurture</t>
  </si>
  <si>
    <t>Sustainable Antimicrobial Bath Towel 6 Piece Set</t>
  </si>
  <si>
    <t>PP001624;PF005453</t>
  </si>
  <si>
    <t>9/6/2021</t>
  </si>
  <si>
    <t>JCPENNEY01,KOHLDSN,MACY02,OLLIIX,OVERSTOCK01,TGTDVS,ZOLA</t>
  </si>
  <si>
    <t>LCN73-0130</t>
  </si>
  <si>
    <t>PP001624;PF005451</t>
  </si>
  <si>
    <t>JCPENNEY01,KOHLDSN,MACY02,OVERSTOCK01,TGTDVS,ZOLA</t>
  </si>
  <si>
    <t>LCN73-0131</t>
  </si>
  <si>
    <t>PP001624;PF005452</t>
  </si>
  <si>
    <t>LCN73-0129</t>
  </si>
  <si>
    <t>PP001624;PF005450</t>
  </si>
  <si>
    <t>CSNSTORES,JCPENNEY01,KOHLDSN,MACY02,OLLIIX,OVERSTOCK01,TGTDVS,ZOLA</t>
  </si>
  <si>
    <t>CS73-1376</t>
  </si>
  <si>
    <t>Turkish AZ</t>
  </si>
  <si>
    <t>100% Aegean Turkish Cotton 6pc Towel Set</t>
  </si>
  <si>
    <t>27x52"</t>
  </si>
  <si>
    <t>II73-1255</t>
  </si>
  <si>
    <t>Atlas</t>
  </si>
  <si>
    <t>Rhett</t>
  </si>
  <si>
    <t>Cotton Dobby Slub 6 Piece Towel Set</t>
  </si>
  <si>
    <t>PP001772;PF005718</t>
  </si>
  <si>
    <t>8/5/2022</t>
  </si>
  <si>
    <t>AMAZONDS,JCPENNEY01,KOHLDSN,MACY02,OLLIIX,OVERSTOCK01,TGTDVS</t>
  </si>
  <si>
    <t>II73-1254</t>
  </si>
  <si>
    <t>PP001772;PF005717</t>
  </si>
  <si>
    <t>AMAZONDS,JCPENNEY01,KOHLDSN,MACY02,OLLIIX,OVERSTOCK01,TGTDVS,ZOLA</t>
  </si>
  <si>
    <t>II73-1256</t>
  </si>
  <si>
    <t>PP001772;PF005719</t>
  </si>
  <si>
    <t>II73-1252</t>
  </si>
  <si>
    <t>PP001772;PF005720</t>
  </si>
  <si>
    <t>II73-1253</t>
  </si>
  <si>
    <t>PP001772;PF005716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</si>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</sst>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15.84</v>
      </c>
      <c r="M6" s="3">
        <v>16.63</v>
      </c>
      <c r="N6" s="3">
        <v>34.99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2634</v>
      </c>
      <c r="AA6" s="4">
        <f>=ROUNDDOWN(50.6538461538462,0)</f>
      </c>
      <c r="AB6" s="5">
        <v>52</v>
      </c>
      <c r="AC6" s="2" t="s">
        <v>100</v>
      </c>
      <c r="AD6" s="4"/>
      <c r="AE6" s="4"/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19</v>
      </c>
      <c r="AQ6" s="8">
        <v>362.14</v>
      </c>
      <c r="AR6" s="4"/>
      <c r="AS6" s="8"/>
      <c r="AT6" s="7"/>
      <c r="AU6" s="7"/>
      <c r="AV6" s="4">
        <v>19</v>
      </c>
      <c r="AW6" s="8">
        <v>362.14</v>
      </c>
      <c r="AX6" s="4"/>
      <c r="AY6" s="8"/>
      <c r="AZ6" s="7"/>
      <c r="BA6" s="7"/>
      <c r="BB6" s="7">
        <v>1</v>
      </c>
      <c r="BC6" s="4">
        <v>35</v>
      </c>
      <c r="BD6" s="8">
        <v>667.03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0.5429</v>
      </c>
      <c r="BJ6" s="4">
        <v>659</v>
      </c>
      <c r="BK6" s="8">
        <v>12496.96</v>
      </c>
      <c r="BL6" s="2" t="s">
        <v>105</v>
      </c>
      <c r="BM6" s="7">
        <v>0.0288</v>
      </c>
      <c r="BN6" s="7">
        <v>0.029</v>
      </c>
      <c r="BO6" s="4">
        <v>19</v>
      </c>
      <c r="BP6" s="8">
        <v>362.14</v>
      </c>
      <c r="BQ6" s="4"/>
      <c r="BR6" s="8"/>
      <c r="BS6" s="7"/>
      <c r="BT6" s="7"/>
      <c r="BU6" s="2" t="s">
        <v>106</v>
      </c>
      <c r="BV6" s="2" t="s">
        <v>97</v>
      </c>
      <c r="BW6" s="2" t="s">
        <v>107</v>
      </c>
      <c r="BX6" s="2" t="s">
        <v>108</v>
      </c>
      <c r="BY6" s="2" t="s">
        <v>109</v>
      </c>
      <c r="BZ6" s="2" t="s">
        <v>110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15.84</v>
      </c>
      <c r="M7" s="3">
        <v>16.63</v>
      </c>
      <c r="N7" s="3">
        <v>34.99</v>
      </c>
      <c r="O7" s="2" t="s">
        <v>97</v>
      </c>
      <c r="P7" s="2" t="s">
        <v>113</v>
      </c>
      <c r="Q7" s="2" t="s">
        <v>99</v>
      </c>
      <c r="R7" s="2" t="s">
        <v>100</v>
      </c>
      <c r="S7" s="2" t="s">
        <v>114</v>
      </c>
      <c r="T7" s="2" t="s">
        <v>100</v>
      </c>
      <c r="U7" s="2" t="s">
        <v>100</v>
      </c>
      <c r="V7" s="2" t="s">
        <v>102</v>
      </c>
      <c r="W7" s="2" t="s">
        <v>103</v>
      </c>
      <c r="X7" s="2" t="s">
        <v>100</v>
      </c>
      <c r="Y7" s="2" t="s">
        <v>104</v>
      </c>
      <c r="Z7" s="4">
        <v>601</v>
      </c>
      <c r="AA7" s="4">
        <f>=ROUNDDOWN(27.3181818181818,0)</f>
      </c>
      <c r="AB7" s="5">
        <v>22</v>
      </c>
      <c r="AC7" s="2" t="s">
        <v>100</v>
      </c>
      <c r="AD7" s="4"/>
      <c r="AE7" s="4"/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8</v>
      </c>
      <c r="AQ7" s="8">
        <v>152.48</v>
      </c>
      <c r="AR7" s="4"/>
      <c r="AS7" s="8"/>
      <c r="AT7" s="7"/>
      <c r="AU7" s="7"/>
      <c r="AV7" s="4">
        <v>8</v>
      </c>
      <c r="AW7" s="8">
        <v>152.48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0.2286</v>
      </c>
      <c r="BJ7" s="4">
        <v>266</v>
      </c>
      <c r="BK7" s="8">
        <v>5070.71</v>
      </c>
      <c r="BL7" s="2" t="s">
        <v>115</v>
      </c>
      <c r="BM7" s="7">
        <v>0.0301</v>
      </c>
      <c r="BN7" s="7">
        <v>0.0301</v>
      </c>
      <c r="BO7" s="4">
        <v>8</v>
      </c>
      <c r="BP7" s="8">
        <v>152.48</v>
      </c>
      <c r="BQ7" s="4"/>
      <c r="BR7" s="8"/>
      <c r="BS7" s="7"/>
      <c r="BT7" s="7"/>
      <c r="BU7" s="2" t="s">
        <v>106</v>
      </c>
      <c r="BV7" s="2" t="s">
        <v>97</v>
      </c>
      <c r="BW7" s="2" t="s">
        <v>107</v>
      </c>
      <c r="BX7" s="2" t="s">
        <v>116</v>
      </c>
      <c r="BY7" s="2" t="s">
        <v>109</v>
      </c>
      <c r="BZ7" s="2" t="s">
        <v>110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118</v>
      </c>
      <c r="L8" s="3">
        <v>15.84</v>
      </c>
      <c r="M8" s="3">
        <v>16.63</v>
      </c>
      <c r="N8" s="3">
        <v>34.99</v>
      </c>
      <c r="O8" s="2" t="s">
        <v>97</v>
      </c>
      <c r="P8" s="2" t="s">
        <v>113</v>
      </c>
      <c r="Q8" s="2" t="s">
        <v>99</v>
      </c>
      <c r="R8" s="2" t="s">
        <v>100</v>
      </c>
      <c r="S8" s="2" t="s">
        <v>119</v>
      </c>
      <c r="T8" s="2" t="s">
        <v>100</v>
      </c>
      <c r="U8" s="2" t="s">
        <v>100</v>
      </c>
      <c r="V8" s="2" t="s">
        <v>102</v>
      </c>
      <c r="W8" s="2" t="s">
        <v>103</v>
      </c>
      <c r="X8" s="2" t="s">
        <v>100</v>
      </c>
      <c r="Y8" s="2" t="s">
        <v>104</v>
      </c>
      <c r="Z8" s="4">
        <v>353</v>
      </c>
      <c r="AA8" s="4">
        <f>=ROUNDDOWN(10.6969696969697,0)</f>
      </c>
      <c r="AB8" s="5">
        <v>33</v>
      </c>
      <c r="AC8" s="2" t="s">
        <v>120</v>
      </c>
      <c r="AD8" s="4">
        <v>660</v>
      </c>
      <c r="AE8" s="4">
        <v>860</v>
      </c>
      <c r="AF8" s="6">
        <v>64</v>
      </c>
      <c r="AG8" s="6"/>
      <c r="AH8" s="7">
        <v>0.9737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</v>
      </c>
      <c r="AQ8" s="8">
        <v>133.35</v>
      </c>
      <c r="AR8" s="4"/>
      <c r="AS8" s="8"/>
      <c r="AT8" s="7"/>
      <c r="AU8" s="7"/>
      <c r="AV8" s="4">
        <v>7</v>
      </c>
      <c r="AW8" s="8">
        <v>133.35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0.1999</v>
      </c>
      <c r="BJ8" s="4">
        <v>512</v>
      </c>
      <c r="BK8" s="8">
        <v>9853.54</v>
      </c>
      <c r="BL8" s="2" t="s">
        <v>121</v>
      </c>
      <c r="BM8" s="7">
        <v>0.0137</v>
      </c>
      <c r="BN8" s="7">
        <v>0.0135</v>
      </c>
      <c r="BO8" s="4">
        <v>7</v>
      </c>
      <c r="BP8" s="8">
        <v>133.35</v>
      </c>
      <c r="BQ8" s="4"/>
      <c r="BR8" s="8"/>
      <c r="BS8" s="7"/>
      <c r="BT8" s="7"/>
      <c r="BU8" s="2" t="s">
        <v>106</v>
      </c>
      <c r="BV8" s="2" t="s">
        <v>97</v>
      </c>
      <c r="BW8" s="2" t="s">
        <v>122</v>
      </c>
      <c r="BX8" s="2" t="s">
        <v>123</v>
      </c>
      <c r="BY8" s="2" t="s">
        <v>109</v>
      </c>
      <c r="BZ8" s="2" t="s">
        <v>110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15.84</v>
      </c>
      <c r="M9" s="3">
        <v>16.63</v>
      </c>
      <c r="N9" s="3">
        <v>34.99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100</v>
      </c>
      <c r="U9" s="2" t="s">
        <v>100</v>
      </c>
      <c r="V9" s="2" t="s">
        <v>102</v>
      </c>
      <c r="W9" s="2" t="s">
        <v>103</v>
      </c>
      <c r="X9" s="2" t="s">
        <v>100</v>
      </c>
      <c r="Y9" s="2" t="s">
        <v>128</v>
      </c>
      <c r="Z9" s="4">
        <v>155</v>
      </c>
      <c r="AA9" s="4">
        <f>=ROUNDDOWN(9.6875,0)</f>
      </c>
      <c r="AB9" s="5">
        <v>16</v>
      </c>
      <c r="AC9" s="2" t="s">
        <v>120</v>
      </c>
      <c r="AD9" s="4">
        <v>300</v>
      </c>
      <c r="AE9" s="4">
        <v>440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19.06</v>
      </c>
      <c r="AR9" s="4"/>
      <c r="AS9" s="8"/>
      <c r="AT9" s="7"/>
      <c r="AU9" s="7"/>
      <c r="AV9" s="4">
        <v>1</v>
      </c>
      <c r="AW9" s="8">
        <v>19.06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0.0286</v>
      </c>
      <c r="BJ9" s="4">
        <v>234</v>
      </c>
      <c r="BK9" s="8">
        <v>4575.96</v>
      </c>
      <c r="BL9" s="2" t="s">
        <v>129</v>
      </c>
      <c r="BM9" s="7">
        <v>0.0043</v>
      </c>
      <c r="BN9" s="7">
        <v>0.0042</v>
      </c>
      <c r="BO9" s="4">
        <v>1</v>
      </c>
      <c r="BP9" s="8">
        <v>19.06</v>
      </c>
      <c r="BQ9" s="4"/>
      <c r="BR9" s="8"/>
      <c r="BS9" s="7"/>
      <c r="BT9" s="7"/>
      <c r="BU9" s="2" t="s">
        <v>106</v>
      </c>
      <c r="BV9" s="2" t="s">
        <v>97</v>
      </c>
      <c r="BW9" s="2" t="s">
        <v>130</v>
      </c>
      <c r="BX9" s="2" t="s">
        <v>131</v>
      </c>
      <c r="BY9" s="2" t="s">
        <v>109</v>
      </c>
      <c r="BZ9" s="2" t="s">
        <v>110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133</v>
      </c>
      <c r="L10" s="3">
        <v>15.84</v>
      </c>
      <c r="M10" s="3">
        <v>16.63</v>
      </c>
      <c r="N10" s="3">
        <v>34.99</v>
      </c>
      <c r="O10" s="2" t="s">
        <v>97</v>
      </c>
      <c r="P10" s="2" t="s">
        <v>134</v>
      </c>
      <c r="Q10" s="2" t="s">
        <v>99</v>
      </c>
      <c r="R10" s="2" t="s">
        <v>100</v>
      </c>
      <c r="S10" s="2" t="s">
        <v>135</v>
      </c>
      <c r="T10" s="2" t="s">
        <v>100</v>
      </c>
      <c r="U10" s="2" t="s">
        <v>100</v>
      </c>
      <c r="V10" s="2" t="s">
        <v>102</v>
      </c>
      <c r="W10" s="2" t="s">
        <v>103</v>
      </c>
      <c r="X10" s="2" t="s">
        <v>100</v>
      </c>
      <c r="Y10" s="2" t="s">
        <v>104</v>
      </c>
      <c r="Z10" s="4">
        <v>38</v>
      </c>
      <c r="AA10" s="4">
        <f>=ROUNDDOWN(1.98952879581152,0)</f>
      </c>
      <c r="AB10" s="5">
        <v>19.1</v>
      </c>
      <c r="AC10" s="2" t="s">
        <v>100</v>
      </c>
      <c r="AD10" s="4"/>
      <c r="AE10" s="4"/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/>
      <c r="BJ10" s="4">
        <v>462</v>
      </c>
      <c r="BK10" s="8">
        <v>8933.17</v>
      </c>
      <c r="BL10" s="2" t="s">
        <v>136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97</v>
      </c>
      <c r="BW10" s="2" t="s">
        <v>107</v>
      </c>
      <c r="BX10" s="2" t="s">
        <v>137</v>
      </c>
      <c r="BY10" s="2" t="s">
        <v>109</v>
      </c>
      <c r="BZ10" s="2" t="s">
        <v>110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95</v>
      </c>
      <c r="K11" s="2" t="s">
        <v>139</v>
      </c>
      <c r="L11" s="3">
        <v>15.84</v>
      </c>
      <c r="M11" s="3">
        <v>16.63</v>
      </c>
      <c r="N11" s="3">
        <v>34.99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140</v>
      </c>
      <c r="T11" s="2" t="s">
        <v>100</v>
      </c>
      <c r="U11" s="2" t="s">
        <v>100</v>
      </c>
      <c r="V11" s="2" t="s">
        <v>102</v>
      </c>
      <c r="W11" s="2" t="s">
        <v>103</v>
      </c>
      <c r="X11" s="2" t="s">
        <v>100</v>
      </c>
      <c r="Y11" s="2" t="s">
        <v>104</v>
      </c>
      <c r="Z11" s="4">
        <v>639</v>
      </c>
      <c r="AA11" s="4">
        <f>=ROUNDDOWN(26.625,0)</f>
      </c>
      <c r="AB11" s="5">
        <v>24</v>
      </c>
      <c r="AC11" s="2" t="s">
        <v>100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/>
      <c r="BJ11" s="4">
        <v>364</v>
      </c>
      <c r="BK11" s="8">
        <v>6878.57</v>
      </c>
      <c r="BL11" s="2" t="s">
        <v>141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97</v>
      </c>
      <c r="BW11" s="2" t="s">
        <v>122</v>
      </c>
      <c r="BX11" s="2" t="s">
        <v>142</v>
      </c>
      <c r="BY11" s="2" t="s">
        <v>109</v>
      </c>
      <c r="BZ11" s="2" t="s">
        <v>110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144</v>
      </c>
      <c r="G12" s="2" t="s">
        <v>145</v>
      </c>
      <c r="H12" s="2" t="s">
        <v>146</v>
      </c>
      <c r="I12" s="2" t="s">
        <v>147</v>
      </c>
      <c r="J12" s="2" t="s">
        <v>95</v>
      </c>
      <c r="K12" s="2" t="s">
        <v>118</v>
      </c>
      <c r="L12" s="3">
        <v>16.28</v>
      </c>
      <c r="M12" s="3">
        <v>17.09</v>
      </c>
      <c r="N12" s="3">
        <v>36.99</v>
      </c>
      <c r="O12" s="2" t="s">
        <v>97</v>
      </c>
      <c r="P12" s="2" t="s">
        <v>126</v>
      </c>
      <c r="Q12" s="2" t="s">
        <v>99</v>
      </c>
      <c r="R12" s="2" t="s">
        <v>100</v>
      </c>
      <c r="S12" s="2" t="s">
        <v>148</v>
      </c>
      <c r="T12" s="2" t="s">
        <v>100</v>
      </c>
      <c r="U12" s="2" t="s">
        <v>100</v>
      </c>
      <c r="V12" s="2" t="s">
        <v>149</v>
      </c>
      <c r="W12" s="2" t="s">
        <v>150</v>
      </c>
      <c r="X12" s="2" t="s">
        <v>100</v>
      </c>
      <c r="Y12" s="2" t="s">
        <v>104</v>
      </c>
      <c r="Z12" s="4">
        <v>117</v>
      </c>
      <c r="AA12" s="4">
        <f>=ROUNDDOWN(2.4375,0)</f>
      </c>
      <c r="AB12" s="5">
        <v>48</v>
      </c>
      <c r="AC12" s="2" t="s">
        <v>151</v>
      </c>
      <c r="AD12" s="4">
        <v>600</v>
      </c>
      <c r="AE12" s="4">
        <v>1500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31</v>
      </c>
      <c r="AQ12" s="8">
        <v>551.49</v>
      </c>
      <c r="AR12" s="4"/>
      <c r="AS12" s="8"/>
      <c r="AT12" s="7"/>
      <c r="AU12" s="7"/>
      <c r="AV12" s="4">
        <v>31</v>
      </c>
      <c r="AW12" s="8">
        <v>551.49</v>
      </c>
      <c r="AX12" s="4"/>
      <c r="AY12" s="8"/>
      <c r="AZ12" s="7"/>
      <c r="BA12" s="7"/>
      <c r="BB12" s="7">
        <v>1</v>
      </c>
      <c r="BC12" s="4">
        <v>31</v>
      </c>
      <c r="BD12" s="8">
        <v>551.49</v>
      </c>
      <c r="BE12" s="4"/>
      <c r="BF12" s="8"/>
      <c r="BG12" s="7"/>
      <c r="BH12" s="7"/>
      <c r="BI12" s="7">
        <v>1</v>
      </c>
      <c r="BJ12" s="4">
        <v>647</v>
      </c>
      <c r="BK12" s="8">
        <v>11520.36</v>
      </c>
      <c r="BL12" s="2" t="s">
        <v>152</v>
      </c>
      <c r="BM12" s="7">
        <v>0.0479</v>
      </c>
      <c r="BN12" s="7">
        <v>0.0479</v>
      </c>
      <c r="BO12" s="4">
        <v>31</v>
      </c>
      <c r="BP12" s="8">
        <v>551.49</v>
      </c>
      <c r="BQ12" s="4"/>
      <c r="BR12" s="8"/>
      <c r="BS12" s="7"/>
      <c r="BT12" s="7"/>
      <c r="BU12" s="2" t="s">
        <v>106</v>
      </c>
      <c r="BV12" s="2" t="s">
        <v>97</v>
      </c>
      <c r="BW12" s="2" t="s">
        <v>153</v>
      </c>
      <c r="BX12" s="2" t="s">
        <v>154</v>
      </c>
      <c r="BY12" s="2" t="s">
        <v>109</v>
      </c>
      <c r="BZ12" s="2" t="s">
        <v>110</v>
      </c>
    </row>
    <row r="13">
      <c r="A13" s="2" t="s">
        <v>155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156</v>
      </c>
      <c r="G13" s="2" t="s">
        <v>157</v>
      </c>
      <c r="H13" s="2" t="s">
        <v>158</v>
      </c>
      <c r="I13" s="2" t="s">
        <v>159</v>
      </c>
      <c r="J13" s="2" t="s">
        <v>95</v>
      </c>
      <c r="K13" s="2" t="s">
        <v>160</v>
      </c>
      <c r="L13" s="3">
        <v>13.2</v>
      </c>
      <c r="M13" s="3">
        <v>13.86</v>
      </c>
      <c r="N13" s="3">
        <v>29.99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161</v>
      </c>
      <c r="T13" s="2" t="s">
        <v>100</v>
      </c>
      <c r="U13" s="2" t="s">
        <v>100</v>
      </c>
      <c r="V13" s="2" t="s">
        <v>102</v>
      </c>
      <c r="W13" s="2" t="s">
        <v>103</v>
      </c>
      <c r="X13" s="2" t="s">
        <v>100</v>
      </c>
      <c r="Y13" s="2" t="s">
        <v>162</v>
      </c>
      <c r="Z13" s="4">
        <v>5233</v>
      </c>
      <c r="AA13" s="4">
        <f>=ROUNDDOWN(25.1586538461538,0)</f>
      </c>
      <c r="AB13" s="5">
        <v>208</v>
      </c>
      <c r="AC13" s="2" t="s">
        <v>120</v>
      </c>
      <c r="AD13" s="4">
        <v>900</v>
      </c>
      <c r="AE13" s="4">
        <v>1900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26</v>
      </c>
      <c r="AQ13" s="8">
        <v>375.18</v>
      </c>
      <c r="AR13" s="4"/>
      <c r="AS13" s="8"/>
      <c r="AT13" s="7"/>
      <c r="AU13" s="7"/>
      <c r="AV13" s="4">
        <v>26</v>
      </c>
      <c r="AW13" s="8">
        <v>375.18</v>
      </c>
      <c r="AX13" s="4"/>
      <c r="AY13" s="8"/>
      <c r="AZ13" s="7"/>
      <c r="BA13" s="7"/>
      <c r="BB13" s="7">
        <v>1</v>
      </c>
      <c r="BC13" s="4">
        <v>26</v>
      </c>
      <c r="BD13" s="8">
        <v>375.18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1</v>
      </c>
      <c r="BJ13" s="4">
        <v>2597</v>
      </c>
      <c r="BK13" s="8">
        <v>39042.4</v>
      </c>
      <c r="BL13" s="2" t="s">
        <v>163</v>
      </c>
      <c r="BM13" s="7">
        <v>0.01</v>
      </c>
      <c r="BN13" s="7">
        <v>0.0096</v>
      </c>
      <c r="BO13" s="4">
        <v>26</v>
      </c>
      <c r="BP13" s="8">
        <v>375.18</v>
      </c>
      <c r="BQ13" s="4"/>
      <c r="BR13" s="8"/>
      <c r="BS13" s="7"/>
      <c r="BT13" s="7"/>
      <c r="BU13" s="2" t="s">
        <v>106</v>
      </c>
      <c r="BV13" s="2" t="s">
        <v>97</v>
      </c>
      <c r="BW13" s="2" t="s">
        <v>122</v>
      </c>
      <c r="BX13" s="2" t="s">
        <v>164</v>
      </c>
      <c r="BY13" s="2" t="s">
        <v>109</v>
      </c>
      <c r="BZ13" s="2" t="s">
        <v>110</v>
      </c>
    </row>
    <row r="14">
      <c r="A14" s="2" t="s">
        <v>165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156</v>
      </c>
      <c r="G14" s="2" t="s">
        <v>157</v>
      </c>
      <c r="H14" s="2" t="s">
        <v>158</v>
      </c>
      <c r="I14" s="2" t="s">
        <v>159</v>
      </c>
      <c r="J14" s="2" t="s">
        <v>95</v>
      </c>
      <c r="K14" s="2" t="s">
        <v>96</v>
      </c>
      <c r="L14" s="3">
        <v>13.2</v>
      </c>
      <c r="M14" s="3">
        <v>13.86</v>
      </c>
      <c r="N14" s="3">
        <v>29.99</v>
      </c>
      <c r="O14" s="2" t="s">
        <v>97</v>
      </c>
      <c r="P14" s="2" t="s">
        <v>126</v>
      </c>
      <c r="Q14" s="2" t="s">
        <v>99</v>
      </c>
      <c r="R14" s="2" t="s">
        <v>100</v>
      </c>
      <c r="S14" s="2" t="s">
        <v>166</v>
      </c>
      <c r="T14" s="2" t="s">
        <v>100</v>
      </c>
      <c r="U14" s="2" t="s">
        <v>100</v>
      </c>
      <c r="V14" s="2" t="s">
        <v>102</v>
      </c>
      <c r="W14" s="2" t="s">
        <v>103</v>
      </c>
      <c r="X14" s="2" t="s">
        <v>100</v>
      </c>
      <c r="Y14" s="2" t="s">
        <v>104</v>
      </c>
      <c r="Z14" s="4">
        <v>554</v>
      </c>
      <c r="AA14" s="4">
        <f>=ROUNDDOWN(32.5882352941176,0)</f>
      </c>
      <c r="AB14" s="5">
        <v>17</v>
      </c>
      <c r="AC14" s="2" t="s">
        <v>100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/>
      <c r="BJ14" s="4">
        <v>300</v>
      </c>
      <c r="BK14" s="8">
        <v>4470.83</v>
      </c>
      <c r="BL14" s="2" t="s">
        <v>167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97</v>
      </c>
      <c r="BW14" s="2" t="s">
        <v>107</v>
      </c>
      <c r="BX14" s="2" t="s">
        <v>168</v>
      </c>
      <c r="BY14" s="2" t="s">
        <v>109</v>
      </c>
      <c r="BZ14" s="2" t="s">
        <v>110</v>
      </c>
    </row>
    <row r="15">
      <c r="A15" s="2" t="s">
        <v>169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170</v>
      </c>
      <c r="G15" s="2" t="s">
        <v>171</v>
      </c>
      <c r="H15" s="2" t="s">
        <v>172</v>
      </c>
      <c r="I15" s="2" t="s">
        <v>173</v>
      </c>
      <c r="J15" s="2" t="s">
        <v>95</v>
      </c>
      <c r="K15" s="2" t="s">
        <v>174</v>
      </c>
      <c r="L15" s="3">
        <v>13.2</v>
      </c>
      <c r="M15" s="3">
        <v>13.86</v>
      </c>
      <c r="N15" s="3">
        <v>29.99</v>
      </c>
      <c r="O15" s="2" t="s">
        <v>97</v>
      </c>
      <c r="P15" s="2" t="s">
        <v>175</v>
      </c>
      <c r="Q15" s="2" t="s">
        <v>99</v>
      </c>
      <c r="R15" s="2" t="s">
        <v>100</v>
      </c>
      <c r="S15" s="2" t="s">
        <v>176</v>
      </c>
      <c r="T15" s="2" t="s">
        <v>100</v>
      </c>
      <c r="U15" s="2" t="s">
        <v>100</v>
      </c>
      <c r="V15" s="2" t="s">
        <v>177</v>
      </c>
      <c r="W15" s="2" t="s">
        <v>178</v>
      </c>
      <c r="X15" s="2" t="s">
        <v>100</v>
      </c>
      <c r="Y15" s="2" t="s">
        <v>104</v>
      </c>
      <c r="Z15" s="4">
        <v>814</v>
      </c>
      <c r="AA15" s="4">
        <f>=ROUNDDOWN(18.9302325581395,0)</f>
      </c>
      <c r="AB15" s="5">
        <v>43</v>
      </c>
      <c r="AC15" s="2" t="s">
        <v>179</v>
      </c>
      <c r="AD15" s="4">
        <v>102</v>
      </c>
      <c r="AE15" s="4">
        <v>894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14</v>
      </c>
      <c r="AQ15" s="8">
        <v>202.02</v>
      </c>
      <c r="AR15" s="4"/>
      <c r="AS15" s="8"/>
      <c r="AT15" s="7"/>
      <c r="AU15" s="7"/>
      <c r="AV15" s="4">
        <v>14</v>
      </c>
      <c r="AW15" s="8">
        <v>202.02</v>
      </c>
      <c r="AX15" s="4"/>
      <c r="AY15" s="8"/>
      <c r="AZ15" s="7"/>
      <c r="BA15" s="7"/>
      <c r="BB15" s="7">
        <v>1</v>
      </c>
      <c r="BC15" s="4">
        <v>23</v>
      </c>
      <c r="BD15" s="8">
        <v>331.89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0.6087</v>
      </c>
      <c r="BJ15" s="4">
        <v>540</v>
      </c>
      <c r="BK15" s="8">
        <v>8080.73</v>
      </c>
      <c r="BL15" s="2" t="s">
        <v>180</v>
      </c>
      <c r="BM15" s="7">
        <v>0.0259</v>
      </c>
      <c r="BN15" s="7">
        <v>0.025</v>
      </c>
      <c r="BO15" s="4">
        <v>14</v>
      </c>
      <c r="BP15" s="8">
        <v>202.02</v>
      </c>
      <c r="BQ15" s="4"/>
      <c r="BR15" s="8"/>
      <c r="BS15" s="7"/>
      <c r="BT15" s="7"/>
      <c r="BU15" s="2" t="s">
        <v>106</v>
      </c>
      <c r="BV15" s="2" t="s">
        <v>97</v>
      </c>
      <c r="BW15" s="2" t="s">
        <v>122</v>
      </c>
      <c r="BX15" s="2" t="s">
        <v>181</v>
      </c>
      <c r="BY15" s="2" t="s">
        <v>109</v>
      </c>
      <c r="BZ15" s="2" t="s">
        <v>110</v>
      </c>
    </row>
    <row r="16">
      <c r="A16" s="2" t="s">
        <v>182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170</v>
      </c>
      <c r="G16" s="2" t="s">
        <v>171</v>
      </c>
      <c r="H16" s="2" t="s">
        <v>172</v>
      </c>
      <c r="I16" s="2" t="s">
        <v>173</v>
      </c>
      <c r="J16" s="2" t="s">
        <v>95</v>
      </c>
      <c r="K16" s="2" t="s">
        <v>183</v>
      </c>
      <c r="L16" s="3">
        <v>13.2</v>
      </c>
      <c r="M16" s="3">
        <v>13.86</v>
      </c>
      <c r="N16" s="3">
        <v>29.99</v>
      </c>
      <c r="O16" s="2" t="s">
        <v>97</v>
      </c>
      <c r="P16" s="2" t="s">
        <v>126</v>
      </c>
      <c r="Q16" s="2" t="s">
        <v>99</v>
      </c>
      <c r="R16" s="2" t="s">
        <v>100</v>
      </c>
      <c r="S16" s="2" t="s">
        <v>184</v>
      </c>
      <c r="T16" s="2" t="s">
        <v>100</v>
      </c>
      <c r="U16" s="2" t="s">
        <v>100</v>
      </c>
      <c r="V16" s="2" t="s">
        <v>177</v>
      </c>
      <c r="W16" s="2" t="s">
        <v>178</v>
      </c>
      <c r="X16" s="2" t="s">
        <v>100</v>
      </c>
      <c r="Y16" s="2" t="s">
        <v>104</v>
      </c>
      <c r="Z16" s="4">
        <v>334</v>
      </c>
      <c r="AA16" s="4">
        <f>=ROUNDDOWN(9.54285714285714,0)</f>
      </c>
      <c r="AB16" s="5">
        <v>35</v>
      </c>
      <c r="AC16" s="2" t="s">
        <v>179</v>
      </c>
      <c r="AD16" s="4">
        <v>120</v>
      </c>
      <c r="AE16" s="4">
        <v>690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5</v>
      </c>
      <c r="AQ16" s="8">
        <v>72.15</v>
      </c>
      <c r="AR16" s="4"/>
      <c r="AS16" s="8"/>
      <c r="AT16" s="7"/>
      <c r="AU16" s="7"/>
      <c r="AV16" s="4">
        <v>5</v>
      </c>
      <c r="AW16" s="8">
        <v>72.15</v>
      </c>
      <c r="AX16" s="4"/>
      <c r="AY16" s="8"/>
      <c r="AZ16" s="7"/>
      <c r="BA16" s="7"/>
      <c r="BB16" s="7">
        <v>1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0.2174</v>
      </c>
      <c r="BJ16" s="4">
        <v>470</v>
      </c>
      <c r="BK16" s="8">
        <v>6975.94</v>
      </c>
      <c r="BL16" s="2" t="s">
        <v>185</v>
      </c>
      <c r="BM16" s="7">
        <v>0.0106</v>
      </c>
      <c r="BN16" s="7">
        <v>0.0103</v>
      </c>
      <c r="BO16" s="4">
        <v>5</v>
      </c>
      <c r="BP16" s="8">
        <v>72.15</v>
      </c>
      <c r="BQ16" s="4"/>
      <c r="BR16" s="8"/>
      <c r="BS16" s="7"/>
      <c r="BT16" s="7"/>
      <c r="BU16" s="2" t="s">
        <v>106</v>
      </c>
      <c r="BV16" s="2" t="s">
        <v>97</v>
      </c>
      <c r="BW16" s="2" t="s">
        <v>122</v>
      </c>
      <c r="BX16" s="2" t="s">
        <v>186</v>
      </c>
      <c r="BY16" s="2" t="s">
        <v>109</v>
      </c>
      <c r="BZ16" s="2" t="s">
        <v>110</v>
      </c>
    </row>
    <row r="17">
      <c r="A17" s="2" t="s">
        <v>187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170</v>
      </c>
      <c r="G17" s="2" t="s">
        <v>171</v>
      </c>
      <c r="H17" s="2" t="s">
        <v>172</v>
      </c>
      <c r="I17" s="2" t="s">
        <v>173</v>
      </c>
      <c r="J17" s="2" t="s">
        <v>95</v>
      </c>
      <c r="K17" s="2" t="s">
        <v>188</v>
      </c>
      <c r="L17" s="3">
        <v>13.2</v>
      </c>
      <c r="M17" s="3">
        <v>13.86</v>
      </c>
      <c r="N17" s="3">
        <v>29.99</v>
      </c>
      <c r="O17" s="2" t="s">
        <v>97</v>
      </c>
      <c r="P17" s="2" t="s">
        <v>126</v>
      </c>
      <c r="Q17" s="2" t="s">
        <v>99</v>
      </c>
      <c r="R17" s="2" t="s">
        <v>100</v>
      </c>
      <c r="S17" s="2" t="s">
        <v>189</v>
      </c>
      <c r="T17" s="2" t="s">
        <v>100</v>
      </c>
      <c r="U17" s="2" t="s">
        <v>100</v>
      </c>
      <c r="V17" s="2" t="s">
        <v>177</v>
      </c>
      <c r="W17" s="2" t="s">
        <v>178</v>
      </c>
      <c r="X17" s="2" t="s">
        <v>100</v>
      </c>
      <c r="Y17" s="2" t="s">
        <v>104</v>
      </c>
      <c r="Z17" s="4">
        <v>508</v>
      </c>
      <c r="AA17" s="4">
        <f>=ROUNDDOWN(20.32,0)</f>
      </c>
      <c r="AB17" s="5">
        <v>25</v>
      </c>
      <c r="AC17" s="2" t="s">
        <v>120</v>
      </c>
      <c r="AD17" s="4">
        <v>252</v>
      </c>
      <c r="AE17" s="4">
        <v>604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4</v>
      </c>
      <c r="AQ17" s="8">
        <v>57.72</v>
      </c>
      <c r="AR17" s="4"/>
      <c r="AS17" s="8"/>
      <c r="AT17" s="7"/>
      <c r="AU17" s="7"/>
      <c r="AV17" s="4">
        <v>4</v>
      </c>
      <c r="AW17" s="8">
        <v>57.72</v>
      </c>
      <c r="AX17" s="4"/>
      <c r="AY17" s="8"/>
      <c r="AZ17" s="7"/>
      <c r="BA17" s="7"/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0.1739</v>
      </c>
      <c r="BJ17" s="4">
        <v>287</v>
      </c>
      <c r="BK17" s="8">
        <v>4287.66</v>
      </c>
      <c r="BL17" s="2" t="s">
        <v>190</v>
      </c>
      <c r="BM17" s="7">
        <v>0.0139</v>
      </c>
      <c r="BN17" s="7">
        <v>0.0135</v>
      </c>
      <c r="BO17" s="4">
        <v>4</v>
      </c>
      <c r="BP17" s="8">
        <v>57.72</v>
      </c>
      <c r="BQ17" s="4"/>
      <c r="BR17" s="8"/>
      <c r="BS17" s="7"/>
      <c r="BT17" s="7"/>
      <c r="BU17" s="2" t="s">
        <v>106</v>
      </c>
      <c r="BV17" s="2" t="s">
        <v>97</v>
      </c>
      <c r="BW17" s="2" t="s">
        <v>122</v>
      </c>
      <c r="BX17" s="2" t="s">
        <v>191</v>
      </c>
      <c r="BY17" s="2" t="s">
        <v>109</v>
      </c>
      <c r="BZ17" s="2" t="s">
        <v>110</v>
      </c>
    </row>
    <row r="18">
      <c r="A18" s="2" t="s">
        <v>192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170</v>
      </c>
      <c r="G18" s="2" t="s">
        <v>171</v>
      </c>
      <c r="H18" s="2" t="s">
        <v>172</v>
      </c>
      <c r="I18" s="2" t="s">
        <v>173</v>
      </c>
      <c r="J18" s="2" t="s">
        <v>95</v>
      </c>
      <c r="K18" s="2" t="s">
        <v>193</v>
      </c>
      <c r="L18" s="3">
        <v>13.2</v>
      </c>
      <c r="M18" s="3">
        <v>13.86</v>
      </c>
      <c r="N18" s="3">
        <v>29.99</v>
      </c>
      <c r="O18" s="2" t="s">
        <v>97</v>
      </c>
      <c r="P18" s="2" t="s">
        <v>194</v>
      </c>
      <c r="Q18" s="2" t="s">
        <v>99</v>
      </c>
      <c r="R18" s="2" t="s">
        <v>100</v>
      </c>
      <c r="S18" s="2" t="s">
        <v>195</v>
      </c>
      <c r="T18" s="2" t="s">
        <v>100</v>
      </c>
      <c r="U18" s="2" t="s">
        <v>196</v>
      </c>
      <c r="V18" s="2" t="s">
        <v>177</v>
      </c>
      <c r="W18" s="2" t="s">
        <v>178</v>
      </c>
      <c r="X18" s="2" t="s">
        <v>100</v>
      </c>
      <c r="Y18" s="2" t="s">
        <v>197</v>
      </c>
      <c r="Z18" s="4">
        <v>120</v>
      </c>
      <c r="AA18" s="4">
        <f>=ROUNDDOWN(9.23076923076923,0)</f>
      </c>
      <c r="AB18" s="5">
        <v>13</v>
      </c>
      <c r="AC18" s="2" t="s">
        <v>198</v>
      </c>
      <c r="AD18" s="4">
        <v>52</v>
      </c>
      <c r="AE18" s="4">
        <v>152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/>
      <c r="BJ18" s="4">
        <v>203</v>
      </c>
      <c r="BK18" s="8">
        <v>3101.46</v>
      </c>
      <c r="BL18" s="2" t="s">
        <v>199</v>
      </c>
      <c r="BM18" s="7"/>
      <c r="BN18" s="7"/>
      <c r="BO18" s="4"/>
      <c r="BP18" s="8"/>
      <c r="BQ18" s="4"/>
      <c r="BR18" s="8"/>
      <c r="BS18" s="7"/>
      <c r="BT18" s="7"/>
      <c r="BU18" s="2" t="s">
        <v>200</v>
      </c>
      <c r="BV18" s="2" t="s">
        <v>97</v>
      </c>
      <c r="BW18" s="2" t="s">
        <v>100</v>
      </c>
      <c r="BX18" s="2" t="s">
        <v>100</v>
      </c>
      <c r="BY18" s="2" t="s">
        <v>109</v>
      </c>
      <c r="BZ18" s="2" t="s">
        <v>110</v>
      </c>
    </row>
    <row r="19">
      <c r="A19" s="2" t="s">
        <v>201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202</v>
      </c>
      <c r="G19" s="2" t="s">
        <v>203</v>
      </c>
      <c r="H19" s="2" t="s">
        <v>204</v>
      </c>
      <c r="I19" s="2" t="s">
        <v>173</v>
      </c>
      <c r="J19" s="2" t="s">
        <v>95</v>
      </c>
      <c r="K19" s="2" t="s">
        <v>133</v>
      </c>
      <c r="L19" s="3">
        <v>14.52</v>
      </c>
      <c r="M19" s="3">
        <v>15.25</v>
      </c>
      <c r="N19" s="3">
        <v>32.99</v>
      </c>
      <c r="O19" s="2" t="s">
        <v>97</v>
      </c>
      <c r="P19" s="2" t="s">
        <v>126</v>
      </c>
      <c r="Q19" s="2" t="s">
        <v>99</v>
      </c>
      <c r="R19" s="2" t="s">
        <v>100</v>
      </c>
      <c r="S19" s="2" t="s">
        <v>205</v>
      </c>
      <c r="T19" s="2" t="s">
        <v>100</v>
      </c>
      <c r="U19" s="2" t="s">
        <v>100</v>
      </c>
      <c r="V19" s="2" t="s">
        <v>206</v>
      </c>
      <c r="W19" s="2" t="s">
        <v>178</v>
      </c>
      <c r="X19" s="2" t="s">
        <v>100</v>
      </c>
      <c r="Y19" s="2" t="s">
        <v>207</v>
      </c>
      <c r="Z19" s="4">
        <v>308</v>
      </c>
      <c r="AA19" s="4">
        <f>=ROUNDDOWN(8.32432432432432,0)</f>
      </c>
      <c r="AB19" s="5">
        <v>37</v>
      </c>
      <c r="AC19" s="2" t="s">
        <v>179</v>
      </c>
      <c r="AD19" s="4">
        <v>300</v>
      </c>
      <c r="AE19" s="4">
        <v>900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8</v>
      </c>
      <c r="AQ19" s="8">
        <v>124.8</v>
      </c>
      <c r="AR19" s="4"/>
      <c r="AS19" s="8"/>
      <c r="AT19" s="7"/>
      <c r="AU19" s="7"/>
      <c r="AV19" s="4">
        <v>8</v>
      </c>
      <c r="AW19" s="8">
        <v>124.8</v>
      </c>
      <c r="AX19" s="4"/>
      <c r="AY19" s="8"/>
      <c r="AZ19" s="7"/>
      <c r="BA19" s="7"/>
      <c r="BB19" s="7">
        <v>1</v>
      </c>
      <c r="BC19" s="4">
        <v>15</v>
      </c>
      <c r="BD19" s="8">
        <v>234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0.5333</v>
      </c>
      <c r="BJ19" s="4">
        <v>548</v>
      </c>
      <c r="BK19" s="8">
        <v>8671.25</v>
      </c>
      <c r="BL19" s="2" t="s">
        <v>208</v>
      </c>
      <c r="BM19" s="7">
        <v>0.0146</v>
      </c>
      <c r="BN19" s="7">
        <v>0.0144</v>
      </c>
      <c r="BO19" s="4">
        <v>8</v>
      </c>
      <c r="BP19" s="8">
        <v>124.8</v>
      </c>
      <c r="BQ19" s="4"/>
      <c r="BR19" s="8"/>
      <c r="BS19" s="7"/>
      <c r="BT19" s="7"/>
      <c r="BU19" s="2" t="s">
        <v>106</v>
      </c>
      <c r="BV19" s="2" t="s">
        <v>97</v>
      </c>
      <c r="BW19" s="2" t="s">
        <v>122</v>
      </c>
      <c r="BX19" s="2" t="s">
        <v>209</v>
      </c>
      <c r="BY19" s="2" t="s">
        <v>109</v>
      </c>
      <c r="BZ19" s="2" t="s">
        <v>110</v>
      </c>
    </row>
    <row r="20">
      <c r="A20" s="2" t="s">
        <v>210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202</v>
      </c>
      <c r="G20" s="2" t="s">
        <v>203</v>
      </c>
      <c r="H20" s="2" t="s">
        <v>204</v>
      </c>
      <c r="I20" s="2" t="s">
        <v>173</v>
      </c>
      <c r="J20" s="2" t="s">
        <v>95</v>
      </c>
      <c r="K20" s="2" t="s">
        <v>96</v>
      </c>
      <c r="L20" s="3">
        <v>14.52</v>
      </c>
      <c r="M20" s="3">
        <v>15.25</v>
      </c>
      <c r="N20" s="3">
        <v>32.99</v>
      </c>
      <c r="O20" s="2" t="s">
        <v>97</v>
      </c>
      <c r="P20" s="2" t="s">
        <v>126</v>
      </c>
      <c r="Q20" s="2" t="s">
        <v>99</v>
      </c>
      <c r="R20" s="2" t="s">
        <v>100</v>
      </c>
      <c r="S20" s="2" t="s">
        <v>205</v>
      </c>
      <c r="T20" s="2" t="s">
        <v>100</v>
      </c>
      <c r="U20" s="2" t="s">
        <v>100</v>
      </c>
      <c r="V20" s="2" t="s">
        <v>206</v>
      </c>
      <c r="W20" s="2" t="s">
        <v>178</v>
      </c>
      <c r="X20" s="2" t="s">
        <v>100</v>
      </c>
      <c r="Y20" s="2" t="s">
        <v>104</v>
      </c>
      <c r="Z20" s="4">
        <v>540</v>
      </c>
      <c r="AA20" s="4">
        <f>=ROUNDDOWN(28.4210526315789,0)</f>
      </c>
      <c r="AB20" s="5">
        <v>19</v>
      </c>
      <c r="AC20" s="2" t="s">
        <v>179</v>
      </c>
      <c r="AD20" s="4">
        <v>300</v>
      </c>
      <c r="AE20" s="4">
        <v>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7</v>
      </c>
      <c r="AQ20" s="8">
        <v>109.2</v>
      </c>
      <c r="AR20" s="4"/>
      <c r="AS20" s="8"/>
      <c r="AT20" s="7"/>
      <c r="AU20" s="7"/>
      <c r="AV20" s="4">
        <v>7</v>
      </c>
      <c r="AW20" s="8">
        <v>109.2</v>
      </c>
      <c r="AX20" s="4"/>
      <c r="AY20" s="8"/>
      <c r="AZ20" s="7"/>
      <c r="BA20" s="7"/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0.4667</v>
      </c>
      <c r="BJ20" s="4">
        <v>312</v>
      </c>
      <c r="BK20" s="8">
        <v>4979.55</v>
      </c>
      <c r="BL20" s="2" t="s">
        <v>211</v>
      </c>
      <c r="BM20" s="7">
        <v>0.0224</v>
      </c>
      <c r="BN20" s="7">
        <v>0.0219</v>
      </c>
      <c r="BO20" s="4">
        <v>7</v>
      </c>
      <c r="BP20" s="8">
        <v>109.2</v>
      </c>
      <c r="BQ20" s="4"/>
      <c r="BR20" s="8"/>
      <c r="BS20" s="7"/>
      <c r="BT20" s="7"/>
      <c r="BU20" s="2" t="s">
        <v>106</v>
      </c>
      <c r="BV20" s="2" t="s">
        <v>97</v>
      </c>
      <c r="BW20" s="2" t="s">
        <v>122</v>
      </c>
      <c r="BX20" s="2" t="s">
        <v>212</v>
      </c>
      <c r="BY20" s="2" t="s">
        <v>109</v>
      </c>
      <c r="BZ20" s="2" t="s">
        <v>110</v>
      </c>
    </row>
    <row r="21">
      <c r="A21" s="2" t="s">
        <v>213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214</v>
      </c>
      <c r="G21" s="2" t="s">
        <v>215</v>
      </c>
      <c r="H21" s="2" t="s">
        <v>216</v>
      </c>
      <c r="I21" s="2" t="s">
        <v>217</v>
      </c>
      <c r="J21" s="2" t="s">
        <v>95</v>
      </c>
      <c r="K21" s="2" t="s">
        <v>218</v>
      </c>
      <c r="L21" s="3">
        <v>20.68</v>
      </c>
      <c r="M21" s="3">
        <v>21.71</v>
      </c>
      <c r="N21" s="3">
        <v>46.99</v>
      </c>
      <c r="O21" s="2" t="s">
        <v>97</v>
      </c>
      <c r="P21" s="2" t="s">
        <v>113</v>
      </c>
      <c r="Q21" s="2" t="s">
        <v>99</v>
      </c>
      <c r="R21" s="2" t="s">
        <v>100</v>
      </c>
      <c r="S21" s="2" t="s">
        <v>219</v>
      </c>
      <c r="T21" s="2" t="s">
        <v>220</v>
      </c>
      <c r="U21" s="2" t="s">
        <v>196</v>
      </c>
      <c r="V21" s="2" t="s">
        <v>221</v>
      </c>
      <c r="W21" s="2" t="s">
        <v>150</v>
      </c>
      <c r="X21" s="2" t="s">
        <v>222</v>
      </c>
      <c r="Y21" s="2" t="s">
        <v>223</v>
      </c>
      <c r="Z21" s="4">
        <v>419</v>
      </c>
      <c r="AA21" s="4">
        <f>=ROUNDDOWN(4.65555555555556,0)</f>
      </c>
      <c r="AB21" s="5">
        <v>90</v>
      </c>
      <c r="AC21" s="2" t="s">
        <v>179</v>
      </c>
      <c r="AD21" s="4">
        <v>960</v>
      </c>
      <c r="AE21" s="4">
        <v>2712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11</v>
      </c>
      <c r="AQ21" s="8">
        <v>231</v>
      </c>
      <c r="AR21" s="4"/>
      <c r="AS21" s="8"/>
      <c r="AT21" s="7"/>
      <c r="AU21" s="7"/>
      <c r="AV21" s="4">
        <v>11</v>
      </c>
      <c r="AW21" s="8">
        <v>231</v>
      </c>
      <c r="AX21" s="4"/>
      <c r="AY21" s="8"/>
      <c r="AZ21" s="7"/>
      <c r="BA21" s="7"/>
      <c r="BB21" s="7">
        <v>1</v>
      </c>
      <c r="BC21" s="4">
        <v>11</v>
      </c>
      <c r="BD21" s="8">
        <v>231</v>
      </c>
      <c r="BE21" s="4"/>
      <c r="BF21" s="8"/>
      <c r="BG21" s="7"/>
      <c r="BH21" s="7"/>
      <c r="BI21" s="7">
        <v>1</v>
      </c>
      <c r="BJ21" s="4">
        <v>1293</v>
      </c>
      <c r="BK21" s="8">
        <v>31001.3</v>
      </c>
      <c r="BL21" s="2" t="s">
        <v>224</v>
      </c>
      <c r="BM21" s="7">
        <v>0.0085</v>
      </c>
      <c r="BN21" s="7">
        <v>0.0075</v>
      </c>
      <c r="BO21" s="4">
        <v>11</v>
      </c>
      <c r="BP21" s="8">
        <v>231</v>
      </c>
      <c r="BQ21" s="4"/>
      <c r="BR21" s="8"/>
      <c r="BS21" s="7"/>
      <c r="BT21" s="7"/>
      <c r="BU21" s="2" t="s">
        <v>106</v>
      </c>
      <c r="BV21" s="2" t="s">
        <v>97</v>
      </c>
      <c r="BW21" s="2" t="s">
        <v>225</v>
      </c>
      <c r="BX21" s="2" t="s">
        <v>226</v>
      </c>
      <c r="BY21" s="2" t="s">
        <v>109</v>
      </c>
      <c r="BZ21" s="2" t="s">
        <v>110</v>
      </c>
    </row>
    <row r="22">
      <c r="A22" s="2" t="s">
        <v>227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228</v>
      </c>
      <c r="G22" s="2" t="s">
        <v>229</v>
      </c>
      <c r="H22" s="2" t="s">
        <v>230</v>
      </c>
      <c r="I22" s="2" t="s">
        <v>231</v>
      </c>
      <c r="J22" s="2" t="s">
        <v>95</v>
      </c>
      <c r="K22" s="2" t="s">
        <v>232</v>
      </c>
      <c r="L22" s="3">
        <v>16.28</v>
      </c>
      <c r="M22" s="3">
        <v>17.09</v>
      </c>
      <c r="N22" s="3">
        <v>36.99</v>
      </c>
      <c r="O22" s="2" t="s">
        <v>97</v>
      </c>
      <c r="P22" s="2" t="s">
        <v>126</v>
      </c>
      <c r="Q22" s="2" t="s">
        <v>99</v>
      </c>
      <c r="R22" s="2" t="s">
        <v>100</v>
      </c>
      <c r="S22" s="2" t="s">
        <v>233</v>
      </c>
      <c r="T22" s="2" t="s">
        <v>100</v>
      </c>
      <c r="U22" s="2" t="s">
        <v>100</v>
      </c>
      <c r="V22" s="2" t="s">
        <v>234</v>
      </c>
      <c r="W22" s="2" t="s">
        <v>103</v>
      </c>
      <c r="X22" s="2" t="s">
        <v>100</v>
      </c>
      <c r="Y22" s="2" t="s">
        <v>207</v>
      </c>
      <c r="Z22" s="4">
        <v>4</v>
      </c>
      <c r="AA22" s="4">
        <f>=ROUNDDOWN(0.111111111111111,0)</f>
      </c>
      <c r="AB22" s="5">
        <v>36</v>
      </c>
      <c r="AC22" s="2" t="s">
        <v>235</v>
      </c>
      <c r="AD22" s="4">
        <v>480</v>
      </c>
      <c r="AE22" s="4">
        <v>960</v>
      </c>
      <c r="AF22" s="6">
        <v>65</v>
      </c>
      <c r="AG22" s="6"/>
      <c r="AH22" s="7">
        <v>0.7018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12</v>
      </c>
      <c r="AQ22" s="8">
        <v>213.48</v>
      </c>
      <c r="AR22" s="4"/>
      <c r="AS22" s="8"/>
      <c r="AT22" s="7"/>
      <c r="AU22" s="7"/>
      <c r="AV22" s="4">
        <v>12</v>
      </c>
      <c r="AW22" s="8">
        <v>213.48</v>
      </c>
      <c r="AX22" s="4"/>
      <c r="AY22" s="8"/>
      <c r="AZ22" s="7"/>
      <c r="BA22" s="7"/>
      <c r="BB22" s="7">
        <v>1</v>
      </c>
      <c r="BC22" s="4">
        <v>12</v>
      </c>
      <c r="BD22" s="8">
        <v>213.48</v>
      </c>
      <c r="BE22" s="4"/>
      <c r="BF22" s="8"/>
      <c r="BG22" s="7"/>
      <c r="BH22" s="7"/>
      <c r="BI22" s="7">
        <v>1</v>
      </c>
      <c r="BJ22" s="4">
        <v>364</v>
      </c>
      <c r="BK22" s="8">
        <v>6519.18</v>
      </c>
      <c r="BL22" s="2" t="s">
        <v>236</v>
      </c>
      <c r="BM22" s="7">
        <v>0.033</v>
      </c>
      <c r="BN22" s="7">
        <v>0.0327</v>
      </c>
      <c r="BO22" s="4">
        <v>12</v>
      </c>
      <c r="BP22" s="8">
        <v>213.48</v>
      </c>
      <c r="BQ22" s="4"/>
      <c r="BR22" s="8"/>
      <c r="BS22" s="7"/>
      <c r="BT22" s="7"/>
      <c r="BU22" s="2" t="s">
        <v>106</v>
      </c>
      <c r="BV22" s="2" t="s">
        <v>97</v>
      </c>
      <c r="BW22" s="2" t="s">
        <v>237</v>
      </c>
      <c r="BX22" s="2" t="s">
        <v>238</v>
      </c>
      <c r="BY22" s="2" t="s">
        <v>109</v>
      </c>
      <c r="BZ22" s="2" t="s">
        <v>110</v>
      </c>
    </row>
    <row r="23">
      <c r="A23" s="2" t="s">
        <v>239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240</v>
      </c>
      <c r="G23" s="2" t="s">
        <v>240</v>
      </c>
      <c r="H23" s="2" t="s">
        <v>240</v>
      </c>
      <c r="I23" s="2" t="s">
        <v>241</v>
      </c>
      <c r="J23" s="2" t="s">
        <v>242</v>
      </c>
      <c r="K23" s="2" t="s">
        <v>243</v>
      </c>
      <c r="L23" s="3">
        <v>19.01</v>
      </c>
      <c r="M23" s="3">
        <v>19.96</v>
      </c>
      <c r="N23" s="3">
        <v>42.99</v>
      </c>
      <c r="O23" s="2" t="s">
        <v>97</v>
      </c>
      <c r="P23" s="2" t="s">
        <v>175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100</v>
      </c>
      <c r="V23" s="2" t="s">
        <v>244</v>
      </c>
      <c r="W23" s="2" t="s">
        <v>245</v>
      </c>
      <c r="X23" s="2" t="s">
        <v>100</v>
      </c>
      <c r="Y23" s="2" t="s">
        <v>246</v>
      </c>
      <c r="Z23" s="4">
        <v>274</v>
      </c>
      <c r="AA23" s="4">
        <f>=ROUNDDOWN(15.2222222222222,0)</f>
      </c>
      <c r="AB23" s="5">
        <v>18</v>
      </c>
      <c r="AC23" s="2" t="s">
        <v>247</v>
      </c>
      <c r="AD23" s="4">
        <v>200</v>
      </c>
      <c r="AE23" s="4">
        <v>260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4</v>
      </c>
      <c r="AQ23" s="8">
        <v>88.72</v>
      </c>
      <c r="AR23" s="4"/>
      <c r="AS23" s="8"/>
      <c r="AT23" s="7"/>
      <c r="AU23" s="7"/>
      <c r="AV23" s="4">
        <v>13</v>
      </c>
      <c r="AW23" s="8">
        <v>213.46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0.4156</v>
      </c>
      <c r="BC23" s="4">
        <v>13</v>
      </c>
      <c r="BD23" s="8">
        <v>213.46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1</v>
      </c>
      <c r="BJ23" s="4">
        <v>213</v>
      </c>
      <c r="BK23" s="8">
        <v>4824.93</v>
      </c>
      <c r="BL23" s="2" t="s">
        <v>248</v>
      </c>
      <c r="BM23" s="7">
        <v>0.0188</v>
      </c>
      <c r="BN23" s="7">
        <v>0.0184</v>
      </c>
      <c r="BO23" s="4">
        <v>4</v>
      </c>
      <c r="BP23" s="8">
        <v>88.72</v>
      </c>
      <c r="BQ23" s="4"/>
      <c r="BR23" s="8"/>
      <c r="BS23" s="7"/>
      <c r="BT23" s="7"/>
      <c r="BU23" s="2" t="s">
        <v>106</v>
      </c>
      <c r="BV23" s="2" t="s">
        <v>97</v>
      </c>
      <c r="BW23" s="2" t="s">
        <v>249</v>
      </c>
      <c r="BX23" s="2" t="s">
        <v>250</v>
      </c>
      <c r="BY23" s="2" t="s">
        <v>109</v>
      </c>
      <c r="BZ23" s="2" t="s">
        <v>110</v>
      </c>
    </row>
    <row r="24">
      <c r="A24" s="2" t="s">
        <v>251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240</v>
      </c>
      <c r="G24" s="2" t="s">
        <v>240</v>
      </c>
      <c r="H24" s="2" t="s">
        <v>240</v>
      </c>
      <c r="I24" s="2" t="s">
        <v>241</v>
      </c>
      <c r="J24" s="2" t="s">
        <v>252</v>
      </c>
      <c r="K24" s="2" t="s">
        <v>243</v>
      </c>
      <c r="L24" s="3">
        <v>11.88</v>
      </c>
      <c r="M24" s="3">
        <v>12.47</v>
      </c>
      <c r="N24" s="3">
        <v>24.99</v>
      </c>
      <c r="O24" s="2" t="s">
        <v>97</v>
      </c>
      <c r="P24" s="2" t="s">
        <v>175</v>
      </c>
      <c r="Q24" s="2" t="s">
        <v>99</v>
      </c>
      <c r="R24" s="2" t="s">
        <v>100</v>
      </c>
      <c r="S24" s="2" t="s">
        <v>100</v>
      </c>
      <c r="T24" s="2" t="s">
        <v>100</v>
      </c>
      <c r="U24" s="2" t="s">
        <v>100</v>
      </c>
      <c r="V24" s="2" t="s">
        <v>244</v>
      </c>
      <c r="W24" s="2" t="s">
        <v>245</v>
      </c>
      <c r="X24" s="2" t="s">
        <v>100</v>
      </c>
      <c r="Y24" s="2" t="s">
        <v>246</v>
      </c>
      <c r="Z24" s="4">
        <v>362</v>
      </c>
      <c r="AA24" s="4">
        <f>=ROUNDDOWN(6.83018867924528,0)</f>
      </c>
      <c r="AB24" s="5">
        <v>53</v>
      </c>
      <c r="AC24" s="2" t="s">
        <v>253</v>
      </c>
      <c r="AD24" s="4">
        <v>500</v>
      </c>
      <c r="AE24" s="4">
        <v>1280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9</v>
      </c>
      <c r="AQ24" s="8">
        <v>124.74</v>
      </c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0.5844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778</v>
      </c>
      <c r="BK24" s="8">
        <v>10886.75</v>
      </c>
      <c r="BL24" s="2" t="s">
        <v>254</v>
      </c>
      <c r="BM24" s="7">
        <v>0.0116</v>
      </c>
      <c r="BN24" s="7">
        <v>0.0115</v>
      </c>
      <c r="BO24" s="4">
        <v>9</v>
      </c>
      <c r="BP24" s="8">
        <v>124.74</v>
      </c>
      <c r="BQ24" s="4"/>
      <c r="BR24" s="8"/>
      <c r="BS24" s="7"/>
      <c r="BT24" s="7"/>
      <c r="BU24" s="2" t="s">
        <v>106</v>
      </c>
      <c r="BV24" s="2" t="s">
        <v>97</v>
      </c>
      <c r="BW24" s="2" t="s">
        <v>249</v>
      </c>
      <c r="BX24" s="2" t="s">
        <v>255</v>
      </c>
      <c r="BY24" s="2" t="s">
        <v>109</v>
      </c>
      <c r="BZ24" s="2" t="s">
        <v>110</v>
      </c>
    </row>
    <row r="25">
      <c r="A25" s="2" t="s">
        <v>256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240</v>
      </c>
      <c r="G25" s="2" t="s">
        <v>240</v>
      </c>
      <c r="H25" s="2" t="s">
        <v>240</v>
      </c>
      <c r="I25" s="2" t="s">
        <v>241</v>
      </c>
      <c r="J25" s="2" t="s">
        <v>257</v>
      </c>
      <c r="K25" s="2" t="s">
        <v>133</v>
      </c>
      <c r="L25" s="3">
        <v>15.84</v>
      </c>
      <c r="M25" s="3">
        <v>16.63</v>
      </c>
      <c r="N25" s="3">
        <v>34.99</v>
      </c>
      <c r="O25" s="2" t="s">
        <v>97</v>
      </c>
      <c r="P25" s="2" t="s">
        <v>175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100</v>
      </c>
      <c r="V25" s="2" t="s">
        <v>244</v>
      </c>
      <c r="W25" s="2" t="s">
        <v>245</v>
      </c>
      <c r="X25" s="2" t="s">
        <v>100</v>
      </c>
      <c r="Y25" s="2" t="s">
        <v>246</v>
      </c>
      <c r="Z25" s="4">
        <v>334</v>
      </c>
      <c r="AA25" s="4">
        <f>=ROUNDDOWN(7.42222222222222,0)</f>
      </c>
      <c r="AB25" s="5">
        <v>45</v>
      </c>
      <c r="AC25" s="2" t="s">
        <v>253</v>
      </c>
      <c r="AD25" s="4">
        <v>400</v>
      </c>
      <c r="AE25" s="4">
        <v>700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/>
      <c r="BJ25" s="4">
        <v>625</v>
      </c>
      <c r="BK25" s="8">
        <v>11866.77</v>
      </c>
      <c r="BL25" s="2" t="s">
        <v>258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97</v>
      </c>
      <c r="BW25" s="2" t="s">
        <v>249</v>
      </c>
      <c r="BX25" s="2" t="s">
        <v>128</v>
      </c>
      <c r="BY25" s="2" t="s">
        <v>109</v>
      </c>
      <c r="BZ25" s="2" t="s">
        <v>110</v>
      </c>
    </row>
    <row r="26">
      <c r="A26" s="2" t="s">
        <v>259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240</v>
      </c>
      <c r="G26" s="2" t="s">
        <v>240</v>
      </c>
      <c r="H26" s="2" t="s">
        <v>240</v>
      </c>
      <c r="I26" s="2" t="s">
        <v>241</v>
      </c>
      <c r="J26" s="2" t="s">
        <v>252</v>
      </c>
      <c r="K26" s="2" t="s">
        <v>260</v>
      </c>
      <c r="L26" s="3">
        <v>11.88</v>
      </c>
      <c r="M26" s="3">
        <v>12.47</v>
      </c>
      <c r="N26" s="3">
        <v>24.99</v>
      </c>
      <c r="O26" s="2" t="s">
        <v>97</v>
      </c>
      <c r="P26" s="2" t="s">
        <v>113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100</v>
      </c>
      <c r="V26" s="2" t="s">
        <v>244</v>
      </c>
      <c r="W26" s="2" t="s">
        <v>245</v>
      </c>
      <c r="X26" s="2" t="s">
        <v>100</v>
      </c>
      <c r="Y26" s="2" t="s">
        <v>246</v>
      </c>
      <c r="Z26" s="4">
        <v>149</v>
      </c>
      <c r="AA26" s="4">
        <f>=ROUNDDOWN(2.6140350877193,0)</f>
      </c>
      <c r="AB26" s="5">
        <v>57</v>
      </c>
      <c r="AC26" s="2" t="s">
        <v>253</v>
      </c>
      <c r="AD26" s="4">
        <v>380</v>
      </c>
      <c r="AE26" s="4">
        <v>1580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/>
      <c r="BJ26" s="4">
        <v>849</v>
      </c>
      <c r="BK26" s="8">
        <v>12016.8</v>
      </c>
      <c r="BL26" s="2" t="s">
        <v>261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97</v>
      </c>
      <c r="BW26" s="2" t="s">
        <v>249</v>
      </c>
      <c r="BX26" s="2" t="s">
        <v>262</v>
      </c>
      <c r="BY26" s="2" t="s">
        <v>109</v>
      </c>
      <c r="BZ26" s="2" t="s">
        <v>110</v>
      </c>
    </row>
    <row r="27">
      <c r="A27" s="2" t="s">
        <v>263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264</v>
      </c>
      <c r="G27" s="2" t="s">
        <v>265</v>
      </c>
      <c r="H27" s="2" t="s">
        <v>266</v>
      </c>
      <c r="I27" s="2" t="s">
        <v>90</v>
      </c>
      <c r="J27" s="2" t="s">
        <v>95</v>
      </c>
      <c r="K27" s="2" t="s">
        <v>267</v>
      </c>
      <c r="L27" s="3">
        <v>19.8</v>
      </c>
      <c r="M27" s="3">
        <v>20.79</v>
      </c>
      <c r="N27" s="3">
        <v>44.99</v>
      </c>
      <c r="O27" s="2" t="s">
        <v>268</v>
      </c>
      <c r="P27" s="2" t="s">
        <v>134</v>
      </c>
      <c r="Q27" s="2" t="s">
        <v>99</v>
      </c>
      <c r="R27" s="2" t="s">
        <v>100</v>
      </c>
      <c r="S27" s="2" t="s">
        <v>269</v>
      </c>
      <c r="T27" s="2" t="s">
        <v>100</v>
      </c>
      <c r="U27" s="2" t="s">
        <v>100</v>
      </c>
      <c r="V27" s="2" t="s">
        <v>270</v>
      </c>
      <c r="W27" s="2" t="s">
        <v>178</v>
      </c>
      <c r="X27" s="2" t="s">
        <v>100</v>
      </c>
      <c r="Y27" s="2" t="s">
        <v>104</v>
      </c>
      <c r="Z27" s="4"/>
      <c r="AA27" s="4">
        <f>=ROUNDDOWN({0},0)</f>
      </c>
      <c r="AB27" s="5">
        <v>1.2</v>
      </c>
      <c r="AC27" s="2" t="s">
        <v>100</v>
      </c>
      <c r="AD27" s="4"/>
      <c r="AE27" s="4"/>
      <c r="AF27" s="6">
        <v>65</v>
      </c>
      <c r="AG27" s="6"/>
      <c r="AH27" s="7">
        <v>0.8684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8</v>
      </c>
      <c r="AQ27" s="8">
        <v>152.48</v>
      </c>
      <c r="AR27" s="4"/>
      <c r="AS27" s="8"/>
      <c r="AT27" s="7"/>
      <c r="AU27" s="7"/>
      <c r="AV27" s="4">
        <v>8</v>
      </c>
      <c r="AW27" s="8">
        <v>152.48</v>
      </c>
      <c r="AX27" s="4"/>
      <c r="AY27" s="8"/>
      <c r="AZ27" s="7"/>
      <c r="BA27" s="7"/>
      <c r="BB27" s="7">
        <v>1</v>
      </c>
      <c r="BC27" s="4">
        <v>8</v>
      </c>
      <c r="BD27" s="8">
        <v>152.48</v>
      </c>
      <c r="BE27" s="4"/>
      <c r="BF27" s="8"/>
      <c r="BG27" s="7"/>
      <c r="BH27" s="7"/>
      <c r="BI27" s="7">
        <v>1</v>
      </c>
      <c r="BJ27" s="4">
        <v>174</v>
      </c>
      <c r="BK27" s="8">
        <v>3416.71</v>
      </c>
      <c r="BL27" s="2" t="s">
        <v>271</v>
      </c>
      <c r="BM27" s="7">
        <v>0.046</v>
      </c>
      <c r="BN27" s="7">
        <v>0.0446</v>
      </c>
      <c r="BO27" s="4">
        <v>8</v>
      </c>
      <c r="BP27" s="8">
        <v>152.48</v>
      </c>
      <c r="BQ27" s="4"/>
      <c r="BR27" s="8"/>
      <c r="BS27" s="7"/>
      <c r="BT27" s="7"/>
      <c r="BU27" s="2" t="s">
        <v>106</v>
      </c>
      <c r="BV27" s="2" t="s">
        <v>272</v>
      </c>
      <c r="BW27" s="2" t="s">
        <v>107</v>
      </c>
      <c r="BX27" s="2" t="s">
        <v>273</v>
      </c>
      <c r="BY27" s="2" t="s">
        <v>109</v>
      </c>
      <c r="BZ27" s="2" t="s">
        <v>110</v>
      </c>
    </row>
    <row r="28">
      <c r="A28" s="2" t="s">
        <v>274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275</v>
      </c>
      <c r="G28" s="2" t="s">
        <v>276</v>
      </c>
      <c r="H28" s="2" t="s">
        <v>277</v>
      </c>
      <c r="I28" s="2" t="s">
        <v>278</v>
      </c>
      <c r="J28" s="2" t="s">
        <v>95</v>
      </c>
      <c r="K28" s="2" t="s">
        <v>279</v>
      </c>
      <c r="L28" s="3">
        <v>17.6</v>
      </c>
      <c r="M28" s="3">
        <v>18.48</v>
      </c>
      <c r="N28" s="3">
        <v>39.99</v>
      </c>
      <c r="O28" s="2" t="s">
        <v>97</v>
      </c>
      <c r="P28" s="2" t="s">
        <v>126</v>
      </c>
      <c r="Q28" s="2" t="s">
        <v>99</v>
      </c>
      <c r="R28" s="2" t="s">
        <v>100</v>
      </c>
      <c r="S28" s="2" t="s">
        <v>280</v>
      </c>
      <c r="T28" s="2" t="s">
        <v>220</v>
      </c>
      <c r="U28" s="2" t="s">
        <v>100</v>
      </c>
      <c r="V28" s="2" t="s">
        <v>149</v>
      </c>
      <c r="W28" s="2" t="s">
        <v>222</v>
      </c>
      <c r="X28" s="2" t="s">
        <v>100</v>
      </c>
      <c r="Y28" s="2" t="s">
        <v>281</v>
      </c>
      <c r="Z28" s="4">
        <v>462</v>
      </c>
      <c r="AA28" s="4">
        <f>=ROUNDDOWN(22,0)</f>
      </c>
      <c r="AB28" s="5">
        <v>21</v>
      </c>
      <c r="AC28" s="2" t="s">
        <v>282</v>
      </c>
      <c r="AD28" s="4">
        <v>240</v>
      </c>
      <c r="AE28" s="4">
        <v>240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6</v>
      </c>
      <c r="AQ28" s="8">
        <v>113.76</v>
      </c>
      <c r="AR28" s="4"/>
      <c r="AS28" s="8"/>
      <c r="AT28" s="7"/>
      <c r="AU28" s="7"/>
      <c r="AV28" s="4">
        <v>6</v>
      </c>
      <c r="AW28" s="8">
        <v>113.76</v>
      </c>
      <c r="AX28" s="4"/>
      <c r="AY28" s="8"/>
      <c r="AZ28" s="7"/>
      <c r="BA28" s="7"/>
      <c r="BB28" s="7">
        <v>1</v>
      </c>
      <c r="BC28" s="4">
        <v>6</v>
      </c>
      <c r="BD28" s="8">
        <v>113.76</v>
      </c>
      <c r="BE28" s="4"/>
      <c r="BF28" s="8"/>
      <c r="BG28" s="7"/>
      <c r="BH28" s="7"/>
      <c r="BI28" s="7">
        <v>1</v>
      </c>
      <c r="BJ28" s="4">
        <v>317</v>
      </c>
      <c r="BK28" s="8">
        <v>6230.7</v>
      </c>
      <c r="BL28" s="2" t="s">
        <v>283</v>
      </c>
      <c r="BM28" s="7">
        <v>0.0189</v>
      </c>
      <c r="BN28" s="7">
        <v>0.0183</v>
      </c>
      <c r="BO28" s="4">
        <v>6</v>
      </c>
      <c r="BP28" s="8">
        <v>113.76</v>
      </c>
      <c r="BQ28" s="4"/>
      <c r="BR28" s="8"/>
      <c r="BS28" s="7"/>
      <c r="BT28" s="7"/>
      <c r="BU28" s="2" t="s">
        <v>106</v>
      </c>
      <c r="BV28" s="2" t="s">
        <v>97</v>
      </c>
      <c r="BW28" s="2" t="s">
        <v>284</v>
      </c>
      <c r="BX28" s="2" t="s">
        <v>285</v>
      </c>
      <c r="BY28" s="2" t="s">
        <v>109</v>
      </c>
      <c r="BZ28" s="2" t="s">
        <v>110</v>
      </c>
    </row>
    <row r="29">
      <c r="A29" s="2" t="s">
        <v>286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287</v>
      </c>
      <c r="G29" s="2" t="s">
        <v>288</v>
      </c>
      <c r="H29" s="2" t="s">
        <v>289</v>
      </c>
      <c r="I29" s="2" t="s">
        <v>173</v>
      </c>
      <c r="J29" s="2" t="s">
        <v>95</v>
      </c>
      <c r="K29" s="2" t="s">
        <v>290</v>
      </c>
      <c r="L29" s="3">
        <v>23</v>
      </c>
      <c r="M29" s="3">
        <v>24.15</v>
      </c>
      <c r="N29" s="3">
        <v>49.99</v>
      </c>
      <c r="O29" s="2" t="s">
        <v>97</v>
      </c>
      <c r="P29" s="2" t="s">
        <v>126</v>
      </c>
      <c r="Q29" s="2" t="s">
        <v>99</v>
      </c>
      <c r="R29" s="2" t="s">
        <v>100</v>
      </c>
      <c r="S29" s="2" t="s">
        <v>291</v>
      </c>
      <c r="T29" s="2" t="s">
        <v>100</v>
      </c>
      <c r="U29" s="2" t="s">
        <v>196</v>
      </c>
      <c r="V29" s="2" t="s">
        <v>206</v>
      </c>
      <c r="W29" s="2" t="s">
        <v>178</v>
      </c>
      <c r="X29" s="2" t="s">
        <v>100</v>
      </c>
      <c r="Y29" s="2" t="s">
        <v>292</v>
      </c>
      <c r="Z29" s="4">
        <v>443</v>
      </c>
      <c r="AA29" s="4">
        <f>=ROUNDDOWN(20.1363636363636,0)</f>
      </c>
      <c r="AB29" s="5">
        <v>22</v>
      </c>
      <c r="AC29" s="2" t="s">
        <v>293</v>
      </c>
      <c r="AD29" s="4">
        <v>152</v>
      </c>
      <c r="AE29" s="4">
        <v>472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4</v>
      </c>
      <c r="AQ29" s="8">
        <v>103.92</v>
      </c>
      <c r="AR29" s="4"/>
      <c r="AS29" s="8"/>
      <c r="AT29" s="7"/>
      <c r="AU29" s="7"/>
      <c r="AV29" s="4">
        <v>4</v>
      </c>
      <c r="AW29" s="8">
        <v>103.92</v>
      </c>
      <c r="AX29" s="4"/>
      <c r="AY29" s="8"/>
      <c r="AZ29" s="7"/>
      <c r="BA29" s="7"/>
      <c r="BB29" s="7">
        <v>1</v>
      </c>
      <c r="BC29" s="4">
        <v>4</v>
      </c>
      <c r="BD29" s="8">
        <v>103.92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1</v>
      </c>
      <c r="BJ29" s="4">
        <v>334</v>
      </c>
      <c r="BK29" s="8">
        <v>8904.84</v>
      </c>
      <c r="BL29" s="2" t="s">
        <v>190</v>
      </c>
      <c r="BM29" s="7">
        <v>0.012</v>
      </c>
      <c r="BN29" s="7">
        <v>0.0117</v>
      </c>
      <c r="BO29" s="4">
        <v>4</v>
      </c>
      <c r="BP29" s="8">
        <v>103.92</v>
      </c>
      <c r="BQ29" s="4"/>
      <c r="BR29" s="8"/>
      <c r="BS29" s="7"/>
      <c r="BT29" s="7"/>
      <c r="BU29" s="2" t="s">
        <v>106</v>
      </c>
      <c r="BV29" s="2" t="s">
        <v>97</v>
      </c>
      <c r="BW29" s="2" t="s">
        <v>294</v>
      </c>
      <c r="BX29" s="2" t="s">
        <v>295</v>
      </c>
      <c r="BY29" s="2" t="s">
        <v>109</v>
      </c>
      <c r="BZ29" s="2" t="s">
        <v>110</v>
      </c>
    </row>
    <row r="30">
      <c r="A30" s="2" t="s">
        <v>296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287</v>
      </c>
      <c r="G30" s="2" t="s">
        <v>288</v>
      </c>
      <c r="H30" s="2" t="s">
        <v>289</v>
      </c>
      <c r="I30" s="2" t="s">
        <v>173</v>
      </c>
      <c r="J30" s="2" t="s">
        <v>95</v>
      </c>
      <c r="K30" s="2" t="s">
        <v>297</v>
      </c>
      <c r="L30" s="3">
        <v>23</v>
      </c>
      <c r="M30" s="3">
        <v>24.15</v>
      </c>
      <c r="N30" s="3">
        <v>49.99</v>
      </c>
      <c r="O30" s="2" t="s">
        <v>97</v>
      </c>
      <c r="P30" s="2" t="s">
        <v>126</v>
      </c>
      <c r="Q30" s="2" t="s">
        <v>99</v>
      </c>
      <c r="R30" s="2" t="s">
        <v>100</v>
      </c>
      <c r="S30" s="2" t="s">
        <v>298</v>
      </c>
      <c r="T30" s="2" t="s">
        <v>100</v>
      </c>
      <c r="U30" s="2" t="s">
        <v>196</v>
      </c>
      <c r="V30" s="2" t="s">
        <v>206</v>
      </c>
      <c r="W30" s="2" t="s">
        <v>178</v>
      </c>
      <c r="X30" s="2" t="s">
        <v>100</v>
      </c>
      <c r="Y30" s="2" t="s">
        <v>299</v>
      </c>
      <c r="Z30" s="4">
        <v>159</v>
      </c>
      <c r="AA30" s="4">
        <f>=ROUNDDOWN(15.9,0)</f>
      </c>
      <c r="AB30" s="5">
        <v>10</v>
      </c>
      <c r="AC30" s="2" t="s">
        <v>293</v>
      </c>
      <c r="AD30" s="4">
        <v>60</v>
      </c>
      <c r="AE30" s="4">
        <v>180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/>
      <c r="BJ30" s="4">
        <v>129</v>
      </c>
      <c r="BK30" s="8">
        <v>3311.09</v>
      </c>
      <c r="BL30" s="2" t="s">
        <v>300</v>
      </c>
      <c r="BM30" s="7"/>
      <c r="BN30" s="7"/>
      <c r="BO30" s="4"/>
      <c r="BP30" s="8"/>
      <c r="BQ30" s="4"/>
      <c r="BR30" s="8"/>
      <c r="BS30" s="7"/>
      <c r="BT30" s="7"/>
      <c r="BU30" s="2" t="s">
        <v>200</v>
      </c>
      <c r="BV30" s="2" t="s">
        <v>97</v>
      </c>
      <c r="BW30" s="2" t="s">
        <v>100</v>
      </c>
      <c r="BX30" s="2" t="s">
        <v>100</v>
      </c>
      <c r="BY30" s="2" t="s">
        <v>109</v>
      </c>
      <c r="BZ30" s="2" t="s">
        <v>110</v>
      </c>
    </row>
    <row r="31">
      <c r="A31" s="2" t="s">
        <v>301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287</v>
      </c>
      <c r="G31" s="2" t="s">
        <v>288</v>
      </c>
      <c r="H31" s="2" t="s">
        <v>289</v>
      </c>
      <c r="I31" s="2" t="s">
        <v>173</v>
      </c>
      <c r="J31" s="2" t="s">
        <v>95</v>
      </c>
      <c r="K31" s="2" t="s">
        <v>302</v>
      </c>
      <c r="L31" s="3">
        <v>23</v>
      </c>
      <c r="M31" s="3">
        <v>24.15</v>
      </c>
      <c r="N31" s="3">
        <v>49.99</v>
      </c>
      <c r="O31" s="2" t="s">
        <v>97</v>
      </c>
      <c r="P31" s="2" t="s">
        <v>126</v>
      </c>
      <c r="Q31" s="2" t="s">
        <v>99</v>
      </c>
      <c r="R31" s="2" t="s">
        <v>100</v>
      </c>
      <c r="S31" s="2" t="s">
        <v>303</v>
      </c>
      <c r="T31" s="2" t="s">
        <v>100</v>
      </c>
      <c r="U31" s="2" t="s">
        <v>196</v>
      </c>
      <c r="V31" s="2" t="s">
        <v>206</v>
      </c>
      <c r="W31" s="2" t="s">
        <v>178</v>
      </c>
      <c r="X31" s="2" t="s">
        <v>100</v>
      </c>
      <c r="Y31" s="2" t="s">
        <v>304</v>
      </c>
      <c r="Z31" s="4">
        <v>289</v>
      </c>
      <c r="AA31" s="4">
        <f>=ROUNDDOWN(12.5652173913043,0)</f>
      </c>
      <c r="AB31" s="5">
        <v>23</v>
      </c>
      <c r="AC31" s="2" t="s">
        <v>293</v>
      </c>
      <c r="AD31" s="4">
        <v>200</v>
      </c>
      <c r="AE31" s="4">
        <v>480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/>
      <c r="BJ31" s="4">
        <v>326</v>
      </c>
      <c r="BK31" s="8">
        <v>8528.47</v>
      </c>
      <c r="BL31" s="2" t="s">
        <v>261</v>
      </c>
      <c r="BM31" s="7"/>
      <c r="BN31" s="7"/>
      <c r="BO31" s="4"/>
      <c r="BP31" s="8"/>
      <c r="BQ31" s="4"/>
      <c r="BR31" s="8"/>
      <c r="BS31" s="7"/>
      <c r="BT31" s="7"/>
      <c r="BU31" s="2" t="s">
        <v>200</v>
      </c>
      <c r="BV31" s="2" t="s">
        <v>97</v>
      </c>
      <c r="BW31" s="2" t="s">
        <v>100</v>
      </c>
      <c r="BX31" s="2" t="s">
        <v>100</v>
      </c>
      <c r="BY31" s="2" t="s">
        <v>109</v>
      </c>
      <c r="BZ31" s="2" t="s">
        <v>110</v>
      </c>
    </row>
    <row r="32">
      <c r="A32" s="2" t="s">
        <v>305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306</v>
      </c>
      <c r="G32" s="2" t="s">
        <v>307</v>
      </c>
      <c r="H32" s="2" t="s">
        <v>308</v>
      </c>
      <c r="I32" s="2" t="s">
        <v>309</v>
      </c>
      <c r="J32" s="2" t="s">
        <v>95</v>
      </c>
      <c r="K32" s="2" t="s">
        <v>218</v>
      </c>
      <c r="L32" s="3">
        <v>13.2</v>
      </c>
      <c r="M32" s="3">
        <v>13.86</v>
      </c>
      <c r="N32" s="3">
        <v>29.99</v>
      </c>
      <c r="O32" s="2" t="s">
        <v>97</v>
      </c>
      <c r="P32" s="2" t="s">
        <v>126</v>
      </c>
      <c r="Q32" s="2" t="s">
        <v>99</v>
      </c>
      <c r="R32" s="2" t="s">
        <v>100</v>
      </c>
      <c r="S32" s="2" t="s">
        <v>310</v>
      </c>
      <c r="T32" s="2" t="s">
        <v>100</v>
      </c>
      <c r="U32" s="2" t="s">
        <v>100</v>
      </c>
      <c r="V32" s="2" t="s">
        <v>221</v>
      </c>
      <c r="W32" s="2" t="s">
        <v>311</v>
      </c>
      <c r="X32" s="2" t="s">
        <v>100</v>
      </c>
      <c r="Y32" s="2" t="s">
        <v>312</v>
      </c>
      <c r="Z32" s="4">
        <v>1062</v>
      </c>
      <c r="AA32" s="4">
        <f>=ROUNDDOWN(15.8507462686567,0)</f>
      </c>
      <c r="AB32" s="5">
        <v>67</v>
      </c>
      <c r="AC32" s="2" t="s">
        <v>313</v>
      </c>
      <c r="AD32" s="4">
        <v>800</v>
      </c>
      <c r="AE32" s="4">
        <v>800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6</v>
      </c>
      <c r="AQ32" s="8">
        <v>86.58</v>
      </c>
      <c r="AR32" s="4"/>
      <c r="AS32" s="8"/>
      <c r="AT32" s="7"/>
      <c r="AU32" s="7"/>
      <c r="AV32" s="4">
        <v>6</v>
      </c>
      <c r="AW32" s="8">
        <v>86.58</v>
      </c>
      <c r="AX32" s="4"/>
      <c r="AY32" s="8"/>
      <c r="AZ32" s="7"/>
      <c r="BA32" s="7"/>
      <c r="BB32" s="7">
        <v>1</v>
      </c>
      <c r="BC32" s="4">
        <v>6</v>
      </c>
      <c r="BD32" s="8">
        <v>86.58</v>
      </c>
      <c r="BE32" s="4"/>
      <c r="BF32" s="8"/>
      <c r="BG32" s="7"/>
      <c r="BH32" s="7"/>
      <c r="BI32" s="7">
        <v>1</v>
      </c>
      <c r="BJ32" s="4">
        <v>1073</v>
      </c>
      <c r="BK32" s="8">
        <v>16164.74</v>
      </c>
      <c r="BL32" s="2" t="s">
        <v>314</v>
      </c>
      <c r="BM32" s="7">
        <v>0.0056</v>
      </c>
      <c r="BN32" s="7">
        <v>0.0054</v>
      </c>
      <c r="BO32" s="4">
        <v>6</v>
      </c>
      <c r="BP32" s="8">
        <v>86.58</v>
      </c>
      <c r="BQ32" s="4"/>
      <c r="BR32" s="8"/>
      <c r="BS32" s="7"/>
      <c r="BT32" s="7"/>
      <c r="BU32" s="2" t="s">
        <v>106</v>
      </c>
      <c r="BV32" s="2" t="s">
        <v>97</v>
      </c>
      <c r="BW32" s="2" t="s">
        <v>122</v>
      </c>
      <c r="BX32" s="2" t="s">
        <v>142</v>
      </c>
      <c r="BY32" s="2" t="s">
        <v>109</v>
      </c>
      <c r="BZ32" s="2" t="s">
        <v>110</v>
      </c>
    </row>
    <row r="33">
      <c r="A33" s="2" t="s">
        <v>315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316</v>
      </c>
      <c r="G33" s="2" t="s">
        <v>317</v>
      </c>
      <c r="H33" s="2" t="s">
        <v>318</v>
      </c>
      <c r="I33" s="2" t="s">
        <v>319</v>
      </c>
      <c r="J33" s="2" t="s">
        <v>95</v>
      </c>
      <c r="K33" s="2" t="s">
        <v>320</v>
      </c>
      <c r="L33" s="3">
        <v>18.92</v>
      </c>
      <c r="M33" s="3">
        <v>19.87</v>
      </c>
      <c r="N33" s="3">
        <v>42.99</v>
      </c>
      <c r="O33" s="2" t="s">
        <v>97</v>
      </c>
      <c r="P33" s="2" t="s">
        <v>126</v>
      </c>
      <c r="Q33" s="2" t="s">
        <v>99</v>
      </c>
      <c r="R33" s="2" t="s">
        <v>100</v>
      </c>
      <c r="S33" s="2" t="s">
        <v>321</v>
      </c>
      <c r="T33" s="2" t="s">
        <v>100</v>
      </c>
      <c r="U33" s="2" t="s">
        <v>196</v>
      </c>
      <c r="V33" s="2" t="s">
        <v>322</v>
      </c>
      <c r="W33" s="2" t="s">
        <v>150</v>
      </c>
      <c r="X33" s="2" t="s">
        <v>103</v>
      </c>
      <c r="Y33" s="2" t="s">
        <v>323</v>
      </c>
      <c r="Z33" s="4">
        <v>369</v>
      </c>
      <c r="AA33" s="4">
        <f>=ROUNDDOWN(10.25,0)</f>
      </c>
      <c r="AB33" s="5">
        <v>36</v>
      </c>
      <c r="AC33" s="2" t="s">
        <v>324</v>
      </c>
      <c r="AD33" s="4">
        <v>600</v>
      </c>
      <c r="AE33" s="4">
        <v>640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2</v>
      </c>
      <c r="AQ33" s="8">
        <v>39.74</v>
      </c>
      <c r="AR33" s="4"/>
      <c r="AS33" s="8"/>
      <c r="AT33" s="7"/>
      <c r="AU33" s="7"/>
      <c r="AV33" s="4">
        <v>2</v>
      </c>
      <c r="AW33" s="8">
        <v>39.74</v>
      </c>
      <c r="AX33" s="4"/>
      <c r="AY33" s="8"/>
      <c r="AZ33" s="7"/>
      <c r="BA33" s="7"/>
      <c r="BB33" s="7">
        <v>1</v>
      </c>
      <c r="BC33" s="4">
        <v>3</v>
      </c>
      <c r="BD33" s="8">
        <v>59.61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0.6667</v>
      </c>
      <c r="BJ33" s="4">
        <v>481</v>
      </c>
      <c r="BK33" s="8">
        <v>9788.43</v>
      </c>
      <c r="BL33" s="2" t="s">
        <v>325</v>
      </c>
      <c r="BM33" s="7">
        <v>0.0042</v>
      </c>
      <c r="BN33" s="7">
        <v>0.0041</v>
      </c>
      <c r="BO33" s="4">
        <v>2</v>
      </c>
      <c r="BP33" s="8">
        <v>39.74</v>
      </c>
      <c r="BQ33" s="4"/>
      <c r="BR33" s="8"/>
      <c r="BS33" s="7"/>
      <c r="BT33" s="7"/>
      <c r="BU33" s="2" t="s">
        <v>106</v>
      </c>
      <c r="BV33" s="2" t="s">
        <v>97</v>
      </c>
      <c r="BW33" s="2" t="s">
        <v>225</v>
      </c>
      <c r="BX33" s="2" t="s">
        <v>326</v>
      </c>
      <c r="BY33" s="2" t="s">
        <v>109</v>
      </c>
      <c r="BZ33" s="2" t="s">
        <v>110</v>
      </c>
    </row>
    <row r="34">
      <c r="A34" s="2" t="s">
        <v>327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316</v>
      </c>
      <c r="G34" s="2" t="s">
        <v>317</v>
      </c>
      <c r="H34" s="2" t="s">
        <v>318</v>
      </c>
      <c r="I34" s="2" t="s">
        <v>319</v>
      </c>
      <c r="J34" s="2" t="s">
        <v>95</v>
      </c>
      <c r="K34" s="2" t="s">
        <v>328</v>
      </c>
      <c r="L34" s="3">
        <v>18.92</v>
      </c>
      <c r="M34" s="3">
        <v>19.87</v>
      </c>
      <c r="N34" s="3">
        <v>42.99</v>
      </c>
      <c r="O34" s="2" t="s">
        <v>97</v>
      </c>
      <c r="P34" s="2" t="s">
        <v>126</v>
      </c>
      <c r="Q34" s="2" t="s">
        <v>99</v>
      </c>
      <c r="R34" s="2" t="s">
        <v>100</v>
      </c>
      <c r="S34" s="2" t="s">
        <v>329</v>
      </c>
      <c r="T34" s="2" t="s">
        <v>100</v>
      </c>
      <c r="U34" s="2" t="s">
        <v>196</v>
      </c>
      <c r="V34" s="2" t="s">
        <v>322</v>
      </c>
      <c r="W34" s="2" t="s">
        <v>150</v>
      </c>
      <c r="X34" s="2" t="s">
        <v>103</v>
      </c>
      <c r="Y34" s="2" t="s">
        <v>330</v>
      </c>
      <c r="Z34" s="4">
        <v>60</v>
      </c>
      <c r="AA34" s="4">
        <f>=ROUNDDOWN(4.28571428571429,0)</f>
      </c>
      <c r="AB34" s="5">
        <v>14</v>
      </c>
      <c r="AC34" s="2" t="s">
        <v>324</v>
      </c>
      <c r="AD34" s="4">
        <v>100</v>
      </c>
      <c r="AE34" s="4">
        <v>100</v>
      </c>
      <c r="AF34" s="6">
        <v>65</v>
      </c>
      <c r="AG34" s="6"/>
      <c r="AH34" s="7">
        <v>0.9912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</v>
      </c>
      <c r="AQ34" s="8">
        <v>19.87</v>
      </c>
      <c r="AR34" s="4"/>
      <c r="AS34" s="8"/>
      <c r="AT34" s="7"/>
      <c r="AU34" s="7"/>
      <c r="AV34" s="4">
        <v>1</v>
      </c>
      <c r="AW34" s="8">
        <v>19.87</v>
      </c>
      <c r="AX34" s="4"/>
      <c r="AY34" s="8"/>
      <c r="AZ34" s="7"/>
      <c r="BA34" s="7"/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0.3333</v>
      </c>
      <c r="BJ34" s="4">
        <v>218</v>
      </c>
      <c r="BK34" s="8">
        <v>4439.15</v>
      </c>
      <c r="BL34" s="2" t="s">
        <v>331</v>
      </c>
      <c r="BM34" s="7">
        <v>0.0046</v>
      </c>
      <c r="BN34" s="7">
        <v>0.0045</v>
      </c>
      <c r="BO34" s="4">
        <v>1</v>
      </c>
      <c r="BP34" s="8">
        <v>19.87</v>
      </c>
      <c r="BQ34" s="4"/>
      <c r="BR34" s="8"/>
      <c r="BS34" s="7"/>
      <c r="BT34" s="7"/>
      <c r="BU34" s="2" t="s">
        <v>106</v>
      </c>
      <c r="BV34" s="2" t="s">
        <v>97</v>
      </c>
      <c r="BW34" s="2" t="s">
        <v>225</v>
      </c>
      <c r="BX34" s="2" t="s">
        <v>332</v>
      </c>
      <c r="BY34" s="2" t="s">
        <v>109</v>
      </c>
      <c r="BZ34" s="2" t="s">
        <v>110</v>
      </c>
    </row>
    <row r="35">
      <c r="A35" s="2" t="s">
        <v>333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334</v>
      </c>
      <c r="G35" s="2" t="s">
        <v>335</v>
      </c>
      <c r="H35" s="2" t="s">
        <v>336</v>
      </c>
      <c r="I35" s="2" t="s">
        <v>337</v>
      </c>
      <c r="J35" s="2" t="s">
        <v>95</v>
      </c>
      <c r="K35" s="2" t="s">
        <v>243</v>
      </c>
      <c r="L35" s="3">
        <v>16.28</v>
      </c>
      <c r="M35" s="3">
        <v>17.09</v>
      </c>
      <c r="N35" s="3">
        <v>36.99</v>
      </c>
      <c r="O35" s="2" t="s">
        <v>97</v>
      </c>
      <c r="P35" s="2" t="s">
        <v>126</v>
      </c>
      <c r="Q35" s="2" t="s">
        <v>99</v>
      </c>
      <c r="R35" s="2" t="s">
        <v>100</v>
      </c>
      <c r="S35" s="2" t="s">
        <v>338</v>
      </c>
      <c r="T35" s="2" t="s">
        <v>100</v>
      </c>
      <c r="U35" s="2" t="s">
        <v>100</v>
      </c>
      <c r="V35" s="2" t="s">
        <v>221</v>
      </c>
      <c r="W35" s="2" t="s">
        <v>222</v>
      </c>
      <c r="X35" s="2" t="s">
        <v>100</v>
      </c>
      <c r="Y35" s="2" t="s">
        <v>104</v>
      </c>
      <c r="Z35" s="4">
        <v>764</v>
      </c>
      <c r="AA35" s="4">
        <f>=ROUNDDOWN(26.3448275862069,0)</f>
      </c>
      <c r="AB35" s="5">
        <v>29</v>
      </c>
      <c r="AC35" s="2" t="s">
        <v>339</v>
      </c>
      <c r="AD35" s="4">
        <v>600</v>
      </c>
      <c r="AE35" s="4">
        <v>600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3</v>
      </c>
      <c r="AQ35" s="8">
        <v>49.89</v>
      </c>
      <c r="AR35" s="4"/>
      <c r="AS35" s="8"/>
      <c r="AT35" s="7"/>
      <c r="AU35" s="7"/>
      <c r="AV35" s="4">
        <v>3</v>
      </c>
      <c r="AW35" s="8">
        <v>49.89</v>
      </c>
      <c r="AX35" s="4"/>
      <c r="AY35" s="8"/>
      <c r="AZ35" s="7"/>
      <c r="BA35" s="7"/>
      <c r="BB35" s="7">
        <v>1</v>
      </c>
      <c r="BC35" s="4">
        <v>3</v>
      </c>
      <c r="BD35" s="8">
        <v>49.89</v>
      </c>
      <c r="BE35" s="4"/>
      <c r="BF35" s="8"/>
      <c r="BG35" s="7"/>
      <c r="BH35" s="7"/>
      <c r="BI35" s="7">
        <v>1</v>
      </c>
      <c r="BJ35" s="4">
        <v>339</v>
      </c>
      <c r="BK35" s="8">
        <v>5905.42</v>
      </c>
      <c r="BL35" s="2" t="s">
        <v>340</v>
      </c>
      <c r="BM35" s="7">
        <v>0.0088</v>
      </c>
      <c r="BN35" s="7">
        <v>0.0084</v>
      </c>
      <c r="BO35" s="4">
        <v>3</v>
      </c>
      <c r="BP35" s="8">
        <v>49.89</v>
      </c>
      <c r="BQ35" s="4"/>
      <c r="BR35" s="8"/>
      <c r="BS35" s="7"/>
      <c r="BT35" s="7"/>
      <c r="BU35" s="2" t="s">
        <v>106</v>
      </c>
      <c r="BV35" s="2" t="s">
        <v>97</v>
      </c>
      <c r="BW35" s="2" t="s">
        <v>122</v>
      </c>
      <c r="BX35" s="2" t="s">
        <v>142</v>
      </c>
      <c r="BY35" s="2" t="s">
        <v>109</v>
      </c>
      <c r="BZ35" s="2" t="s">
        <v>110</v>
      </c>
    </row>
    <row r="36">
      <c r="A36" s="2" t="s">
        <v>341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342</v>
      </c>
      <c r="G36" s="2" t="s">
        <v>343</v>
      </c>
      <c r="H36" s="2" t="s">
        <v>344</v>
      </c>
      <c r="I36" s="2" t="s">
        <v>345</v>
      </c>
      <c r="J36" s="2" t="s">
        <v>95</v>
      </c>
      <c r="K36" s="2" t="s">
        <v>243</v>
      </c>
      <c r="L36" s="3">
        <v>13.07</v>
      </c>
      <c r="M36" s="3">
        <v>13.72</v>
      </c>
      <c r="N36" s="3">
        <v>27.99</v>
      </c>
      <c r="O36" s="2" t="s">
        <v>97</v>
      </c>
      <c r="P36" s="2" t="s">
        <v>126</v>
      </c>
      <c r="Q36" s="2" t="s">
        <v>99</v>
      </c>
      <c r="R36" s="2" t="s">
        <v>100</v>
      </c>
      <c r="S36" s="2" t="s">
        <v>346</v>
      </c>
      <c r="T36" s="2" t="s">
        <v>100</v>
      </c>
      <c r="U36" s="2" t="s">
        <v>196</v>
      </c>
      <c r="V36" s="2" t="s">
        <v>347</v>
      </c>
      <c r="W36" s="2" t="s">
        <v>150</v>
      </c>
      <c r="X36" s="2" t="s">
        <v>222</v>
      </c>
      <c r="Y36" s="2" t="s">
        <v>348</v>
      </c>
      <c r="Z36" s="4">
        <v>597</v>
      </c>
      <c r="AA36" s="4">
        <f>=ROUNDDOWN(14.2142857142857,0)</f>
      </c>
      <c r="AB36" s="5">
        <v>42</v>
      </c>
      <c r="AC36" s="2" t="s">
        <v>349</v>
      </c>
      <c r="AD36" s="4">
        <v>300</v>
      </c>
      <c r="AE36" s="4">
        <v>600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3</v>
      </c>
      <c r="AQ36" s="8">
        <v>46.8</v>
      </c>
      <c r="AR36" s="4"/>
      <c r="AS36" s="8"/>
      <c r="AT36" s="7"/>
      <c r="AU36" s="7"/>
      <c r="AV36" s="4">
        <v>3</v>
      </c>
      <c r="AW36" s="8">
        <v>46.8</v>
      </c>
      <c r="AX36" s="4"/>
      <c r="AY36" s="8"/>
      <c r="AZ36" s="7"/>
      <c r="BA36" s="7"/>
      <c r="BB36" s="7">
        <v>1</v>
      </c>
      <c r="BC36" s="4">
        <v>3</v>
      </c>
      <c r="BD36" s="8">
        <v>46.8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1</v>
      </c>
      <c r="BJ36" s="4">
        <v>579</v>
      </c>
      <c r="BK36" s="8">
        <v>8430.4</v>
      </c>
      <c r="BL36" s="2" t="s">
        <v>350</v>
      </c>
      <c r="BM36" s="7">
        <v>0.0052</v>
      </c>
      <c r="BN36" s="7">
        <v>0.0056</v>
      </c>
      <c r="BO36" s="4">
        <v>3</v>
      </c>
      <c r="BP36" s="8">
        <v>46.8</v>
      </c>
      <c r="BQ36" s="4"/>
      <c r="BR36" s="8"/>
      <c r="BS36" s="7"/>
      <c r="BT36" s="7"/>
      <c r="BU36" s="2" t="s">
        <v>106</v>
      </c>
      <c r="BV36" s="2" t="s">
        <v>97</v>
      </c>
      <c r="BW36" s="2" t="s">
        <v>351</v>
      </c>
      <c r="BX36" s="2" t="s">
        <v>352</v>
      </c>
      <c r="BY36" s="2" t="s">
        <v>109</v>
      </c>
      <c r="BZ36" s="2" t="s">
        <v>110</v>
      </c>
    </row>
    <row r="37">
      <c r="A37" s="2" t="s">
        <v>353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342</v>
      </c>
      <c r="G37" s="2" t="s">
        <v>343</v>
      </c>
      <c r="H37" s="2" t="s">
        <v>344</v>
      </c>
      <c r="I37" s="2" t="s">
        <v>345</v>
      </c>
      <c r="J37" s="2" t="s">
        <v>95</v>
      </c>
      <c r="K37" s="2" t="s">
        <v>260</v>
      </c>
      <c r="L37" s="3">
        <v>13.07</v>
      </c>
      <c r="M37" s="3">
        <v>13.72</v>
      </c>
      <c r="N37" s="3">
        <v>27.99</v>
      </c>
      <c r="O37" s="2" t="s">
        <v>97</v>
      </c>
      <c r="P37" s="2" t="s">
        <v>113</v>
      </c>
      <c r="Q37" s="2" t="s">
        <v>99</v>
      </c>
      <c r="R37" s="2" t="s">
        <v>100</v>
      </c>
      <c r="S37" s="2" t="s">
        <v>354</v>
      </c>
      <c r="T37" s="2" t="s">
        <v>100</v>
      </c>
      <c r="U37" s="2" t="s">
        <v>196</v>
      </c>
      <c r="V37" s="2" t="s">
        <v>347</v>
      </c>
      <c r="W37" s="2" t="s">
        <v>150</v>
      </c>
      <c r="X37" s="2" t="s">
        <v>222</v>
      </c>
      <c r="Y37" s="2" t="s">
        <v>355</v>
      </c>
      <c r="Z37" s="4">
        <v>562</v>
      </c>
      <c r="AA37" s="4">
        <f>=ROUNDDOWN(6.7710843373494,0)</f>
      </c>
      <c r="AB37" s="5">
        <v>83</v>
      </c>
      <c r="AC37" s="2" t="s">
        <v>324</v>
      </c>
      <c r="AD37" s="4">
        <v>300</v>
      </c>
      <c r="AE37" s="4">
        <v>1500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/>
      <c r="BJ37" s="4">
        <v>1040</v>
      </c>
      <c r="BK37" s="8">
        <v>16345.39</v>
      </c>
      <c r="BL37" s="2" t="s">
        <v>356</v>
      </c>
      <c r="BM37" s="7"/>
      <c r="BN37" s="7"/>
      <c r="BO37" s="4"/>
      <c r="BP37" s="8"/>
      <c r="BQ37" s="4"/>
      <c r="BR37" s="8"/>
      <c r="BS37" s="7"/>
      <c r="BT37" s="7"/>
      <c r="BU37" s="2" t="s">
        <v>200</v>
      </c>
      <c r="BV37" s="2" t="s">
        <v>97</v>
      </c>
      <c r="BW37" s="2" t="s">
        <v>100</v>
      </c>
      <c r="BX37" s="2" t="s">
        <v>100</v>
      </c>
      <c r="BY37" s="2" t="s">
        <v>109</v>
      </c>
      <c r="BZ37" s="2" t="s">
        <v>110</v>
      </c>
    </row>
    <row r="38">
      <c r="A38" s="2" t="s">
        <v>357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358</v>
      </c>
      <c r="G38" s="2" t="s">
        <v>359</v>
      </c>
      <c r="H38" s="2" t="s">
        <v>360</v>
      </c>
      <c r="I38" s="2" t="s">
        <v>361</v>
      </c>
      <c r="J38" s="2" t="s">
        <v>95</v>
      </c>
      <c r="K38" s="2" t="s">
        <v>267</v>
      </c>
      <c r="L38" s="3">
        <v>13.11</v>
      </c>
      <c r="M38" s="3">
        <v>13.77</v>
      </c>
      <c r="N38" s="3">
        <v>26.99</v>
      </c>
      <c r="O38" s="2" t="s">
        <v>97</v>
      </c>
      <c r="P38" s="2" t="s">
        <v>126</v>
      </c>
      <c r="Q38" s="2" t="s">
        <v>99</v>
      </c>
      <c r="R38" s="2" t="s">
        <v>100</v>
      </c>
      <c r="S38" s="2" t="s">
        <v>362</v>
      </c>
      <c r="T38" s="2" t="s">
        <v>100</v>
      </c>
      <c r="U38" s="2" t="s">
        <v>100</v>
      </c>
      <c r="V38" s="2" t="s">
        <v>102</v>
      </c>
      <c r="W38" s="2" t="s">
        <v>103</v>
      </c>
      <c r="X38" s="2" t="s">
        <v>100</v>
      </c>
      <c r="Y38" s="2" t="s">
        <v>104</v>
      </c>
      <c r="Z38" s="4">
        <v>484</v>
      </c>
      <c r="AA38" s="4">
        <f>=ROUNDDOWN(16.6896551724138,0)</f>
      </c>
      <c r="AB38" s="5">
        <v>29</v>
      </c>
      <c r="AC38" s="2" t="s">
        <v>313</v>
      </c>
      <c r="AD38" s="4">
        <v>360</v>
      </c>
      <c r="AE38" s="4">
        <v>680</v>
      </c>
      <c r="AF38" s="6">
        <v>65</v>
      </c>
      <c r="AG38" s="6"/>
      <c r="AH38" s="7">
        <v>0.9912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3</v>
      </c>
      <c r="AQ38" s="8">
        <v>43.11</v>
      </c>
      <c r="AR38" s="4"/>
      <c r="AS38" s="8"/>
      <c r="AT38" s="7"/>
      <c r="AU38" s="7"/>
      <c r="AV38" s="4">
        <v>3</v>
      </c>
      <c r="AW38" s="8">
        <v>43.11</v>
      </c>
      <c r="AX38" s="4"/>
      <c r="AY38" s="8"/>
      <c r="AZ38" s="7"/>
      <c r="BA38" s="7"/>
      <c r="BB38" s="7">
        <v>1</v>
      </c>
      <c r="BC38" s="4">
        <v>3</v>
      </c>
      <c r="BD38" s="8">
        <v>43.11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1</v>
      </c>
      <c r="BJ38" s="4">
        <v>400</v>
      </c>
      <c r="BK38" s="8">
        <v>5938.28</v>
      </c>
      <c r="BL38" s="2" t="s">
        <v>363</v>
      </c>
      <c r="BM38" s="7">
        <v>0.0075</v>
      </c>
      <c r="BN38" s="7">
        <v>0.0073</v>
      </c>
      <c r="BO38" s="4">
        <v>3</v>
      </c>
      <c r="BP38" s="8">
        <v>43.11</v>
      </c>
      <c r="BQ38" s="4"/>
      <c r="BR38" s="8"/>
      <c r="BS38" s="7"/>
      <c r="BT38" s="7"/>
      <c r="BU38" s="2" t="s">
        <v>106</v>
      </c>
      <c r="BV38" s="2" t="s">
        <v>97</v>
      </c>
      <c r="BW38" s="2" t="s">
        <v>364</v>
      </c>
      <c r="BX38" s="2" t="s">
        <v>365</v>
      </c>
      <c r="BY38" s="2" t="s">
        <v>109</v>
      </c>
      <c r="BZ38" s="2" t="s">
        <v>110</v>
      </c>
    </row>
    <row r="39">
      <c r="A39" s="2" t="s">
        <v>366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358</v>
      </c>
      <c r="G39" s="2" t="s">
        <v>359</v>
      </c>
      <c r="H39" s="2" t="s">
        <v>360</v>
      </c>
      <c r="I39" s="2" t="s">
        <v>361</v>
      </c>
      <c r="J39" s="2" t="s">
        <v>95</v>
      </c>
      <c r="K39" s="2" t="s">
        <v>367</v>
      </c>
      <c r="L39" s="3">
        <v>13.11</v>
      </c>
      <c r="M39" s="3">
        <v>13.77</v>
      </c>
      <c r="N39" s="3">
        <v>26.99</v>
      </c>
      <c r="O39" s="2" t="s">
        <v>97</v>
      </c>
      <c r="P39" s="2" t="s">
        <v>126</v>
      </c>
      <c r="Q39" s="2" t="s">
        <v>99</v>
      </c>
      <c r="R39" s="2" t="s">
        <v>100</v>
      </c>
      <c r="S39" s="2" t="s">
        <v>368</v>
      </c>
      <c r="T39" s="2" t="s">
        <v>100</v>
      </c>
      <c r="U39" s="2" t="s">
        <v>100</v>
      </c>
      <c r="V39" s="2" t="s">
        <v>102</v>
      </c>
      <c r="W39" s="2" t="s">
        <v>103</v>
      </c>
      <c r="X39" s="2" t="s">
        <v>100</v>
      </c>
      <c r="Y39" s="2" t="s">
        <v>104</v>
      </c>
      <c r="Z39" s="4">
        <v>279</v>
      </c>
      <c r="AA39" s="4">
        <f>=ROUNDDOWN(9.62068965517241,0)</f>
      </c>
      <c r="AB39" s="5">
        <v>29</v>
      </c>
      <c r="AC39" s="2" t="s">
        <v>369</v>
      </c>
      <c r="AD39" s="4">
        <v>140</v>
      </c>
      <c r="AE39" s="4">
        <v>620</v>
      </c>
      <c r="AF39" s="6">
        <v>65</v>
      </c>
      <c r="AG39" s="6"/>
      <c r="AH39" s="7">
        <v>0.9561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/>
      <c r="BJ39" s="4">
        <v>422</v>
      </c>
      <c r="BK39" s="8">
        <v>6367.13</v>
      </c>
      <c r="BL39" s="2" t="s">
        <v>370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97</v>
      </c>
      <c r="BW39" s="2" t="s">
        <v>364</v>
      </c>
      <c r="BX39" s="2" t="s">
        <v>365</v>
      </c>
      <c r="BY39" s="2" t="s">
        <v>109</v>
      </c>
      <c r="BZ39" s="2" t="s">
        <v>110</v>
      </c>
    </row>
    <row r="40">
      <c r="A40" s="2" t="s">
        <v>371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358</v>
      </c>
      <c r="G40" s="2" t="s">
        <v>359</v>
      </c>
      <c r="H40" s="2" t="s">
        <v>360</v>
      </c>
      <c r="I40" s="2" t="s">
        <v>361</v>
      </c>
      <c r="J40" s="2" t="s">
        <v>95</v>
      </c>
      <c r="K40" s="2" t="s">
        <v>260</v>
      </c>
      <c r="L40" s="3">
        <v>13.11</v>
      </c>
      <c r="M40" s="3">
        <v>13.77</v>
      </c>
      <c r="N40" s="3">
        <v>26.99</v>
      </c>
      <c r="O40" s="2" t="s">
        <v>97</v>
      </c>
      <c r="P40" s="2" t="s">
        <v>113</v>
      </c>
      <c r="Q40" s="2" t="s">
        <v>99</v>
      </c>
      <c r="R40" s="2" t="s">
        <v>100</v>
      </c>
      <c r="S40" s="2" t="s">
        <v>372</v>
      </c>
      <c r="T40" s="2" t="s">
        <v>100</v>
      </c>
      <c r="U40" s="2" t="s">
        <v>100</v>
      </c>
      <c r="V40" s="2" t="s">
        <v>102</v>
      </c>
      <c r="W40" s="2" t="s">
        <v>103</v>
      </c>
      <c r="X40" s="2" t="s">
        <v>100</v>
      </c>
      <c r="Y40" s="2" t="s">
        <v>104</v>
      </c>
      <c r="Z40" s="4">
        <v>275</v>
      </c>
      <c r="AA40" s="4">
        <f>=ROUNDDOWN(5.3921568627451,0)</f>
      </c>
      <c r="AB40" s="5">
        <v>51</v>
      </c>
      <c r="AC40" s="2" t="s">
        <v>369</v>
      </c>
      <c r="AD40" s="4">
        <v>280</v>
      </c>
      <c r="AE40" s="4">
        <v>880</v>
      </c>
      <c r="AF40" s="6">
        <v>65</v>
      </c>
      <c r="AG40" s="6"/>
      <c r="AH40" s="7">
        <v>0.807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/>
      <c r="BJ40" s="4">
        <v>662</v>
      </c>
      <c r="BK40" s="8">
        <v>9863.79</v>
      </c>
      <c r="BL40" s="2" t="s">
        <v>373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97</v>
      </c>
      <c r="BW40" s="2" t="s">
        <v>364</v>
      </c>
      <c r="BX40" s="2" t="s">
        <v>365</v>
      </c>
      <c r="BY40" s="2" t="s">
        <v>109</v>
      </c>
      <c r="BZ40" s="2" t="s">
        <v>110</v>
      </c>
    </row>
    <row r="41">
      <c r="A41" s="2" t="s">
        <v>374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375</v>
      </c>
      <c r="G41" s="2" t="s">
        <v>376</v>
      </c>
      <c r="H41" s="2" t="s">
        <v>377</v>
      </c>
      <c r="I41" s="2" t="s">
        <v>378</v>
      </c>
      <c r="J41" s="2" t="s">
        <v>95</v>
      </c>
      <c r="K41" s="2" t="s">
        <v>160</v>
      </c>
      <c r="L41" s="3">
        <v>20.16</v>
      </c>
      <c r="M41" s="3">
        <v>21.17</v>
      </c>
      <c r="N41" s="3">
        <v>47.99</v>
      </c>
      <c r="O41" s="2" t="s">
        <v>97</v>
      </c>
      <c r="P41" s="2" t="s">
        <v>126</v>
      </c>
      <c r="Q41" s="2" t="s">
        <v>99</v>
      </c>
      <c r="R41" s="2" t="s">
        <v>100</v>
      </c>
      <c r="S41" s="2" t="s">
        <v>379</v>
      </c>
      <c r="T41" s="2" t="s">
        <v>100</v>
      </c>
      <c r="U41" s="2" t="s">
        <v>196</v>
      </c>
      <c r="V41" s="2" t="s">
        <v>149</v>
      </c>
      <c r="W41" s="2" t="s">
        <v>150</v>
      </c>
      <c r="X41" s="2" t="s">
        <v>100</v>
      </c>
      <c r="Y41" s="2" t="s">
        <v>380</v>
      </c>
      <c r="Z41" s="4">
        <v>473</v>
      </c>
      <c r="AA41" s="4">
        <f>=ROUNDDOWN(22.5238095238095,0)</f>
      </c>
      <c r="AB41" s="5">
        <v>21</v>
      </c>
      <c r="AC41" s="2" t="s">
        <v>324</v>
      </c>
      <c r="AD41" s="4">
        <v>380</v>
      </c>
      <c r="AE41" s="4">
        <v>380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2</v>
      </c>
      <c r="AQ41" s="8">
        <v>41.58</v>
      </c>
      <c r="AR41" s="4"/>
      <c r="AS41" s="8"/>
      <c r="AT41" s="7"/>
      <c r="AU41" s="7"/>
      <c r="AV41" s="4">
        <v>2</v>
      </c>
      <c r="AW41" s="8">
        <v>41.58</v>
      </c>
      <c r="AX41" s="4"/>
      <c r="AY41" s="8"/>
      <c r="AZ41" s="7"/>
      <c r="BA41" s="7"/>
      <c r="BB41" s="7">
        <v>1</v>
      </c>
      <c r="BC41" s="4">
        <v>2</v>
      </c>
      <c r="BD41" s="8">
        <v>41.58</v>
      </c>
      <c r="BE41" s="4"/>
      <c r="BF41" s="8"/>
      <c r="BG41" s="7"/>
      <c r="BH41" s="7"/>
      <c r="BI41" s="7">
        <v>1</v>
      </c>
      <c r="BJ41" s="4">
        <v>297</v>
      </c>
      <c r="BK41" s="8">
        <v>6118.66</v>
      </c>
      <c r="BL41" s="2" t="s">
        <v>283</v>
      </c>
      <c r="BM41" s="7">
        <v>0.0067</v>
      </c>
      <c r="BN41" s="7">
        <v>0.0068</v>
      </c>
      <c r="BO41" s="4">
        <v>2</v>
      </c>
      <c r="BP41" s="8">
        <v>41.58</v>
      </c>
      <c r="BQ41" s="4"/>
      <c r="BR41" s="8"/>
      <c r="BS41" s="7"/>
      <c r="BT41" s="7"/>
      <c r="BU41" s="2" t="s">
        <v>106</v>
      </c>
      <c r="BV41" s="2" t="s">
        <v>97</v>
      </c>
      <c r="BW41" s="2" t="s">
        <v>351</v>
      </c>
      <c r="BX41" s="2" t="s">
        <v>381</v>
      </c>
      <c r="BY41" s="2" t="s">
        <v>109</v>
      </c>
      <c r="BZ41" s="2" t="s">
        <v>110</v>
      </c>
    </row>
    <row r="42">
      <c r="A42" s="2" t="s">
        <v>382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383</v>
      </c>
      <c r="G42" s="2" t="s">
        <v>384</v>
      </c>
      <c r="H42" s="2" t="s">
        <v>385</v>
      </c>
      <c r="I42" s="2" t="s">
        <v>90</v>
      </c>
      <c r="J42" s="2" t="s">
        <v>95</v>
      </c>
      <c r="K42" s="2" t="s">
        <v>243</v>
      </c>
      <c r="L42" s="3">
        <v>16.45</v>
      </c>
      <c r="M42" s="3">
        <v>17.27</v>
      </c>
      <c r="N42" s="3">
        <v>34.99</v>
      </c>
      <c r="O42" s="2" t="s">
        <v>97</v>
      </c>
      <c r="P42" s="2" t="s">
        <v>126</v>
      </c>
      <c r="Q42" s="2" t="s">
        <v>99</v>
      </c>
      <c r="R42" s="2" t="s">
        <v>100</v>
      </c>
      <c r="S42" s="2" t="s">
        <v>386</v>
      </c>
      <c r="T42" s="2" t="s">
        <v>100</v>
      </c>
      <c r="U42" s="2" t="s">
        <v>196</v>
      </c>
      <c r="V42" s="2" t="s">
        <v>387</v>
      </c>
      <c r="W42" s="2" t="s">
        <v>222</v>
      </c>
      <c r="X42" s="2" t="s">
        <v>388</v>
      </c>
      <c r="Y42" s="2" t="s">
        <v>389</v>
      </c>
      <c r="Z42" s="4">
        <v>127</v>
      </c>
      <c r="AA42" s="4">
        <f>=ROUNDDOWN(6.35,0)</f>
      </c>
      <c r="AB42" s="5">
        <v>20</v>
      </c>
      <c r="AC42" s="2" t="s">
        <v>349</v>
      </c>
      <c r="AD42" s="4">
        <v>200</v>
      </c>
      <c r="AE42" s="4">
        <v>500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2</v>
      </c>
      <c r="AQ42" s="8">
        <v>34.54</v>
      </c>
      <c r="AR42" s="4"/>
      <c r="AS42" s="8"/>
      <c r="AT42" s="7"/>
      <c r="AU42" s="7"/>
      <c r="AV42" s="4">
        <v>2</v>
      </c>
      <c r="AW42" s="8">
        <v>34.54</v>
      </c>
      <c r="AX42" s="4"/>
      <c r="AY42" s="8"/>
      <c r="AZ42" s="7"/>
      <c r="BA42" s="7"/>
      <c r="BB42" s="7">
        <v>1</v>
      </c>
      <c r="BC42" s="4">
        <v>2</v>
      </c>
      <c r="BD42" s="8">
        <v>34.54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1</v>
      </c>
      <c r="BJ42" s="4">
        <v>273</v>
      </c>
      <c r="BK42" s="8">
        <v>4977.11</v>
      </c>
      <c r="BL42" s="2" t="s">
        <v>390</v>
      </c>
      <c r="BM42" s="7">
        <v>0.0073</v>
      </c>
      <c r="BN42" s="7">
        <v>0.0069</v>
      </c>
      <c r="BO42" s="4">
        <v>2</v>
      </c>
      <c r="BP42" s="8">
        <v>34.54</v>
      </c>
      <c r="BQ42" s="4"/>
      <c r="BR42" s="8"/>
      <c r="BS42" s="7"/>
      <c r="BT42" s="7"/>
      <c r="BU42" s="2" t="s">
        <v>106</v>
      </c>
      <c r="BV42" s="2" t="s">
        <v>97</v>
      </c>
      <c r="BW42" s="2" t="s">
        <v>225</v>
      </c>
      <c r="BX42" s="2" t="s">
        <v>391</v>
      </c>
      <c r="BY42" s="2" t="s">
        <v>109</v>
      </c>
      <c r="BZ42" s="2" t="s">
        <v>110</v>
      </c>
    </row>
    <row r="43">
      <c r="A43" s="2" t="s">
        <v>392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383</v>
      </c>
      <c r="G43" s="2" t="s">
        <v>384</v>
      </c>
      <c r="H43" s="2" t="s">
        <v>385</v>
      </c>
      <c r="I43" s="2" t="s">
        <v>90</v>
      </c>
      <c r="J43" s="2" t="s">
        <v>95</v>
      </c>
      <c r="K43" s="2" t="s">
        <v>393</v>
      </c>
      <c r="L43" s="3">
        <v>16.45</v>
      </c>
      <c r="M43" s="3">
        <v>17.27</v>
      </c>
      <c r="N43" s="3">
        <v>34.99</v>
      </c>
      <c r="O43" s="2" t="s">
        <v>97</v>
      </c>
      <c r="P43" s="2" t="s">
        <v>126</v>
      </c>
      <c r="Q43" s="2" t="s">
        <v>99</v>
      </c>
      <c r="R43" s="2" t="s">
        <v>100</v>
      </c>
      <c r="S43" s="2" t="s">
        <v>394</v>
      </c>
      <c r="T43" s="2" t="s">
        <v>100</v>
      </c>
      <c r="U43" s="2" t="s">
        <v>196</v>
      </c>
      <c r="V43" s="2" t="s">
        <v>387</v>
      </c>
      <c r="W43" s="2" t="s">
        <v>222</v>
      </c>
      <c r="X43" s="2" t="s">
        <v>388</v>
      </c>
      <c r="Y43" s="2" t="s">
        <v>395</v>
      </c>
      <c r="Z43" s="4">
        <v>128</v>
      </c>
      <c r="AA43" s="4">
        <f>=ROUNDDOWN(6.4,0)</f>
      </c>
      <c r="AB43" s="5">
        <v>20</v>
      </c>
      <c r="AC43" s="2" t="s">
        <v>396</v>
      </c>
      <c r="AD43" s="4">
        <v>200</v>
      </c>
      <c r="AE43" s="4">
        <v>500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/>
      <c r="BJ43" s="4">
        <v>271</v>
      </c>
      <c r="BK43" s="8">
        <v>4870.11</v>
      </c>
      <c r="BL43" s="2" t="s">
        <v>397</v>
      </c>
      <c r="BM43" s="7"/>
      <c r="BN43" s="7"/>
      <c r="BO43" s="4"/>
      <c r="BP43" s="8"/>
      <c r="BQ43" s="4"/>
      <c r="BR43" s="8"/>
      <c r="BS43" s="7"/>
      <c r="BT43" s="7"/>
      <c r="BU43" s="2" t="s">
        <v>200</v>
      </c>
      <c r="BV43" s="2" t="s">
        <v>97</v>
      </c>
      <c r="BW43" s="2" t="s">
        <v>100</v>
      </c>
      <c r="BX43" s="2" t="s">
        <v>100</v>
      </c>
      <c r="BY43" s="2" t="s">
        <v>109</v>
      </c>
      <c r="BZ43" s="2" t="s">
        <v>110</v>
      </c>
    </row>
    <row r="44">
      <c r="A44" s="2" t="s">
        <v>398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399</v>
      </c>
      <c r="G44" s="2" t="s">
        <v>400</v>
      </c>
      <c r="H44" s="2" t="s">
        <v>401</v>
      </c>
      <c r="I44" s="2" t="s">
        <v>147</v>
      </c>
      <c r="J44" s="2" t="s">
        <v>95</v>
      </c>
      <c r="K44" s="2" t="s">
        <v>160</v>
      </c>
      <c r="L44" s="3">
        <v>17.6</v>
      </c>
      <c r="M44" s="3">
        <v>18.48</v>
      </c>
      <c r="N44" s="3">
        <v>39.99</v>
      </c>
      <c r="O44" s="2" t="s">
        <v>97</v>
      </c>
      <c r="P44" s="2" t="s">
        <v>126</v>
      </c>
      <c r="Q44" s="2" t="s">
        <v>99</v>
      </c>
      <c r="R44" s="2" t="s">
        <v>100</v>
      </c>
      <c r="S44" s="2" t="s">
        <v>402</v>
      </c>
      <c r="T44" s="2" t="s">
        <v>100</v>
      </c>
      <c r="U44" s="2" t="s">
        <v>100</v>
      </c>
      <c r="V44" s="2" t="s">
        <v>102</v>
      </c>
      <c r="W44" s="2" t="s">
        <v>311</v>
      </c>
      <c r="X44" s="2" t="s">
        <v>100</v>
      </c>
      <c r="Y44" s="2" t="s">
        <v>104</v>
      </c>
      <c r="Z44" s="4">
        <v>163</v>
      </c>
      <c r="AA44" s="4">
        <f>=ROUNDDOWN(8.15,0)</f>
      </c>
      <c r="AB44" s="5">
        <v>20</v>
      </c>
      <c r="AC44" s="2" t="s">
        <v>403</v>
      </c>
      <c r="AD44" s="4">
        <v>52</v>
      </c>
      <c r="AE44" s="4">
        <v>452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1</v>
      </c>
      <c r="AQ44" s="8">
        <v>20.22</v>
      </c>
      <c r="AR44" s="4"/>
      <c r="AS44" s="8"/>
      <c r="AT44" s="7"/>
      <c r="AU44" s="7"/>
      <c r="AV44" s="4">
        <v>1</v>
      </c>
      <c r="AW44" s="8">
        <v>20.22</v>
      </c>
      <c r="AX44" s="4"/>
      <c r="AY44" s="8"/>
      <c r="AZ44" s="7"/>
      <c r="BA44" s="7"/>
      <c r="BB44" s="7">
        <v>1</v>
      </c>
      <c r="BC44" s="4">
        <v>1</v>
      </c>
      <c r="BD44" s="8">
        <v>20.22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1</v>
      </c>
      <c r="BJ44" s="4">
        <v>313</v>
      </c>
      <c r="BK44" s="8">
        <v>6159.47</v>
      </c>
      <c r="BL44" s="2" t="s">
        <v>404</v>
      </c>
      <c r="BM44" s="7">
        <v>0.0032</v>
      </c>
      <c r="BN44" s="7">
        <v>0.0033</v>
      </c>
      <c r="BO44" s="4">
        <v>1</v>
      </c>
      <c r="BP44" s="8">
        <v>20.22</v>
      </c>
      <c r="BQ44" s="4"/>
      <c r="BR44" s="8"/>
      <c r="BS44" s="7"/>
      <c r="BT44" s="7"/>
      <c r="BU44" s="2" t="s">
        <v>106</v>
      </c>
      <c r="BV44" s="2" t="s">
        <v>97</v>
      </c>
      <c r="BW44" s="2" t="s">
        <v>122</v>
      </c>
      <c r="BX44" s="2" t="s">
        <v>405</v>
      </c>
      <c r="BY44" s="2" t="s">
        <v>109</v>
      </c>
      <c r="BZ44" s="2" t="s">
        <v>110</v>
      </c>
    </row>
    <row r="45">
      <c r="A45" s="2" t="s">
        <v>406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399</v>
      </c>
      <c r="G45" s="2" t="s">
        <v>400</v>
      </c>
      <c r="H45" s="2" t="s">
        <v>401</v>
      </c>
      <c r="I45" s="2" t="s">
        <v>147</v>
      </c>
      <c r="J45" s="2" t="s">
        <v>95</v>
      </c>
      <c r="K45" s="2" t="s">
        <v>407</v>
      </c>
      <c r="L45" s="3">
        <v>17.6</v>
      </c>
      <c r="M45" s="3">
        <v>18.48</v>
      </c>
      <c r="N45" s="3">
        <v>39.99</v>
      </c>
      <c r="O45" s="2" t="s">
        <v>97</v>
      </c>
      <c r="P45" s="2" t="s">
        <v>126</v>
      </c>
      <c r="Q45" s="2" t="s">
        <v>99</v>
      </c>
      <c r="R45" s="2" t="s">
        <v>100</v>
      </c>
      <c r="S45" s="2" t="s">
        <v>408</v>
      </c>
      <c r="T45" s="2" t="s">
        <v>100</v>
      </c>
      <c r="U45" s="2" t="s">
        <v>100</v>
      </c>
      <c r="V45" s="2" t="s">
        <v>102</v>
      </c>
      <c r="W45" s="2" t="s">
        <v>311</v>
      </c>
      <c r="X45" s="2" t="s">
        <v>100</v>
      </c>
      <c r="Y45" s="2" t="s">
        <v>409</v>
      </c>
      <c r="Z45" s="4">
        <v>353</v>
      </c>
      <c r="AA45" s="4">
        <f>=ROUNDDOWN(14.7083333333333,0)</f>
      </c>
      <c r="AB45" s="5">
        <v>24</v>
      </c>
      <c r="AC45" s="2" t="s">
        <v>410</v>
      </c>
      <c r="AD45" s="4">
        <v>120</v>
      </c>
      <c r="AE45" s="4">
        <v>120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/>
      <c r="BJ45" s="4">
        <v>319</v>
      </c>
      <c r="BK45" s="8">
        <v>6218.92</v>
      </c>
      <c r="BL45" s="2" t="s">
        <v>411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97</v>
      </c>
      <c r="BW45" s="2" t="s">
        <v>122</v>
      </c>
      <c r="BX45" s="2" t="s">
        <v>412</v>
      </c>
      <c r="BY45" s="2" t="s">
        <v>109</v>
      </c>
      <c r="BZ45" s="2" t="s">
        <v>110</v>
      </c>
    </row>
    <row r="46">
      <c r="A46" s="2" t="s">
        <v>413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414</v>
      </c>
      <c r="G46" s="2" t="s">
        <v>415</v>
      </c>
      <c r="H46" s="2" t="s">
        <v>416</v>
      </c>
      <c r="I46" s="2" t="s">
        <v>90</v>
      </c>
      <c r="J46" s="2" t="s">
        <v>95</v>
      </c>
      <c r="K46" s="2" t="s">
        <v>133</v>
      </c>
      <c r="L46" s="3">
        <v>17.6</v>
      </c>
      <c r="M46" s="3">
        <v>18.48</v>
      </c>
      <c r="N46" s="3">
        <v>39.99</v>
      </c>
      <c r="O46" s="2" t="s">
        <v>97</v>
      </c>
      <c r="P46" s="2" t="s">
        <v>126</v>
      </c>
      <c r="Q46" s="2" t="s">
        <v>99</v>
      </c>
      <c r="R46" s="2" t="s">
        <v>100</v>
      </c>
      <c r="S46" s="2" t="s">
        <v>417</v>
      </c>
      <c r="T46" s="2" t="s">
        <v>100</v>
      </c>
      <c r="U46" s="2" t="s">
        <v>100</v>
      </c>
      <c r="V46" s="2" t="s">
        <v>418</v>
      </c>
      <c r="W46" s="2" t="s">
        <v>418</v>
      </c>
      <c r="X46" s="2" t="s">
        <v>100</v>
      </c>
      <c r="Y46" s="2" t="s">
        <v>104</v>
      </c>
      <c r="Z46" s="4">
        <v>410</v>
      </c>
      <c r="AA46" s="4">
        <f>=ROUNDDOWN(24.6987951807229,0)</f>
      </c>
      <c r="AB46" s="5">
        <v>16.6</v>
      </c>
      <c r="AC46" s="2" t="s">
        <v>100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</v>
      </c>
      <c r="AQ46" s="8">
        <v>19.06</v>
      </c>
      <c r="AR46" s="4"/>
      <c r="AS46" s="8"/>
      <c r="AT46" s="7"/>
      <c r="AU46" s="7"/>
      <c r="AV46" s="4">
        <v>1</v>
      </c>
      <c r="AW46" s="8">
        <v>19.06</v>
      </c>
      <c r="AX46" s="4"/>
      <c r="AY46" s="8"/>
      <c r="AZ46" s="7"/>
      <c r="BA46" s="7"/>
      <c r="BB46" s="7">
        <v>1</v>
      </c>
      <c r="BC46" s="4">
        <v>1</v>
      </c>
      <c r="BD46" s="8">
        <v>19.06</v>
      </c>
      <c r="BE46" s="4"/>
      <c r="BF46" s="8"/>
      <c r="BG46" s="7"/>
      <c r="BH46" s="7"/>
      <c r="BI46" s="7">
        <v>1</v>
      </c>
      <c r="BJ46" s="4">
        <v>343</v>
      </c>
      <c r="BK46" s="8">
        <v>6595.84</v>
      </c>
      <c r="BL46" s="2" t="s">
        <v>271</v>
      </c>
      <c r="BM46" s="7">
        <v>0.0029</v>
      </c>
      <c r="BN46" s="7">
        <v>0.0029</v>
      </c>
      <c r="BO46" s="4">
        <v>1</v>
      </c>
      <c r="BP46" s="8">
        <v>19.06</v>
      </c>
      <c r="BQ46" s="4"/>
      <c r="BR46" s="8"/>
      <c r="BS46" s="7"/>
      <c r="BT46" s="7"/>
      <c r="BU46" s="2" t="s">
        <v>106</v>
      </c>
      <c r="BV46" s="2" t="s">
        <v>97</v>
      </c>
      <c r="BW46" s="2" t="s">
        <v>107</v>
      </c>
      <c r="BX46" s="2" t="s">
        <v>108</v>
      </c>
      <c r="BY46" s="2" t="s">
        <v>109</v>
      </c>
      <c r="BZ46" s="2" t="s">
        <v>110</v>
      </c>
    </row>
    <row r="47">
      <c r="A47" s="2" t="s">
        <v>419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420</v>
      </c>
      <c r="G47" s="2" t="s">
        <v>421</v>
      </c>
      <c r="H47" s="2" t="s">
        <v>422</v>
      </c>
      <c r="I47" s="2" t="s">
        <v>423</v>
      </c>
      <c r="J47" s="2" t="s">
        <v>95</v>
      </c>
      <c r="K47" s="2" t="s">
        <v>218</v>
      </c>
      <c r="L47" s="3">
        <v>16.28</v>
      </c>
      <c r="M47" s="3">
        <v>17.09</v>
      </c>
      <c r="N47" s="3">
        <v>36.99</v>
      </c>
      <c r="O47" s="2" t="s">
        <v>97</v>
      </c>
      <c r="P47" s="2" t="s">
        <v>126</v>
      </c>
      <c r="Q47" s="2" t="s">
        <v>99</v>
      </c>
      <c r="R47" s="2" t="s">
        <v>100</v>
      </c>
      <c r="S47" s="2" t="s">
        <v>424</v>
      </c>
      <c r="T47" s="2" t="s">
        <v>100</v>
      </c>
      <c r="U47" s="2" t="s">
        <v>196</v>
      </c>
      <c r="V47" s="2" t="s">
        <v>270</v>
      </c>
      <c r="W47" s="2" t="s">
        <v>150</v>
      </c>
      <c r="X47" s="2" t="s">
        <v>100</v>
      </c>
      <c r="Y47" s="2" t="s">
        <v>425</v>
      </c>
      <c r="Z47" s="4">
        <v>396</v>
      </c>
      <c r="AA47" s="4">
        <f>=ROUNDDOWN(13.2,0)</f>
      </c>
      <c r="AB47" s="5">
        <v>30</v>
      </c>
      <c r="AC47" s="2" t="s">
        <v>324</v>
      </c>
      <c r="AD47" s="4">
        <v>300</v>
      </c>
      <c r="AE47" s="4">
        <v>600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18.19</v>
      </c>
      <c r="AR47" s="4"/>
      <c r="AS47" s="8"/>
      <c r="AT47" s="7"/>
      <c r="AU47" s="7"/>
      <c r="AV47" s="4">
        <v>1</v>
      </c>
      <c r="AW47" s="8">
        <v>18.19</v>
      </c>
      <c r="AX47" s="4"/>
      <c r="AY47" s="8"/>
      <c r="AZ47" s="7"/>
      <c r="BA47" s="7"/>
      <c r="BB47" s="7">
        <v>1</v>
      </c>
      <c r="BC47" s="4">
        <v>1</v>
      </c>
      <c r="BD47" s="8">
        <v>18.19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1</v>
      </c>
      <c r="BJ47" s="4">
        <v>485</v>
      </c>
      <c r="BK47" s="8">
        <v>8820.02</v>
      </c>
      <c r="BL47" s="2" t="s">
        <v>426</v>
      </c>
      <c r="BM47" s="7">
        <v>0.0021</v>
      </c>
      <c r="BN47" s="7">
        <v>0.0021</v>
      </c>
      <c r="BO47" s="4">
        <v>1</v>
      </c>
      <c r="BP47" s="8">
        <v>18.19</v>
      </c>
      <c r="BQ47" s="4"/>
      <c r="BR47" s="8"/>
      <c r="BS47" s="7"/>
      <c r="BT47" s="7"/>
      <c r="BU47" s="2" t="s">
        <v>106</v>
      </c>
      <c r="BV47" s="2" t="s">
        <v>97</v>
      </c>
      <c r="BW47" s="2" t="s">
        <v>351</v>
      </c>
      <c r="BX47" s="2" t="s">
        <v>427</v>
      </c>
      <c r="BY47" s="2" t="s">
        <v>109</v>
      </c>
      <c r="BZ47" s="2" t="s">
        <v>110</v>
      </c>
    </row>
    <row r="48">
      <c r="A48" s="2" t="s">
        <v>428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420</v>
      </c>
      <c r="G48" s="2" t="s">
        <v>421</v>
      </c>
      <c r="H48" s="2" t="s">
        <v>422</v>
      </c>
      <c r="I48" s="2" t="s">
        <v>423</v>
      </c>
      <c r="J48" s="2" t="s">
        <v>95</v>
      </c>
      <c r="K48" s="2" t="s">
        <v>429</v>
      </c>
      <c r="L48" s="3">
        <v>16.28</v>
      </c>
      <c r="M48" s="3">
        <v>17.09</v>
      </c>
      <c r="N48" s="3">
        <v>36.99</v>
      </c>
      <c r="O48" s="2" t="s">
        <v>97</v>
      </c>
      <c r="P48" s="2" t="s">
        <v>126</v>
      </c>
      <c r="Q48" s="2" t="s">
        <v>99</v>
      </c>
      <c r="R48" s="2" t="s">
        <v>100</v>
      </c>
      <c r="S48" s="2" t="s">
        <v>424</v>
      </c>
      <c r="T48" s="2" t="s">
        <v>100</v>
      </c>
      <c r="U48" s="2" t="s">
        <v>196</v>
      </c>
      <c r="V48" s="2" t="s">
        <v>270</v>
      </c>
      <c r="W48" s="2" t="s">
        <v>150</v>
      </c>
      <c r="X48" s="2" t="s">
        <v>100</v>
      </c>
      <c r="Y48" s="2" t="s">
        <v>425</v>
      </c>
      <c r="Z48" s="4">
        <v>682</v>
      </c>
      <c r="AA48" s="4">
        <f>=ROUNDDOWN(26.2307692307692,0)</f>
      </c>
      <c r="AB48" s="5">
        <v>26</v>
      </c>
      <c r="AC48" s="2" t="s">
        <v>430</v>
      </c>
      <c r="AD48" s="4">
        <v>240</v>
      </c>
      <c r="AE48" s="4">
        <v>240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/>
      <c r="BJ48" s="4">
        <v>330</v>
      </c>
      <c r="BK48" s="8">
        <v>6159.27</v>
      </c>
      <c r="BL48" s="2" t="s">
        <v>431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97</v>
      </c>
      <c r="BW48" s="2" t="s">
        <v>351</v>
      </c>
      <c r="BX48" s="2" t="s">
        <v>432</v>
      </c>
      <c r="BY48" s="2" t="s">
        <v>109</v>
      </c>
      <c r="BZ48" s="2" t="s">
        <v>110</v>
      </c>
    </row>
    <row r="49">
      <c r="A49" s="2" t="s">
        <v>433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434</v>
      </c>
      <c r="G49" s="2" t="s">
        <v>435</v>
      </c>
      <c r="H49" s="2" t="s">
        <v>436</v>
      </c>
      <c r="I49" s="2" t="s">
        <v>437</v>
      </c>
      <c r="J49" s="2" t="s">
        <v>95</v>
      </c>
      <c r="K49" s="2" t="s">
        <v>267</v>
      </c>
      <c r="L49" s="3">
        <v>18.92</v>
      </c>
      <c r="M49" s="3">
        <v>19.87</v>
      </c>
      <c r="N49" s="3">
        <v>42.99</v>
      </c>
      <c r="O49" s="2" t="s">
        <v>438</v>
      </c>
      <c r="P49" s="2" t="s">
        <v>134</v>
      </c>
      <c r="Q49" s="2" t="s">
        <v>99</v>
      </c>
      <c r="R49" s="2" t="s">
        <v>100</v>
      </c>
      <c r="S49" s="2" t="s">
        <v>439</v>
      </c>
      <c r="T49" s="2" t="s">
        <v>100</v>
      </c>
      <c r="U49" s="2" t="s">
        <v>196</v>
      </c>
      <c r="V49" s="2" t="s">
        <v>440</v>
      </c>
      <c r="W49" s="2" t="s">
        <v>150</v>
      </c>
      <c r="X49" s="2" t="s">
        <v>388</v>
      </c>
      <c r="Y49" s="2" t="s">
        <v>441</v>
      </c>
      <c r="Z49" s="4"/>
      <c r="AA49" s="4">
        <f>=ROUNDDOWN({0},0)</f>
      </c>
      <c r="AB49" s="5"/>
      <c r="AC49" s="2" t="s">
        <v>100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100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97</v>
      </c>
      <c r="BW49" s="2" t="s">
        <v>442</v>
      </c>
      <c r="BX49" s="2" t="s">
        <v>443</v>
      </c>
      <c r="BY49" s="2" t="s">
        <v>109</v>
      </c>
      <c r="BZ49" s="2" t="s">
        <v>100</v>
      </c>
    </row>
    <row r="50">
      <c r="A50" s="2" t="s">
        <v>444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445</v>
      </c>
      <c r="G50" s="2" t="s">
        <v>446</v>
      </c>
      <c r="H50" s="2" t="s">
        <v>447</v>
      </c>
      <c r="I50" s="2" t="s">
        <v>448</v>
      </c>
      <c r="J50" s="2" t="s">
        <v>95</v>
      </c>
      <c r="K50" s="2" t="s">
        <v>133</v>
      </c>
      <c r="L50" s="3">
        <v>13.2</v>
      </c>
      <c r="M50" s="3">
        <v>13.86</v>
      </c>
      <c r="N50" s="3">
        <v>29.99</v>
      </c>
      <c r="O50" s="2" t="s">
        <v>97</v>
      </c>
      <c r="P50" s="2" t="s">
        <v>194</v>
      </c>
      <c r="Q50" s="2" t="s">
        <v>99</v>
      </c>
      <c r="R50" s="2" t="s">
        <v>100</v>
      </c>
      <c r="S50" s="2" t="s">
        <v>449</v>
      </c>
      <c r="T50" s="2" t="s">
        <v>450</v>
      </c>
      <c r="U50" s="2" t="s">
        <v>196</v>
      </c>
      <c r="V50" s="2" t="s">
        <v>234</v>
      </c>
      <c r="W50" s="2" t="s">
        <v>388</v>
      </c>
      <c r="X50" s="2" t="s">
        <v>150</v>
      </c>
      <c r="Y50" s="2" t="s">
        <v>197</v>
      </c>
      <c r="Z50" s="4">
        <v>232</v>
      </c>
      <c r="AA50" s="4">
        <f>=ROUNDDOWN(21.0909090909091,0)</f>
      </c>
      <c r="AB50" s="5">
        <v>11</v>
      </c>
      <c r="AC50" s="2" t="s">
        <v>100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121</v>
      </c>
      <c r="BK50" s="8">
        <v>1850.94</v>
      </c>
      <c r="BL50" s="2" t="s">
        <v>451</v>
      </c>
      <c r="BM50" s="7"/>
      <c r="BN50" s="7"/>
      <c r="BO50" s="4"/>
      <c r="BP50" s="8"/>
      <c r="BQ50" s="4"/>
      <c r="BR50" s="8"/>
      <c r="BS50" s="7"/>
      <c r="BT50" s="7"/>
      <c r="BU50" s="2" t="s">
        <v>200</v>
      </c>
      <c r="BV50" s="2" t="s">
        <v>97</v>
      </c>
      <c r="BW50" s="2" t="s">
        <v>100</v>
      </c>
      <c r="BX50" s="2" t="s">
        <v>100</v>
      </c>
      <c r="BY50" s="2" t="s">
        <v>109</v>
      </c>
      <c r="BZ50" s="2" t="s">
        <v>110</v>
      </c>
    </row>
    <row r="51">
      <c r="A51" s="2" t="s">
        <v>452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453</v>
      </c>
      <c r="G51" s="2" t="s">
        <v>454</v>
      </c>
      <c r="H51" s="2" t="s">
        <v>455</v>
      </c>
      <c r="I51" s="2" t="s">
        <v>231</v>
      </c>
      <c r="J51" s="2" t="s">
        <v>95</v>
      </c>
      <c r="K51" s="2" t="s">
        <v>133</v>
      </c>
      <c r="L51" s="3">
        <v>18.92</v>
      </c>
      <c r="M51" s="3">
        <v>19.87</v>
      </c>
      <c r="N51" s="3">
        <v>42.99</v>
      </c>
      <c r="O51" s="2" t="s">
        <v>97</v>
      </c>
      <c r="P51" s="2" t="s">
        <v>126</v>
      </c>
      <c r="Q51" s="2" t="s">
        <v>99</v>
      </c>
      <c r="R51" s="2" t="s">
        <v>100</v>
      </c>
      <c r="S51" s="2" t="s">
        <v>456</v>
      </c>
      <c r="T51" s="2" t="s">
        <v>220</v>
      </c>
      <c r="U51" s="2" t="s">
        <v>196</v>
      </c>
      <c r="V51" s="2" t="s">
        <v>149</v>
      </c>
      <c r="W51" s="2" t="s">
        <v>222</v>
      </c>
      <c r="X51" s="2" t="s">
        <v>150</v>
      </c>
      <c r="Y51" s="2" t="s">
        <v>457</v>
      </c>
      <c r="Z51" s="4">
        <v>3</v>
      </c>
      <c r="AA51" s="4">
        <f>=ROUNDDOWN(0.176470588235294,0)</f>
      </c>
      <c r="AB51" s="5">
        <v>17</v>
      </c>
      <c r="AC51" s="2" t="s">
        <v>458</v>
      </c>
      <c r="AD51" s="4">
        <v>280</v>
      </c>
      <c r="AE51" s="4">
        <v>480</v>
      </c>
      <c r="AF51" s="6">
        <v>65</v>
      </c>
      <c r="AG51" s="6"/>
      <c r="AH51" s="7">
        <v>0.4298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121</v>
      </c>
      <c r="BK51" s="8">
        <v>2629.73</v>
      </c>
      <c r="BL51" s="2" t="s">
        <v>459</v>
      </c>
      <c r="BM51" s="7"/>
      <c r="BN51" s="7"/>
      <c r="BO51" s="4"/>
      <c r="BP51" s="8"/>
      <c r="BQ51" s="4"/>
      <c r="BR51" s="8"/>
      <c r="BS51" s="7"/>
      <c r="BT51" s="7"/>
      <c r="BU51" s="2" t="s">
        <v>200</v>
      </c>
      <c r="BV51" s="2" t="s">
        <v>97</v>
      </c>
      <c r="BW51" s="2" t="s">
        <v>100</v>
      </c>
      <c r="BX51" s="2" t="s">
        <v>100</v>
      </c>
      <c r="BY51" s="2" t="s">
        <v>109</v>
      </c>
      <c r="BZ51" s="2" t="s">
        <v>110</v>
      </c>
    </row>
    <row r="52">
      <c r="A52" s="2" t="s">
        <v>460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461</v>
      </c>
      <c r="G52" s="2" t="s">
        <v>462</v>
      </c>
      <c r="H52" s="2" t="s">
        <v>463</v>
      </c>
      <c r="I52" s="2" t="s">
        <v>464</v>
      </c>
      <c r="J52" s="2" t="s">
        <v>95</v>
      </c>
      <c r="K52" s="2" t="s">
        <v>243</v>
      </c>
      <c r="L52" s="3">
        <v>18.8</v>
      </c>
      <c r="M52" s="3">
        <v>19.74</v>
      </c>
      <c r="N52" s="3">
        <v>42.99</v>
      </c>
      <c r="O52" s="2" t="s">
        <v>97</v>
      </c>
      <c r="P52" s="2" t="s">
        <v>134</v>
      </c>
      <c r="Q52" s="2" t="s">
        <v>99</v>
      </c>
      <c r="R52" s="2" t="s">
        <v>100</v>
      </c>
      <c r="S52" s="2" t="s">
        <v>465</v>
      </c>
      <c r="T52" s="2" t="s">
        <v>220</v>
      </c>
      <c r="U52" s="2" t="s">
        <v>196</v>
      </c>
      <c r="V52" s="2" t="s">
        <v>149</v>
      </c>
      <c r="W52" s="2" t="s">
        <v>388</v>
      </c>
      <c r="X52" s="2" t="s">
        <v>222</v>
      </c>
      <c r="Y52" s="2" t="s">
        <v>466</v>
      </c>
      <c r="Z52" s="4">
        <v>218</v>
      </c>
      <c r="AA52" s="4">
        <f>=ROUNDDOWN(53.1707317073171,0)</f>
      </c>
      <c r="AB52" s="5">
        <v>4.1</v>
      </c>
      <c r="AC52" s="2" t="s">
        <v>100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/>
      <c r="BJ52" s="4">
        <v>56</v>
      </c>
      <c r="BK52" s="8">
        <v>1003.3</v>
      </c>
      <c r="BL52" s="2" t="s">
        <v>467</v>
      </c>
      <c r="BM52" s="7"/>
      <c r="BN52" s="7"/>
      <c r="BO52" s="4"/>
      <c r="BP52" s="8"/>
      <c r="BQ52" s="4"/>
      <c r="BR52" s="8"/>
      <c r="BS52" s="7"/>
      <c r="BT52" s="7"/>
      <c r="BU52" s="2" t="s">
        <v>200</v>
      </c>
      <c r="BV52" s="2" t="s">
        <v>97</v>
      </c>
      <c r="BW52" s="2" t="s">
        <v>100</v>
      </c>
      <c r="BX52" s="2" t="s">
        <v>100</v>
      </c>
      <c r="BY52" s="2" t="s">
        <v>109</v>
      </c>
      <c r="BZ52" s="2" t="s">
        <v>110</v>
      </c>
    </row>
    <row r="53">
      <c r="A53" s="2" t="s">
        <v>468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461</v>
      </c>
      <c r="G53" s="2" t="s">
        <v>462</v>
      </c>
      <c r="H53" s="2" t="s">
        <v>463</v>
      </c>
      <c r="I53" s="2" t="s">
        <v>464</v>
      </c>
      <c r="J53" s="2" t="s">
        <v>95</v>
      </c>
      <c r="K53" s="2" t="s">
        <v>267</v>
      </c>
      <c r="L53" s="3">
        <v>18.8</v>
      </c>
      <c r="M53" s="3">
        <v>19.74</v>
      </c>
      <c r="N53" s="3">
        <v>42.99</v>
      </c>
      <c r="O53" s="2" t="s">
        <v>97</v>
      </c>
      <c r="P53" s="2" t="s">
        <v>134</v>
      </c>
      <c r="Q53" s="2" t="s">
        <v>99</v>
      </c>
      <c r="R53" s="2" t="s">
        <v>100</v>
      </c>
      <c r="S53" s="2" t="s">
        <v>469</v>
      </c>
      <c r="T53" s="2" t="s">
        <v>220</v>
      </c>
      <c r="U53" s="2" t="s">
        <v>196</v>
      </c>
      <c r="V53" s="2" t="s">
        <v>149</v>
      </c>
      <c r="W53" s="2" t="s">
        <v>388</v>
      </c>
      <c r="X53" s="2" t="s">
        <v>222</v>
      </c>
      <c r="Y53" s="2" t="s">
        <v>466</v>
      </c>
      <c r="Z53" s="4">
        <v>170</v>
      </c>
      <c r="AA53" s="4">
        <f>=ROUNDDOWN(80.9523809523809,0)</f>
      </c>
      <c r="AB53" s="5">
        <v>2.1</v>
      </c>
      <c r="AC53" s="2" t="s">
        <v>100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/>
      <c r="BJ53" s="4">
        <v>38</v>
      </c>
      <c r="BK53" s="8">
        <v>664.84</v>
      </c>
      <c r="BL53" s="2" t="s">
        <v>470</v>
      </c>
      <c r="BM53" s="7"/>
      <c r="BN53" s="7"/>
      <c r="BO53" s="4"/>
      <c r="BP53" s="8"/>
      <c r="BQ53" s="4"/>
      <c r="BR53" s="8"/>
      <c r="BS53" s="7"/>
      <c r="BT53" s="7"/>
      <c r="BU53" s="2" t="s">
        <v>200</v>
      </c>
      <c r="BV53" s="2" t="s">
        <v>97</v>
      </c>
      <c r="BW53" s="2" t="s">
        <v>100</v>
      </c>
      <c r="BX53" s="2" t="s">
        <v>100</v>
      </c>
      <c r="BY53" s="2" t="s">
        <v>109</v>
      </c>
      <c r="BZ53" s="2" t="s">
        <v>110</v>
      </c>
    </row>
    <row r="54">
      <c r="A54" s="2" t="s">
        <v>471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461</v>
      </c>
      <c r="G54" s="2" t="s">
        <v>462</v>
      </c>
      <c r="H54" s="2" t="s">
        <v>463</v>
      </c>
      <c r="I54" s="2" t="s">
        <v>464</v>
      </c>
      <c r="J54" s="2" t="s">
        <v>95</v>
      </c>
      <c r="K54" s="2" t="s">
        <v>139</v>
      </c>
      <c r="L54" s="3">
        <v>18.8</v>
      </c>
      <c r="M54" s="3">
        <v>19.74</v>
      </c>
      <c r="N54" s="3">
        <v>42.99</v>
      </c>
      <c r="O54" s="2" t="s">
        <v>97</v>
      </c>
      <c r="P54" s="2" t="s">
        <v>134</v>
      </c>
      <c r="Q54" s="2" t="s">
        <v>99</v>
      </c>
      <c r="R54" s="2" t="s">
        <v>100</v>
      </c>
      <c r="S54" s="2" t="s">
        <v>472</v>
      </c>
      <c r="T54" s="2" t="s">
        <v>220</v>
      </c>
      <c r="U54" s="2" t="s">
        <v>196</v>
      </c>
      <c r="V54" s="2" t="s">
        <v>149</v>
      </c>
      <c r="W54" s="2" t="s">
        <v>388</v>
      </c>
      <c r="X54" s="2" t="s">
        <v>222</v>
      </c>
      <c r="Y54" s="2" t="s">
        <v>466</v>
      </c>
      <c r="Z54" s="4"/>
      <c r="AA54" s="4">
        <f>=ROUNDDOWN({0},0)</f>
      </c>
      <c r="AB54" s="5">
        <v>6.8</v>
      </c>
      <c r="AC54" s="2" t="s">
        <v>100</v>
      </c>
      <c r="AD54" s="4"/>
      <c r="AE54" s="4"/>
      <c r="AF54" s="6">
        <v>65</v>
      </c>
      <c r="AG54" s="6"/>
      <c r="AH54" s="7">
        <v>0.6053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/>
      <c r="BJ54" s="4">
        <v>75</v>
      </c>
      <c r="BK54" s="8">
        <v>1303.02</v>
      </c>
      <c r="BL54" s="2" t="s">
        <v>473</v>
      </c>
      <c r="BM54" s="7"/>
      <c r="BN54" s="7"/>
      <c r="BO54" s="4"/>
      <c r="BP54" s="8"/>
      <c r="BQ54" s="4"/>
      <c r="BR54" s="8"/>
      <c r="BS54" s="7"/>
      <c r="BT54" s="7"/>
      <c r="BU54" s="2" t="s">
        <v>200</v>
      </c>
      <c r="BV54" s="2" t="s">
        <v>97</v>
      </c>
      <c r="BW54" s="2" t="s">
        <v>100</v>
      </c>
      <c r="BX54" s="2" t="s">
        <v>100</v>
      </c>
      <c r="BY54" s="2" t="s">
        <v>109</v>
      </c>
      <c r="BZ54" s="2" t="s">
        <v>110</v>
      </c>
    </row>
    <row r="55">
      <c r="A55" s="2" t="s">
        <v>474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475</v>
      </c>
      <c r="G55" s="2" t="s">
        <v>476</v>
      </c>
      <c r="H55" s="2" t="s">
        <v>477</v>
      </c>
      <c r="I55" s="2" t="s">
        <v>478</v>
      </c>
      <c r="J55" s="2" t="s">
        <v>95</v>
      </c>
      <c r="K55" s="2" t="s">
        <v>174</v>
      </c>
      <c r="L55" s="3">
        <v>18.92</v>
      </c>
      <c r="M55" s="3">
        <v>19.87</v>
      </c>
      <c r="N55" s="3">
        <v>42.99</v>
      </c>
      <c r="O55" s="2" t="s">
        <v>97</v>
      </c>
      <c r="P55" s="2" t="s">
        <v>126</v>
      </c>
      <c r="Q55" s="2" t="s">
        <v>99</v>
      </c>
      <c r="R55" s="2" t="s">
        <v>100</v>
      </c>
      <c r="S55" s="2" t="s">
        <v>479</v>
      </c>
      <c r="T55" s="2" t="s">
        <v>100</v>
      </c>
      <c r="U55" s="2" t="s">
        <v>196</v>
      </c>
      <c r="V55" s="2" t="s">
        <v>480</v>
      </c>
      <c r="W55" s="2" t="s">
        <v>178</v>
      </c>
      <c r="X55" s="2" t="s">
        <v>100</v>
      </c>
      <c r="Y55" s="2" t="s">
        <v>481</v>
      </c>
      <c r="Z55" s="4">
        <v>770</v>
      </c>
      <c r="AA55" s="4">
        <f>=ROUNDDOWN(96.25,0)</f>
      </c>
      <c r="AB55" s="5">
        <v>8</v>
      </c>
      <c r="AC55" s="2" t="s">
        <v>100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/>
      <c r="BJ55" s="4">
        <v>115</v>
      </c>
      <c r="BK55" s="8">
        <v>2401.78</v>
      </c>
      <c r="BL55" s="2" t="s">
        <v>482</v>
      </c>
      <c r="BM55" s="7"/>
      <c r="BN55" s="7"/>
      <c r="BO55" s="4"/>
      <c r="BP55" s="8"/>
      <c r="BQ55" s="4"/>
      <c r="BR55" s="8"/>
      <c r="BS55" s="7"/>
      <c r="BT55" s="7"/>
      <c r="BU55" s="2" t="s">
        <v>200</v>
      </c>
      <c r="BV55" s="2" t="s">
        <v>97</v>
      </c>
      <c r="BW55" s="2" t="s">
        <v>100</v>
      </c>
      <c r="BX55" s="2" t="s">
        <v>100</v>
      </c>
      <c r="BY55" s="2" t="s">
        <v>109</v>
      </c>
      <c r="BZ55" s="2" t="s">
        <v>110</v>
      </c>
    </row>
    <row r="56">
      <c r="A56" s="2" t="s">
        <v>483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475</v>
      </c>
      <c r="G56" s="2" t="s">
        <v>476</v>
      </c>
      <c r="H56" s="2" t="s">
        <v>477</v>
      </c>
      <c r="I56" s="2" t="s">
        <v>478</v>
      </c>
      <c r="J56" s="2" t="s">
        <v>95</v>
      </c>
      <c r="K56" s="2" t="s">
        <v>139</v>
      </c>
      <c r="L56" s="3">
        <v>18.92</v>
      </c>
      <c r="M56" s="3">
        <v>19.87</v>
      </c>
      <c r="N56" s="3">
        <v>42.99</v>
      </c>
      <c r="O56" s="2" t="s">
        <v>97</v>
      </c>
      <c r="P56" s="2" t="s">
        <v>126</v>
      </c>
      <c r="Q56" s="2" t="s">
        <v>99</v>
      </c>
      <c r="R56" s="2" t="s">
        <v>100</v>
      </c>
      <c r="S56" s="2" t="s">
        <v>484</v>
      </c>
      <c r="T56" s="2" t="s">
        <v>100</v>
      </c>
      <c r="U56" s="2" t="s">
        <v>196</v>
      </c>
      <c r="V56" s="2" t="s">
        <v>480</v>
      </c>
      <c r="W56" s="2" t="s">
        <v>178</v>
      </c>
      <c r="X56" s="2" t="s">
        <v>100</v>
      </c>
      <c r="Y56" s="2" t="s">
        <v>485</v>
      </c>
      <c r="Z56" s="4">
        <v>310</v>
      </c>
      <c r="AA56" s="4">
        <f>=ROUNDDOWN(23.8461538461538,0)</f>
      </c>
      <c r="AB56" s="5">
        <v>13</v>
      </c>
      <c r="AC56" s="2" t="s">
        <v>100</v>
      </c>
      <c r="AD56" s="4"/>
      <c r="AE56" s="4"/>
      <c r="AF56" s="6">
        <v>64</v>
      </c>
      <c r="AG56" s="6"/>
      <c r="AH56" s="7">
        <v>0.3509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/>
      <c r="BJ56" s="4">
        <v>135</v>
      </c>
      <c r="BK56" s="8">
        <v>2808.75</v>
      </c>
      <c r="BL56" s="2" t="s">
        <v>486</v>
      </c>
      <c r="BM56" s="7"/>
      <c r="BN56" s="7"/>
      <c r="BO56" s="4"/>
      <c r="BP56" s="8"/>
      <c r="BQ56" s="4"/>
      <c r="BR56" s="8"/>
      <c r="BS56" s="7"/>
      <c r="BT56" s="7"/>
      <c r="BU56" s="2" t="s">
        <v>200</v>
      </c>
      <c r="BV56" s="2" t="s">
        <v>97</v>
      </c>
      <c r="BW56" s="2" t="s">
        <v>100</v>
      </c>
      <c r="BX56" s="2" t="s">
        <v>100</v>
      </c>
      <c r="BY56" s="2" t="s">
        <v>109</v>
      </c>
      <c r="BZ56" s="2" t="s">
        <v>110</v>
      </c>
    </row>
    <row r="57">
      <c r="A57" s="2" t="s">
        <v>487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488</v>
      </c>
      <c r="G57" s="2" t="s">
        <v>489</v>
      </c>
      <c r="H57" s="2" t="s">
        <v>490</v>
      </c>
      <c r="I57" s="2" t="s">
        <v>491</v>
      </c>
      <c r="J57" s="2" t="s">
        <v>95</v>
      </c>
      <c r="K57" s="2" t="s">
        <v>218</v>
      </c>
      <c r="L57" s="3">
        <v>18.92</v>
      </c>
      <c r="M57" s="3">
        <v>19.87</v>
      </c>
      <c r="N57" s="3">
        <v>42.99</v>
      </c>
      <c r="O57" s="2" t="s">
        <v>97</v>
      </c>
      <c r="P57" s="2" t="s">
        <v>126</v>
      </c>
      <c r="Q57" s="2" t="s">
        <v>99</v>
      </c>
      <c r="R57" s="2" t="s">
        <v>100</v>
      </c>
      <c r="S57" s="2" t="s">
        <v>492</v>
      </c>
      <c r="T57" s="2" t="s">
        <v>100</v>
      </c>
      <c r="U57" s="2" t="s">
        <v>196</v>
      </c>
      <c r="V57" s="2" t="s">
        <v>221</v>
      </c>
      <c r="W57" s="2" t="s">
        <v>222</v>
      </c>
      <c r="X57" s="2" t="s">
        <v>100</v>
      </c>
      <c r="Y57" s="2" t="s">
        <v>493</v>
      </c>
      <c r="Z57" s="4">
        <v>486</v>
      </c>
      <c r="AA57" s="4">
        <f>=ROUNDDOWN(40.5,0)</f>
      </c>
      <c r="AB57" s="5">
        <v>12</v>
      </c>
      <c r="AC57" s="2" t="s">
        <v>494</v>
      </c>
      <c r="AD57" s="4">
        <v>240</v>
      </c>
      <c r="AE57" s="4">
        <v>240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195</v>
      </c>
      <c r="BK57" s="8">
        <v>4075.78</v>
      </c>
      <c r="BL57" s="2" t="s">
        <v>495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97</v>
      </c>
      <c r="BW57" s="2" t="s">
        <v>496</v>
      </c>
      <c r="BX57" s="2" t="s">
        <v>497</v>
      </c>
      <c r="BY57" s="2" t="s">
        <v>109</v>
      </c>
      <c r="BZ57" s="2" t="s">
        <v>110</v>
      </c>
    </row>
    <row r="58">
      <c r="A58" s="2" t="s">
        <v>498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499</v>
      </c>
      <c r="G58" s="2" t="s">
        <v>500</v>
      </c>
      <c r="H58" s="2" t="s">
        <v>501</v>
      </c>
      <c r="I58" s="2" t="s">
        <v>231</v>
      </c>
      <c r="J58" s="2" t="s">
        <v>95</v>
      </c>
      <c r="K58" s="2" t="s">
        <v>133</v>
      </c>
      <c r="L58" s="3">
        <v>15.47</v>
      </c>
      <c r="M58" s="3">
        <v>16.24</v>
      </c>
      <c r="N58" s="3">
        <v>33.99</v>
      </c>
      <c r="O58" s="2" t="s">
        <v>97</v>
      </c>
      <c r="P58" s="2" t="s">
        <v>113</v>
      </c>
      <c r="Q58" s="2" t="s">
        <v>99</v>
      </c>
      <c r="R58" s="2" t="s">
        <v>100</v>
      </c>
      <c r="S58" s="2" t="s">
        <v>502</v>
      </c>
      <c r="T58" s="2" t="s">
        <v>100</v>
      </c>
      <c r="U58" s="2" t="s">
        <v>196</v>
      </c>
      <c r="V58" s="2" t="s">
        <v>149</v>
      </c>
      <c r="W58" s="2" t="s">
        <v>503</v>
      </c>
      <c r="X58" s="2" t="s">
        <v>388</v>
      </c>
      <c r="Y58" s="2" t="s">
        <v>504</v>
      </c>
      <c r="Z58" s="4">
        <v>537</v>
      </c>
      <c r="AA58" s="4">
        <f>=ROUNDDOWN(7.67142857142857,0)</f>
      </c>
      <c r="AB58" s="5">
        <v>70</v>
      </c>
      <c r="AC58" s="2" t="s">
        <v>458</v>
      </c>
      <c r="AD58" s="4">
        <v>400</v>
      </c>
      <c r="AE58" s="4">
        <v>1800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>
        <v>1042</v>
      </c>
      <c r="BK58" s="8">
        <v>19249.53</v>
      </c>
      <c r="BL58" s="2" t="s">
        <v>505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97</v>
      </c>
      <c r="BW58" s="2" t="s">
        <v>506</v>
      </c>
      <c r="BX58" s="2" t="s">
        <v>507</v>
      </c>
      <c r="BY58" s="2" t="s">
        <v>109</v>
      </c>
      <c r="BZ58" s="2" t="s">
        <v>110</v>
      </c>
    </row>
    <row r="59">
      <c r="A59" s="2" t="s">
        <v>508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499</v>
      </c>
      <c r="G59" s="2" t="s">
        <v>500</v>
      </c>
      <c r="H59" s="2" t="s">
        <v>501</v>
      </c>
      <c r="I59" s="2" t="s">
        <v>231</v>
      </c>
      <c r="J59" s="2" t="s">
        <v>95</v>
      </c>
      <c r="K59" s="2" t="s">
        <v>125</v>
      </c>
      <c r="L59" s="3">
        <v>15.47</v>
      </c>
      <c r="M59" s="3">
        <v>16.24</v>
      </c>
      <c r="N59" s="3">
        <v>33.99</v>
      </c>
      <c r="O59" s="2" t="s">
        <v>97</v>
      </c>
      <c r="P59" s="2" t="s">
        <v>126</v>
      </c>
      <c r="Q59" s="2" t="s">
        <v>99</v>
      </c>
      <c r="R59" s="2" t="s">
        <v>100</v>
      </c>
      <c r="S59" s="2" t="s">
        <v>509</v>
      </c>
      <c r="T59" s="2" t="s">
        <v>220</v>
      </c>
      <c r="U59" s="2" t="s">
        <v>196</v>
      </c>
      <c r="V59" s="2" t="s">
        <v>149</v>
      </c>
      <c r="W59" s="2" t="s">
        <v>510</v>
      </c>
      <c r="X59" s="2" t="s">
        <v>388</v>
      </c>
      <c r="Y59" s="2" t="s">
        <v>511</v>
      </c>
      <c r="Z59" s="4">
        <v>461</v>
      </c>
      <c r="AA59" s="4">
        <f>=ROUNDDOWN(30.7333333333333,0)</f>
      </c>
      <c r="AB59" s="5">
        <v>15</v>
      </c>
      <c r="AC59" s="2" t="s">
        <v>100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/>
      <c r="BJ59" s="4">
        <v>234</v>
      </c>
      <c r="BK59" s="8">
        <v>4346.87</v>
      </c>
      <c r="BL59" s="2" t="s">
        <v>512</v>
      </c>
      <c r="BM59" s="7"/>
      <c r="BN59" s="7"/>
      <c r="BO59" s="4"/>
      <c r="BP59" s="8"/>
      <c r="BQ59" s="4"/>
      <c r="BR59" s="8"/>
      <c r="BS59" s="7"/>
      <c r="BT59" s="7"/>
      <c r="BU59" s="2" t="s">
        <v>200</v>
      </c>
      <c r="BV59" s="2" t="s">
        <v>97</v>
      </c>
      <c r="BW59" s="2" t="s">
        <v>100</v>
      </c>
      <c r="BX59" s="2" t="s">
        <v>100</v>
      </c>
      <c r="BY59" s="2" t="s">
        <v>109</v>
      </c>
      <c r="BZ59" s="2" t="s">
        <v>110</v>
      </c>
    </row>
    <row r="60">
      <c r="A60" s="2" t="s">
        <v>513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514</v>
      </c>
      <c r="G60" s="2" t="s">
        <v>515</v>
      </c>
      <c r="H60" s="2" t="s">
        <v>516</v>
      </c>
      <c r="I60" s="2" t="s">
        <v>517</v>
      </c>
      <c r="J60" s="2" t="s">
        <v>95</v>
      </c>
      <c r="K60" s="2" t="s">
        <v>518</v>
      </c>
      <c r="L60" s="3">
        <v>14.66</v>
      </c>
      <c r="M60" s="3">
        <v>15.39</v>
      </c>
      <c r="N60" s="3">
        <v>34.99</v>
      </c>
      <c r="O60" s="2" t="s">
        <v>97</v>
      </c>
      <c r="P60" s="2" t="s">
        <v>194</v>
      </c>
      <c r="Q60" s="2" t="s">
        <v>99</v>
      </c>
      <c r="R60" s="2" t="s">
        <v>100</v>
      </c>
      <c r="S60" s="2" t="s">
        <v>519</v>
      </c>
      <c r="T60" s="2" t="s">
        <v>220</v>
      </c>
      <c r="U60" s="2" t="s">
        <v>196</v>
      </c>
      <c r="V60" s="2" t="s">
        <v>234</v>
      </c>
      <c r="W60" s="2" t="s">
        <v>388</v>
      </c>
      <c r="X60" s="2" t="s">
        <v>150</v>
      </c>
      <c r="Y60" s="2" t="s">
        <v>520</v>
      </c>
      <c r="Z60" s="4">
        <v>286</v>
      </c>
      <c r="AA60" s="4">
        <f>=ROUNDDOWN(81.7142857142857,0)</f>
      </c>
      <c r="AB60" s="5">
        <v>3.5</v>
      </c>
      <c r="AC60" s="2" t="s">
        <v>100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15</v>
      </c>
      <c r="BK60" s="8">
        <v>247.15</v>
      </c>
      <c r="BL60" s="2" t="s">
        <v>521</v>
      </c>
      <c r="BM60" s="7"/>
      <c r="BN60" s="7"/>
      <c r="BO60" s="4"/>
      <c r="BP60" s="8"/>
      <c r="BQ60" s="4"/>
      <c r="BR60" s="8"/>
      <c r="BS60" s="7"/>
      <c r="BT60" s="7"/>
      <c r="BU60" s="2" t="s">
        <v>200</v>
      </c>
      <c r="BV60" s="2" t="s">
        <v>97</v>
      </c>
      <c r="BW60" s="2" t="s">
        <v>100</v>
      </c>
      <c r="BX60" s="2" t="s">
        <v>100</v>
      </c>
      <c r="BY60" s="2" t="s">
        <v>109</v>
      </c>
      <c r="BZ60" s="2" t="s">
        <v>110</v>
      </c>
    </row>
    <row r="61">
      <c r="A61" s="2" t="s">
        <v>522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523</v>
      </c>
      <c r="G61" s="2" t="s">
        <v>524</v>
      </c>
      <c r="H61" s="2" t="s">
        <v>525</v>
      </c>
      <c r="I61" s="2" t="s">
        <v>526</v>
      </c>
      <c r="J61" s="2" t="s">
        <v>95</v>
      </c>
      <c r="K61" s="2" t="s">
        <v>243</v>
      </c>
      <c r="L61" s="3">
        <v>17.16</v>
      </c>
      <c r="M61" s="3">
        <v>18.02</v>
      </c>
      <c r="N61" s="3">
        <v>38.99</v>
      </c>
      <c r="O61" s="2" t="s">
        <v>97</v>
      </c>
      <c r="P61" s="2" t="s">
        <v>126</v>
      </c>
      <c r="Q61" s="2" t="s">
        <v>99</v>
      </c>
      <c r="R61" s="2" t="s">
        <v>100</v>
      </c>
      <c r="S61" s="2" t="s">
        <v>527</v>
      </c>
      <c r="T61" s="2" t="s">
        <v>100</v>
      </c>
      <c r="U61" s="2" t="s">
        <v>196</v>
      </c>
      <c r="V61" s="2" t="s">
        <v>149</v>
      </c>
      <c r="W61" s="2" t="s">
        <v>150</v>
      </c>
      <c r="X61" s="2" t="s">
        <v>100</v>
      </c>
      <c r="Y61" s="2" t="s">
        <v>528</v>
      </c>
      <c r="Z61" s="4">
        <v>404</v>
      </c>
      <c r="AA61" s="4">
        <f>=ROUNDDOWN(23.7647058823529,0)</f>
      </c>
      <c r="AB61" s="5">
        <v>17</v>
      </c>
      <c r="AC61" s="2" t="s">
        <v>529</v>
      </c>
      <c r="AD61" s="4">
        <v>300</v>
      </c>
      <c r="AE61" s="4">
        <v>300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253</v>
      </c>
      <c r="BK61" s="8">
        <v>4864.04</v>
      </c>
      <c r="BL61" s="2" t="s">
        <v>261</v>
      </c>
      <c r="BM61" s="7"/>
      <c r="BN61" s="7"/>
      <c r="BO61" s="4"/>
      <c r="BP61" s="8"/>
      <c r="BQ61" s="4"/>
      <c r="BR61" s="8"/>
      <c r="BS61" s="7"/>
      <c r="BT61" s="7"/>
      <c r="BU61" s="2" t="s">
        <v>200</v>
      </c>
      <c r="BV61" s="2" t="s">
        <v>97</v>
      </c>
      <c r="BW61" s="2" t="s">
        <v>100</v>
      </c>
      <c r="BX61" s="2" t="s">
        <v>100</v>
      </c>
      <c r="BY61" s="2" t="s">
        <v>109</v>
      </c>
      <c r="BZ61" s="2" t="s">
        <v>110</v>
      </c>
    </row>
    <row r="62">
      <c r="A62" s="2" t="s">
        <v>530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531</v>
      </c>
      <c r="G62" s="2" t="s">
        <v>317</v>
      </c>
      <c r="H62" s="2" t="s">
        <v>532</v>
      </c>
      <c r="I62" s="2" t="s">
        <v>533</v>
      </c>
      <c r="J62" s="2" t="s">
        <v>95</v>
      </c>
      <c r="K62" s="2" t="s">
        <v>133</v>
      </c>
      <c r="L62" s="3">
        <v>14.66</v>
      </c>
      <c r="M62" s="3">
        <v>15.39</v>
      </c>
      <c r="N62" s="3">
        <v>34.99</v>
      </c>
      <c r="O62" s="2" t="s">
        <v>97</v>
      </c>
      <c r="P62" s="2" t="s">
        <v>134</v>
      </c>
      <c r="Q62" s="2" t="s">
        <v>99</v>
      </c>
      <c r="R62" s="2" t="s">
        <v>100</v>
      </c>
      <c r="S62" s="2" t="s">
        <v>534</v>
      </c>
      <c r="T62" s="2" t="s">
        <v>100</v>
      </c>
      <c r="U62" s="2" t="s">
        <v>196</v>
      </c>
      <c r="V62" s="2" t="s">
        <v>535</v>
      </c>
      <c r="W62" s="2" t="s">
        <v>103</v>
      </c>
      <c r="X62" s="2" t="s">
        <v>536</v>
      </c>
      <c r="Y62" s="2" t="s">
        <v>537</v>
      </c>
      <c r="Z62" s="4">
        <v>232</v>
      </c>
      <c r="AA62" s="4">
        <f>=ROUNDDOWN(33.6231884057971,0)</f>
      </c>
      <c r="AB62" s="5">
        <v>6.9</v>
      </c>
      <c r="AC62" s="2" t="s">
        <v>100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85</v>
      </c>
      <c r="BK62" s="8">
        <v>1502.89</v>
      </c>
      <c r="BL62" s="2" t="s">
        <v>538</v>
      </c>
      <c r="BM62" s="7"/>
      <c r="BN62" s="7"/>
      <c r="BO62" s="4"/>
      <c r="BP62" s="8"/>
      <c r="BQ62" s="4"/>
      <c r="BR62" s="8"/>
      <c r="BS62" s="7"/>
      <c r="BT62" s="7"/>
      <c r="BU62" s="2" t="s">
        <v>200</v>
      </c>
      <c r="BV62" s="2" t="s">
        <v>97</v>
      </c>
      <c r="BW62" s="2" t="s">
        <v>100</v>
      </c>
      <c r="BX62" s="2" t="s">
        <v>100</v>
      </c>
      <c r="BY62" s="2" t="s">
        <v>109</v>
      </c>
      <c r="BZ62" s="2" t="s">
        <v>110</v>
      </c>
    </row>
    <row r="63">
      <c r="A63" s="2" t="s">
        <v>539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540</v>
      </c>
      <c r="G63" s="2" t="s">
        <v>541</v>
      </c>
      <c r="H63" s="2" t="s">
        <v>542</v>
      </c>
      <c r="I63" s="2" t="s">
        <v>543</v>
      </c>
      <c r="J63" s="2" t="s">
        <v>95</v>
      </c>
      <c r="K63" s="2" t="s">
        <v>243</v>
      </c>
      <c r="L63" s="3">
        <v>15.75</v>
      </c>
      <c r="M63" s="3">
        <v>16.54</v>
      </c>
      <c r="N63" s="3">
        <v>34.99</v>
      </c>
      <c r="O63" s="2" t="s">
        <v>438</v>
      </c>
      <c r="P63" s="2" t="s">
        <v>134</v>
      </c>
      <c r="Q63" s="2" t="s">
        <v>99</v>
      </c>
      <c r="R63" s="2" t="s">
        <v>100</v>
      </c>
      <c r="S63" s="2" t="s">
        <v>544</v>
      </c>
      <c r="T63" s="2" t="s">
        <v>100</v>
      </c>
      <c r="U63" s="2" t="s">
        <v>196</v>
      </c>
      <c r="V63" s="2" t="s">
        <v>545</v>
      </c>
      <c r="W63" s="2" t="s">
        <v>150</v>
      </c>
      <c r="X63" s="2" t="s">
        <v>222</v>
      </c>
      <c r="Y63" s="2" t="s">
        <v>546</v>
      </c>
      <c r="Z63" s="4"/>
      <c r="AA63" s="4">
        <f>=ROUNDDOWN({0},0)</f>
      </c>
      <c r="AB63" s="5"/>
      <c r="AC63" s="2" t="s">
        <v>100</v>
      </c>
      <c r="AD63" s="4"/>
      <c r="AE63" s="4"/>
      <c r="AF63" s="6"/>
      <c r="AG63" s="6"/>
      <c r="AH63" s="7">
        <v>0.1667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100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97</v>
      </c>
      <c r="BW63" s="2" t="s">
        <v>351</v>
      </c>
      <c r="BX63" s="2" t="s">
        <v>547</v>
      </c>
      <c r="BY63" s="2" t="s">
        <v>109</v>
      </c>
      <c r="BZ63" s="2" t="s">
        <v>110</v>
      </c>
    </row>
    <row r="64">
      <c r="A64" s="2" t="s">
        <v>548</v>
      </c>
      <c r="B64" s="2" t="s">
        <v>87</v>
      </c>
      <c r="C64" s="2" t="s">
        <v>88</v>
      </c>
      <c r="D64" s="2" t="s">
        <v>549</v>
      </c>
      <c r="E64" s="2" t="s">
        <v>550</v>
      </c>
      <c r="F64" s="2" t="s">
        <v>551</v>
      </c>
      <c r="G64" s="2" t="s">
        <v>552</v>
      </c>
      <c r="H64" s="2" t="s">
        <v>553</v>
      </c>
      <c r="I64" s="2" t="s">
        <v>554</v>
      </c>
      <c r="J64" s="2" t="s">
        <v>555</v>
      </c>
      <c r="K64" s="2" t="s">
        <v>243</v>
      </c>
      <c r="L64" s="3">
        <v>17.85</v>
      </c>
      <c r="M64" s="3">
        <v>18.74</v>
      </c>
      <c r="N64" s="3">
        <v>37.99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556</v>
      </c>
      <c r="T64" s="2" t="s">
        <v>220</v>
      </c>
      <c r="U64" s="2" t="s">
        <v>196</v>
      </c>
      <c r="V64" s="2" t="s">
        <v>557</v>
      </c>
      <c r="W64" s="2" t="s">
        <v>103</v>
      </c>
      <c r="X64" s="2" t="s">
        <v>100</v>
      </c>
      <c r="Y64" s="2" t="s">
        <v>558</v>
      </c>
      <c r="Z64" s="4">
        <v>476</v>
      </c>
      <c r="AA64" s="4">
        <f>=ROUNDDOWN(9.15384615384615,0)</f>
      </c>
      <c r="AB64" s="5">
        <v>52</v>
      </c>
      <c r="AC64" s="2" t="s">
        <v>559</v>
      </c>
      <c r="AD64" s="4">
        <v>480</v>
      </c>
      <c r="AE64" s="4">
        <v>1460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6</v>
      </c>
      <c r="AQ64" s="8">
        <v>121.32</v>
      </c>
      <c r="AR64" s="4"/>
      <c r="AS64" s="8"/>
      <c r="AT64" s="7"/>
      <c r="AU64" s="7"/>
      <c r="AV64" s="4">
        <v>7</v>
      </c>
      <c r="AW64" s="8">
        <v>155.97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0.7778</v>
      </c>
      <c r="BC64" s="4">
        <v>28</v>
      </c>
      <c r="BD64" s="8">
        <v>508.17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0.3069</v>
      </c>
      <c r="BJ64" s="4">
        <v>904</v>
      </c>
      <c r="BK64" s="8">
        <v>18267.55</v>
      </c>
      <c r="BL64" s="2" t="s">
        <v>560</v>
      </c>
      <c r="BM64" s="7">
        <v>0.0066</v>
      </c>
      <c r="BN64" s="7">
        <v>0.0066</v>
      </c>
      <c r="BO64" s="4">
        <v>6</v>
      </c>
      <c r="BP64" s="8">
        <v>121.32</v>
      </c>
      <c r="BQ64" s="4"/>
      <c r="BR64" s="8"/>
      <c r="BS64" s="7"/>
      <c r="BT64" s="7"/>
      <c r="BU64" s="2" t="s">
        <v>106</v>
      </c>
      <c r="BV64" s="2" t="s">
        <v>97</v>
      </c>
      <c r="BW64" s="2" t="s">
        <v>561</v>
      </c>
      <c r="BX64" s="2" t="s">
        <v>562</v>
      </c>
      <c r="BY64" s="2" t="s">
        <v>109</v>
      </c>
      <c r="BZ64" s="2" t="s">
        <v>100</v>
      </c>
    </row>
    <row r="65">
      <c r="A65" s="2" t="s">
        <v>563</v>
      </c>
      <c r="B65" s="2" t="s">
        <v>87</v>
      </c>
      <c r="C65" s="2" t="s">
        <v>88</v>
      </c>
      <c r="D65" s="2" t="s">
        <v>549</v>
      </c>
      <c r="E65" s="2" t="s">
        <v>550</v>
      </c>
      <c r="F65" s="2" t="s">
        <v>551</v>
      </c>
      <c r="G65" s="2" t="s">
        <v>552</v>
      </c>
      <c r="H65" s="2" t="s">
        <v>553</v>
      </c>
      <c r="I65" s="2" t="s">
        <v>564</v>
      </c>
      <c r="J65" s="2" t="s">
        <v>565</v>
      </c>
      <c r="K65" s="2" t="s">
        <v>243</v>
      </c>
      <c r="L65" s="3">
        <v>30.26</v>
      </c>
      <c r="M65" s="3">
        <v>31.77</v>
      </c>
      <c r="N65" s="3">
        <v>62.99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556</v>
      </c>
      <c r="T65" s="2" t="s">
        <v>220</v>
      </c>
      <c r="U65" s="2" t="s">
        <v>196</v>
      </c>
      <c r="V65" s="2" t="s">
        <v>557</v>
      </c>
      <c r="W65" s="2" t="s">
        <v>103</v>
      </c>
      <c r="X65" s="2" t="s">
        <v>100</v>
      </c>
      <c r="Y65" s="2" t="s">
        <v>104</v>
      </c>
      <c r="Z65" s="4">
        <v>484</v>
      </c>
      <c r="AA65" s="4">
        <f>=ROUNDDOWN(15.125,0)</f>
      </c>
      <c r="AB65" s="5">
        <v>32</v>
      </c>
      <c r="AC65" s="2" t="s">
        <v>559</v>
      </c>
      <c r="AD65" s="4">
        <v>500</v>
      </c>
      <c r="AE65" s="4">
        <v>1130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</v>
      </c>
      <c r="AQ65" s="8">
        <v>34.65</v>
      </c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0.2222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573</v>
      </c>
      <c r="BK65" s="8">
        <v>19641.01</v>
      </c>
      <c r="BL65" s="2" t="s">
        <v>566</v>
      </c>
      <c r="BM65" s="7">
        <v>0.0017</v>
      </c>
      <c r="BN65" s="7">
        <v>0.0018</v>
      </c>
      <c r="BO65" s="4">
        <v>1</v>
      </c>
      <c r="BP65" s="8">
        <v>34.65</v>
      </c>
      <c r="BQ65" s="4"/>
      <c r="BR65" s="8"/>
      <c r="BS65" s="7"/>
      <c r="BT65" s="7"/>
      <c r="BU65" s="2" t="s">
        <v>106</v>
      </c>
      <c r="BV65" s="2" t="s">
        <v>97</v>
      </c>
      <c r="BW65" s="2" t="s">
        <v>561</v>
      </c>
      <c r="BX65" s="2" t="s">
        <v>567</v>
      </c>
      <c r="BY65" s="2" t="s">
        <v>109</v>
      </c>
      <c r="BZ65" s="2" t="s">
        <v>100</v>
      </c>
    </row>
    <row r="66">
      <c r="A66" s="2" t="s">
        <v>568</v>
      </c>
      <c r="B66" s="2" t="s">
        <v>87</v>
      </c>
      <c r="C66" s="2" t="s">
        <v>88</v>
      </c>
      <c r="D66" s="2" t="s">
        <v>549</v>
      </c>
      <c r="E66" s="2" t="s">
        <v>550</v>
      </c>
      <c r="F66" s="2" t="s">
        <v>551</v>
      </c>
      <c r="G66" s="2" t="s">
        <v>552</v>
      </c>
      <c r="H66" s="2" t="s">
        <v>553</v>
      </c>
      <c r="I66" s="2" t="s">
        <v>569</v>
      </c>
      <c r="J66" s="2" t="s">
        <v>570</v>
      </c>
      <c r="K66" s="2" t="s">
        <v>133</v>
      </c>
      <c r="L66" s="3">
        <v>13.39</v>
      </c>
      <c r="M66" s="3">
        <v>14.06</v>
      </c>
      <c r="N66" s="3">
        <v>27.99</v>
      </c>
      <c r="O66" s="2" t="s">
        <v>97</v>
      </c>
      <c r="P66" s="2" t="s">
        <v>113</v>
      </c>
      <c r="Q66" s="2" t="s">
        <v>99</v>
      </c>
      <c r="R66" s="2" t="s">
        <v>100</v>
      </c>
      <c r="S66" s="2" t="s">
        <v>571</v>
      </c>
      <c r="T66" s="2" t="s">
        <v>220</v>
      </c>
      <c r="U66" s="2" t="s">
        <v>196</v>
      </c>
      <c r="V66" s="2" t="s">
        <v>557</v>
      </c>
      <c r="W66" s="2" t="s">
        <v>103</v>
      </c>
      <c r="X66" s="2" t="s">
        <v>100</v>
      </c>
      <c r="Y66" s="2" t="s">
        <v>572</v>
      </c>
      <c r="Z66" s="4">
        <v>360</v>
      </c>
      <c r="AA66" s="4">
        <f>=ROUNDDOWN(5.45454545454545,0)</f>
      </c>
      <c r="AB66" s="5">
        <v>66</v>
      </c>
      <c r="AC66" s="2" t="s">
        <v>559</v>
      </c>
      <c r="AD66" s="4">
        <v>160</v>
      </c>
      <c r="AE66" s="4">
        <v>1900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2</v>
      </c>
      <c r="AQ66" s="8">
        <v>28.86</v>
      </c>
      <c r="AR66" s="4"/>
      <c r="AS66" s="8"/>
      <c r="AT66" s="7"/>
      <c r="AU66" s="7"/>
      <c r="AV66" s="4">
        <v>7</v>
      </c>
      <c r="AW66" s="8">
        <v>144.39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0.1999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0.2841</v>
      </c>
      <c r="BJ66" s="4">
        <v>1230</v>
      </c>
      <c r="BK66" s="8">
        <v>18546.78</v>
      </c>
      <c r="BL66" s="2" t="s">
        <v>573</v>
      </c>
      <c r="BM66" s="7">
        <v>0.0016</v>
      </c>
      <c r="BN66" s="7">
        <v>0.0016</v>
      </c>
      <c r="BO66" s="4">
        <v>2</v>
      </c>
      <c r="BP66" s="8">
        <v>28.86</v>
      </c>
      <c r="BQ66" s="4"/>
      <c r="BR66" s="8"/>
      <c r="BS66" s="7"/>
      <c r="BT66" s="7"/>
      <c r="BU66" s="2" t="s">
        <v>106</v>
      </c>
      <c r="BV66" s="2" t="s">
        <v>97</v>
      </c>
      <c r="BW66" s="2" t="s">
        <v>574</v>
      </c>
      <c r="BX66" s="2" t="s">
        <v>575</v>
      </c>
      <c r="BY66" s="2" t="s">
        <v>109</v>
      </c>
      <c r="BZ66" s="2" t="s">
        <v>100</v>
      </c>
    </row>
    <row r="67">
      <c r="A67" s="2" t="s">
        <v>576</v>
      </c>
      <c r="B67" s="2" t="s">
        <v>87</v>
      </c>
      <c r="C67" s="2" t="s">
        <v>88</v>
      </c>
      <c r="D67" s="2" t="s">
        <v>549</v>
      </c>
      <c r="E67" s="2" t="s">
        <v>550</v>
      </c>
      <c r="F67" s="2" t="s">
        <v>551</v>
      </c>
      <c r="G67" s="2" t="s">
        <v>552</v>
      </c>
      <c r="H67" s="2" t="s">
        <v>553</v>
      </c>
      <c r="I67" s="2" t="s">
        <v>554</v>
      </c>
      <c r="J67" s="2" t="s">
        <v>555</v>
      </c>
      <c r="K67" s="2" t="s">
        <v>133</v>
      </c>
      <c r="L67" s="3">
        <v>17.85</v>
      </c>
      <c r="M67" s="3">
        <v>18.74</v>
      </c>
      <c r="N67" s="3">
        <v>37.99</v>
      </c>
      <c r="O67" s="2" t="s">
        <v>97</v>
      </c>
      <c r="P67" s="2" t="s">
        <v>113</v>
      </c>
      <c r="Q67" s="2" t="s">
        <v>99</v>
      </c>
      <c r="R67" s="2" t="s">
        <v>100</v>
      </c>
      <c r="S67" s="2" t="s">
        <v>571</v>
      </c>
      <c r="T67" s="2" t="s">
        <v>220</v>
      </c>
      <c r="U67" s="2" t="s">
        <v>196</v>
      </c>
      <c r="V67" s="2" t="s">
        <v>557</v>
      </c>
      <c r="W67" s="2" t="s">
        <v>103</v>
      </c>
      <c r="X67" s="2" t="s">
        <v>100</v>
      </c>
      <c r="Y67" s="2" t="s">
        <v>572</v>
      </c>
      <c r="Z67" s="4">
        <v>385</v>
      </c>
      <c r="AA67" s="4">
        <f>=ROUNDDOWN(8.3695652173913,0)</f>
      </c>
      <c r="AB67" s="5">
        <v>46</v>
      </c>
      <c r="AC67" s="2" t="s">
        <v>559</v>
      </c>
      <c r="AD67" s="4">
        <v>360</v>
      </c>
      <c r="AE67" s="4">
        <v>1170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4</v>
      </c>
      <c r="AQ67" s="8">
        <v>80.88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0.5601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828</v>
      </c>
      <c r="BK67" s="8">
        <v>17295.71</v>
      </c>
      <c r="BL67" s="2" t="s">
        <v>573</v>
      </c>
      <c r="BM67" s="7">
        <v>0.0048</v>
      </c>
      <c r="BN67" s="7">
        <v>0.0047</v>
      </c>
      <c r="BO67" s="4">
        <v>4</v>
      </c>
      <c r="BP67" s="8">
        <v>80.88</v>
      </c>
      <c r="BQ67" s="4"/>
      <c r="BR67" s="8"/>
      <c r="BS67" s="7"/>
      <c r="BT67" s="7"/>
      <c r="BU67" s="2" t="s">
        <v>106</v>
      </c>
      <c r="BV67" s="2" t="s">
        <v>97</v>
      </c>
      <c r="BW67" s="2" t="s">
        <v>577</v>
      </c>
      <c r="BX67" s="2" t="s">
        <v>578</v>
      </c>
      <c r="BY67" s="2" t="s">
        <v>109</v>
      </c>
      <c r="BZ67" s="2" t="s">
        <v>100</v>
      </c>
    </row>
    <row r="68">
      <c r="A68" s="2" t="s">
        <v>579</v>
      </c>
      <c r="B68" s="2" t="s">
        <v>87</v>
      </c>
      <c r="C68" s="2" t="s">
        <v>88</v>
      </c>
      <c r="D68" s="2" t="s">
        <v>549</v>
      </c>
      <c r="E68" s="2" t="s">
        <v>550</v>
      </c>
      <c r="F68" s="2" t="s">
        <v>551</v>
      </c>
      <c r="G68" s="2" t="s">
        <v>552</v>
      </c>
      <c r="H68" s="2" t="s">
        <v>553</v>
      </c>
      <c r="I68" s="2" t="s">
        <v>564</v>
      </c>
      <c r="J68" s="2" t="s">
        <v>565</v>
      </c>
      <c r="K68" s="2" t="s">
        <v>133</v>
      </c>
      <c r="L68" s="3">
        <v>30.26</v>
      </c>
      <c r="M68" s="3">
        <v>31.77</v>
      </c>
      <c r="N68" s="3">
        <v>62.99</v>
      </c>
      <c r="O68" s="2" t="s">
        <v>97</v>
      </c>
      <c r="P68" s="2" t="s">
        <v>113</v>
      </c>
      <c r="Q68" s="2" t="s">
        <v>99</v>
      </c>
      <c r="R68" s="2" t="s">
        <v>100</v>
      </c>
      <c r="S68" s="2" t="s">
        <v>571</v>
      </c>
      <c r="T68" s="2" t="s">
        <v>220</v>
      </c>
      <c r="U68" s="2" t="s">
        <v>196</v>
      </c>
      <c r="V68" s="2" t="s">
        <v>557</v>
      </c>
      <c r="W68" s="2" t="s">
        <v>103</v>
      </c>
      <c r="X68" s="2" t="s">
        <v>100</v>
      </c>
      <c r="Y68" s="2" t="s">
        <v>572</v>
      </c>
      <c r="Z68" s="4">
        <v>299</v>
      </c>
      <c r="AA68" s="4">
        <f>=ROUNDDOWN(14.95,0)</f>
      </c>
      <c r="AB68" s="5">
        <v>20</v>
      </c>
      <c r="AC68" s="2" t="s">
        <v>559</v>
      </c>
      <c r="AD68" s="4">
        <v>180</v>
      </c>
      <c r="AE68" s="4">
        <v>380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</v>
      </c>
      <c r="AQ68" s="8">
        <v>34.65</v>
      </c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0.24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272</v>
      </c>
      <c r="BK68" s="8">
        <v>9536.91</v>
      </c>
      <c r="BL68" s="2" t="s">
        <v>580</v>
      </c>
      <c r="BM68" s="7">
        <v>0.0037</v>
      </c>
      <c r="BN68" s="7">
        <v>0.0036</v>
      </c>
      <c r="BO68" s="4">
        <v>1</v>
      </c>
      <c r="BP68" s="8">
        <v>34.65</v>
      </c>
      <c r="BQ68" s="4"/>
      <c r="BR68" s="8"/>
      <c r="BS68" s="7"/>
      <c r="BT68" s="7"/>
      <c r="BU68" s="2" t="s">
        <v>106</v>
      </c>
      <c r="BV68" s="2" t="s">
        <v>97</v>
      </c>
      <c r="BW68" s="2" t="s">
        <v>574</v>
      </c>
      <c r="BX68" s="2" t="s">
        <v>581</v>
      </c>
      <c r="BY68" s="2" t="s">
        <v>109</v>
      </c>
      <c r="BZ68" s="2" t="s">
        <v>100</v>
      </c>
    </row>
    <row r="69">
      <c r="A69" s="2" t="s">
        <v>582</v>
      </c>
      <c r="B69" s="2" t="s">
        <v>87</v>
      </c>
      <c r="C69" s="2" t="s">
        <v>88</v>
      </c>
      <c r="D69" s="2" t="s">
        <v>549</v>
      </c>
      <c r="E69" s="2" t="s">
        <v>550</v>
      </c>
      <c r="F69" s="2" t="s">
        <v>551</v>
      </c>
      <c r="G69" s="2" t="s">
        <v>552</v>
      </c>
      <c r="H69" s="2" t="s">
        <v>553</v>
      </c>
      <c r="I69" s="2" t="s">
        <v>569</v>
      </c>
      <c r="J69" s="2" t="s">
        <v>570</v>
      </c>
      <c r="K69" s="2" t="s">
        <v>320</v>
      </c>
      <c r="L69" s="3">
        <v>13.39</v>
      </c>
      <c r="M69" s="3">
        <v>14.06</v>
      </c>
      <c r="N69" s="3">
        <v>27.99</v>
      </c>
      <c r="O69" s="2" t="s">
        <v>97</v>
      </c>
      <c r="P69" s="2" t="s">
        <v>113</v>
      </c>
      <c r="Q69" s="2" t="s">
        <v>99</v>
      </c>
      <c r="R69" s="2" t="s">
        <v>100</v>
      </c>
      <c r="S69" s="2" t="s">
        <v>583</v>
      </c>
      <c r="T69" s="2" t="s">
        <v>220</v>
      </c>
      <c r="U69" s="2" t="s">
        <v>196</v>
      </c>
      <c r="V69" s="2" t="s">
        <v>557</v>
      </c>
      <c r="W69" s="2" t="s">
        <v>103</v>
      </c>
      <c r="X69" s="2" t="s">
        <v>100</v>
      </c>
      <c r="Y69" s="2" t="s">
        <v>104</v>
      </c>
      <c r="Z69" s="4">
        <v>744</v>
      </c>
      <c r="AA69" s="4">
        <f>=ROUNDDOWN(14.3076923076923,0)</f>
      </c>
      <c r="AB69" s="5">
        <v>52</v>
      </c>
      <c r="AC69" s="2" t="s">
        <v>559</v>
      </c>
      <c r="AD69" s="4">
        <v>150</v>
      </c>
      <c r="AE69" s="4">
        <v>840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7</v>
      </c>
      <c r="AQ69" s="8">
        <v>101.01</v>
      </c>
      <c r="AR69" s="4"/>
      <c r="AS69" s="8"/>
      <c r="AT69" s="7"/>
      <c r="AU69" s="7"/>
      <c r="AV69" s="4">
        <v>8</v>
      </c>
      <c r="AW69" s="8">
        <v>121.23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0.8332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0.2386</v>
      </c>
      <c r="BJ69" s="4">
        <v>793</v>
      </c>
      <c r="BK69" s="8">
        <v>11615.99</v>
      </c>
      <c r="BL69" s="2" t="s">
        <v>584</v>
      </c>
      <c r="BM69" s="7">
        <v>0.0088</v>
      </c>
      <c r="BN69" s="7">
        <v>0.0087</v>
      </c>
      <c r="BO69" s="4">
        <v>7</v>
      </c>
      <c r="BP69" s="8">
        <v>101.01</v>
      </c>
      <c r="BQ69" s="4"/>
      <c r="BR69" s="8"/>
      <c r="BS69" s="7"/>
      <c r="BT69" s="7"/>
      <c r="BU69" s="2" t="s">
        <v>106</v>
      </c>
      <c r="BV69" s="2" t="s">
        <v>97</v>
      </c>
      <c r="BW69" s="2" t="s">
        <v>561</v>
      </c>
      <c r="BX69" s="2" t="s">
        <v>585</v>
      </c>
      <c r="BY69" s="2" t="s">
        <v>109</v>
      </c>
      <c r="BZ69" s="2" t="s">
        <v>100</v>
      </c>
    </row>
    <row r="70">
      <c r="A70" s="2" t="s">
        <v>586</v>
      </c>
      <c r="B70" s="2" t="s">
        <v>87</v>
      </c>
      <c r="C70" s="2" t="s">
        <v>88</v>
      </c>
      <c r="D70" s="2" t="s">
        <v>549</v>
      </c>
      <c r="E70" s="2" t="s">
        <v>550</v>
      </c>
      <c r="F70" s="2" t="s">
        <v>551</v>
      </c>
      <c r="G70" s="2" t="s">
        <v>552</v>
      </c>
      <c r="H70" s="2" t="s">
        <v>553</v>
      </c>
      <c r="I70" s="2" t="s">
        <v>554</v>
      </c>
      <c r="J70" s="2" t="s">
        <v>555</v>
      </c>
      <c r="K70" s="2" t="s">
        <v>320</v>
      </c>
      <c r="L70" s="3">
        <v>17.85</v>
      </c>
      <c r="M70" s="3">
        <v>18.74</v>
      </c>
      <c r="N70" s="3">
        <v>37.99</v>
      </c>
      <c r="O70" s="2" t="s">
        <v>97</v>
      </c>
      <c r="P70" s="2" t="s">
        <v>113</v>
      </c>
      <c r="Q70" s="2" t="s">
        <v>99</v>
      </c>
      <c r="R70" s="2" t="s">
        <v>100</v>
      </c>
      <c r="S70" s="2" t="s">
        <v>583</v>
      </c>
      <c r="T70" s="2" t="s">
        <v>220</v>
      </c>
      <c r="U70" s="2" t="s">
        <v>196</v>
      </c>
      <c r="V70" s="2" t="s">
        <v>557</v>
      </c>
      <c r="W70" s="2" t="s">
        <v>103</v>
      </c>
      <c r="X70" s="2" t="s">
        <v>100</v>
      </c>
      <c r="Y70" s="2" t="s">
        <v>104</v>
      </c>
      <c r="Z70" s="4">
        <v>611</v>
      </c>
      <c r="AA70" s="4">
        <f>=ROUNDDOWN(16.9722222222222,0)</f>
      </c>
      <c r="AB70" s="5">
        <v>36</v>
      </c>
      <c r="AC70" s="2" t="s">
        <v>559</v>
      </c>
      <c r="AD70" s="4">
        <v>240</v>
      </c>
      <c r="AE70" s="4">
        <v>860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1</v>
      </c>
      <c r="AQ70" s="8">
        <v>20.22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0.1668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520</v>
      </c>
      <c r="BK70" s="8">
        <v>10302.46</v>
      </c>
      <c r="BL70" s="2" t="s">
        <v>587</v>
      </c>
      <c r="BM70" s="7">
        <v>0.0019</v>
      </c>
      <c r="BN70" s="7">
        <v>0.002</v>
      </c>
      <c r="BO70" s="4">
        <v>1</v>
      </c>
      <c r="BP70" s="8">
        <v>20.22</v>
      </c>
      <c r="BQ70" s="4"/>
      <c r="BR70" s="8"/>
      <c r="BS70" s="7"/>
      <c r="BT70" s="7"/>
      <c r="BU70" s="2" t="s">
        <v>106</v>
      </c>
      <c r="BV70" s="2" t="s">
        <v>97</v>
      </c>
      <c r="BW70" s="2" t="s">
        <v>561</v>
      </c>
      <c r="BX70" s="2" t="s">
        <v>588</v>
      </c>
      <c r="BY70" s="2" t="s">
        <v>109</v>
      </c>
      <c r="BZ70" s="2" t="s">
        <v>100</v>
      </c>
    </row>
    <row r="71">
      <c r="A71" s="2" t="s">
        <v>589</v>
      </c>
      <c r="B71" s="2" t="s">
        <v>87</v>
      </c>
      <c r="C71" s="2" t="s">
        <v>88</v>
      </c>
      <c r="D71" s="2" t="s">
        <v>549</v>
      </c>
      <c r="E71" s="2" t="s">
        <v>550</v>
      </c>
      <c r="F71" s="2" t="s">
        <v>551</v>
      </c>
      <c r="G71" s="2" t="s">
        <v>552</v>
      </c>
      <c r="H71" s="2" t="s">
        <v>553</v>
      </c>
      <c r="I71" s="2" t="s">
        <v>569</v>
      </c>
      <c r="J71" s="2" t="s">
        <v>570</v>
      </c>
      <c r="K71" s="2" t="s">
        <v>260</v>
      </c>
      <c r="L71" s="3">
        <v>13.39</v>
      </c>
      <c r="M71" s="3">
        <v>14.06</v>
      </c>
      <c r="N71" s="3">
        <v>27.99</v>
      </c>
      <c r="O71" s="2" t="s">
        <v>97</v>
      </c>
      <c r="P71" s="2" t="s">
        <v>113</v>
      </c>
      <c r="Q71" s="2" t="s">
        <v>99</v>
      </c>
      <c r="R71" s="2" t="s">
        <v>100</v>
      </c>
      <c r="S71" s="2" t="s">
        <v>590</v>
      </c>
      <c r="T71" s="2" t="s">
        <v>220</v>
      </c>
      <c r="U71" s="2" t="s">
        <v>196</v>
      </c>
      <c r="V71" s="2" t="s">
        <v>557</v>
      </c>
      <c r="W71" s="2" t="s">
        <v>103</v>
      </c>
      <c r="X71" s="2" t="s">
        <v>100</v>
      </c>
      <c r="Y71" s="2" t="s">
        <v>104</v>
      </c>
      <c r="Z71" s="4">
        <v>518</v>
      </c>
      <c r="AA71" s="4">
        <f>=ROUNDDOWN(12.046511627907,0)</f>
      </c>
      <c r="AB71" s="5">
        <v>43</v>
      </c>
      <c r="AC71" s="2" t="s">
        <v>559</v>
      </c>
      <c r="AD71" s="4">
        <v>160</v>
      </c>
      <c r="AE71" s="4">
        <v>800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6</v>
      </c>
      <c r="AQ71" s="8">
        <v>86.58</v>
      </c>
      <c r="AR71" s="4"/>
      <c r="AS71" s="8"/>
      <c r="AT71" s="7"/>
      <c r="AU71" s="7"/>
      <c r="AV71" s="4">
        <v>6</v>
      </c>
      <c r="AW71" s="8">
        <v>86.58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1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0.1704</v>
      </c>
      <c r="BJ71" s="4">
        <v>700</v>
      </c>
      <c r="BK71" s="8">
        <v>10259.47</v>
      </c>
      <c r="BL71" s="2" t="s">
        <v>591</v>
      </c>
      <c r="BM71" s="7">
        <v>0.0086</v>
      </c>
      <c r="BN71" s="7">
        <v>0.0084</v>
      </c>
      <c r="BO71" s="4">
        <v>6</v>
      </c>
      <c r="BP71" s="8">
        <v>86.58</v>
      </c>
      <c r="BQ71" s="4"/>
      <c r="BR71" s="8"/>
      <c r="BS71" s="7"/>
      <c r="BT71" s="7"/>
      <c r="BU71" s="2" t="s">
        <v>106</v>
      </c>
      <c r="BV71" s="2" t="s">
        <v>97</v>
      </c>
      <c r="BW71" s="2" t="s">
        <v>561</v>
      </c>
      <c r="BX71" s="2" t="s">
        <v>592</v>
      </c>
      <c r="BY71" s="2" t="s">
        <v>109</v>
      </c>
      <c r="BZ71" s="2" t="s">
        <v>100</v>
      </c>
    </row>
    <row r="72">
      <c r="A72" s="2" t="s">
        <v>593</v>
      </c>
      <c r="B72" s="2" t="s">
        <v>87</v>
      </c>
      <c r="C72" s="2" t="s">
        <v>88</v>
      </c>
      <c r="D72" s="2" t="s">
        <v>549</v>
      </c>
      <c r="E72" s="2" t="s">
        <v>550</v>
      </c>
      <c r="F72" s="2" t="s">
        <v>551</v>
      </c>
      <c r="G72" s="2" t="s">
        <v>552</v>
      </c>
      <c r="H72" s="2" t="s">
        <v>553</v>
      </c>
      <c r="I72" s="2" t="s">
        <v>564</v>
      </c>
      <c r="J72" s="2" t="s">
        <v>565</v>
      </c>
      <c r="K72" s="2" t="s">
        <v>260</v>
      </c>
      <c r="L72" s="3">
        <v>30.26</v>
      </c>
      <c r="M72" s="3">
        <v>31.77</v>
      </c>
      <c r="N72" s="3">
        <v>62.99</v>
      </c>
      <c r="O72" s="2" t="s">
        <v>97</v>
      </c>
      <c r="P72" s="2" t="s">
        <v>113</v>
      </c>
      <c r="Q72" s="2" t="s">
        <v>99</v>
      </c>
      <c r="R72" s="2" t="s">
        <v>100</v>
      </c>
      <c r="S72" s="2" t="s">
        <v>590</v>
      </c>
      <c r="T72" s="2" t="s">
        <v>220</v>
      </c>
      <c r="U72" s="2" t="s">
        <v>196</v>
      </c>
      <c r="V72" s="2" t="s">
        <v>557</v>
      </c>
      <c r="W72" s="2" t="s">
        <v>103</v>
      </c>
      <c r="X72" s="2" t="s">
        <v>100</v>
      </c>
      <c r="Y72" s="2" t="s">
        <v>104</v>
      </c>
      <c r="Z72" s="4">
        <v>593</v>
      </c>
      <c r="AA72" s="4">
        <f>=ROUNDDOWN(23.72,0)</f>
      </c>
      <c r="AB72" s="5">
        <v>25</v>
      </c>
      <c r="AC72" s="2" t="s">
        <v>559</v>
      </c>
      <c r="AD72" s="4">
        <v>200</v>
      </c>
      <c r="AE72" s="4">
        <v>510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/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 t="s">
        <v>100</v>
      </c>
      <c r="BJ72" s="4">
        <v>366</v>
      </c>
      <c r="BK72" s="8">
        <v>12357.52</v>
      </c>
      <c r="BL72" s="2" t="s">
        <v>594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97</v>
      </c>
      <c r="BW72" s="2" t="s">
        <v>561</v>
      </c>
      <c r="BX72" s="2" t="s">
        <v>595</v>
      </c>
      <c r="BY72" s="2" t="s">
        <v>109</v>
      </c>
      <c r="BZ72" s="2" t="s">
        <v>100</v>
      </c>
    </row>
    <row r="73">
      <c r="A73" s="2" t="s">
        <v>596</v>
      </c>
      <c r="B73" s="2" t="s">
        <v>87</v>
      </c>
      <c r="C73" s="2" t="s">
        <v>88</v>
      </c>
      <c r="D73" s="2" t="s">
        <v>549</v>
      </c>
      <c r="E73" s="2" t="s">
        <v>550</v>
      </c>
      <c r="F73" s="2" t="s">
        <v>551</v>
      </c>
      <c r="G73" s="2" t="s">
        <v>552</v>
      </c>
      <c r="H73" s="2" t="s">
        <v>553</v>
      </c>
      <c r="I73" s="2" t="s">
        <v>569</v>
      </c>
      <c r="J73" s="2" t="s">
        <v>570</v>
      </c>
      <c r="K73" s="2" t="s">
        <v>218</v>
      </c>
      <c r="L73" s="3">
        <v>13.39</v>
      </c>
      <c r="M73" s="3">
        <v>14.06</v>
      </c>
      <c r="N73" s="3">
        <v>27.99</v>
      </c>
      <c r="O73" s="2" t="s">
        <v>97</v>
      </c>
      <c r="P73" s="2" t="s">
        <v>126</v>
      </c>
      <c r="Q73" s="2" t="s">
        <v>99</v>
      </c>
      <c r="R73" s="2" t="s">
        <v>100</v>
      </c>
      <c r="S73" s="2" t="s">
        <v>597</v>
      </c>
      <c r="T73" s="2" t="s">
        <v>220</v>
      </c>
      <c r="U73" s="2" t="s">
        <v>196</v>
      </c>
      <c r="V73" s="2" t="s">
        <v>557</v>
      </c>
      <c r="W73" s="2" t="s">
        <v>103</v>
      </c>
      <c r="X73" s="2" t="s">
        <v>100</v>
      </c>
      <c r="Y73" s="2" t="s">
        <v>598</v>
      </c>
      <c r="Z73" s="4">
        <v>173</v>
      </c>
      <c r="AA73" s="4">
        <f>=ROUNDDOWN(7.20833333333333,0)</f>
      </c>
      <c r="AB73" s="5">
        <v>24</v>
      </c>
      <c r="AC73" s="2" t="s">
        <v>559</v>
      </c>
      <c r="AD73" s="4">
        <v>380</v>
      </c>
      <c r="AE73" s="4">
        <v>700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380</v>
      </c>
      <c r="BK73" s="8">
        <v>5649.69</v>
      </c>
      <c r="BL73" s="2" t="s">
        <v>599</v>
      </c>
      <c r="BM73" s="7"/>
      <c r="BN73" s="7"/>
      <c r="BO73" s="4"/>
      <c r="BP73" s="8"/>
      <c r="BQ73" s="4"/>
      <c r="BR73" s="8"/>
      <c r="BS73" s="7"/>
      <c r="BT73" s="7"/>
      <c r="BU73" s="2" t="s">
        <v>200</v>
      </c>
      <c r="BV73" s="2" t="s">
        <v>97</v>
      </c>
      <c r="BW73" s="2" t="s">
        <v>100</v>
      </c>
      <c r="BX73" s="2" t="s">
        <v>100</v>
      </c>
      <c r="BY73" s="2" t="s">
        <v>109</v>
      </c>
      <c r="BZ73" s="2" t="s">
        <v>110</v>
      </c>
    </row>
    <row r="74">
      <c r="A74" s="2" t="s">
        <v>600</v>
      </c>
      <c r="B74" s="2" t="s">
        <v>87</v>
      </c>
      <c r="C74" s="2" t="s">
        <v>88</v>
      </c>
      <c r="D74" s="2" t="s">
        <v>549</v>
      </c>
      <c r="E74" s="2" t="s">
        <v>550</v>
      </c>
      <c r="F74" s="2" t="s">
        <v>551</v>
      </c>
      <c r="G74" s="2" t="s">
        <v>552</v>
      </c>
      <c r="H74" s="2" t="s">
        <v>553</v>
      </c>
      <c r="I74" s="2" t="s">
        <v>554</v>
      </c>
      <c r="J74" s="2" t="s">
        <v>555</v>
      </c>
      <c r="K74" s="2" t="s">
        <v>218</v>
      </c>
      <c r="L74" s="3">
        <v>17.85</v>
      </c>
      <c r="M74" s="3">
        <v>18.74</v>
      </c>
      <c r="N74" s="3">
        <v>37.99</v>
      </c>
      <c r="O74" s="2" t="s">
        <v>97</v>
      </c>
      <c r="P74" s="2" t="s">
        <v>126</v>
      </c>
      <c r="Q74" s="2" t="s">
        <v>99</v>
      </c>
      <c r="R74" s="2" t="s">
        <v>100</v>
      </c>
      <c r="S74" s="2" t="s">
        <v>597</v>
      </c>
      <c r="T74" s="2" t="s">
        <v>220</v>
      </c>
      <c r="U74" s="2" t="s">
        <v>196</v>
      </c>
      <c r="V74" s="2" t="s">
        <v>557</v>
      </c>
      <c r="W74" s="2" t="s">
        <v>103</v>
      </c>
      <c r="X74" s="2" t="s">
        <v>100</v>
      </c>
      <c r="Y74" s="2" t="s">
        <v>598</v>
      </c>
      <c r="Z74" s="4">
        <v>227</v>
      </c>
      <c r="AA74" s="4">
        <f>=ROUNDDOWN(10.8095238095238,0)</f>
      </c>
      <c r="AB74" s="5">
        <v>21</v>
      </c>
      <c r="AC74" s="2" t="s">
        <v>559</v>
      </c>
      <c r="AD74" s="4">
        <v>220</v>
      </c>
      <c r="AE74" s="4">
        <v>710</v>
      </c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319</v>
      </c>
      <c r="BK74" s="8">
        <v>6405.78</v>
      </c>
      <c r="BL74" s="2" t="s">
        <v>599</v>
      </c>
      <c r="BM74" s="7"/>
      <c r="BN74" s="7"/>
      <c r="BO74" s="4"/>
      <c r="BP74" s="8"/>
      <c r="BQ74" s="4"/>
      <c r="BR74" s="8"/>
      <c r="BS74" s="7"/>
      <c r="BT74" s="7"/>
      <c r="BU74" s="2" t="s">
        <v>200</v>
      </c>
      <c r="BV74" s="2" t="s">
        <v>97</v>
      </c>
      <c r="BW74" s="2" t="s">
        <v>100</v>
      </c>
      <c r="BX74" s="2" t="s">
        <v>100</v>
      </c>
      <c r="BY74" s="2" t="s">
        <v>109</v>
      </c>
      <c r="BZ74" s="2" t="s">
        <v>100</v>
      </c>
    </row>
    <row r="75">
      <c r="A75" s="2" t="s">
        <v>601</v>
      </c>
      <c r="B75" s="2" t="s">
        <v>87</v>
      </c>
      <c r="C75" s="2" t="s">
        <v>88</v>
      </c>
      <c r="D75" s="2" t="s">
        <v>549</v>
      </c>
      <c r="E75" s="2" t="s">
        <v>550</v>
      </c>
      <c r="F75" s="2" t="s">
        <v>551</v>
      </c>
      <c r="G75" s="2" t="s">
        <v>552</v>
      </c>
      <c r="H75" s="2" t="s">
        <v>553</v>
      </c>
      <c r="I75" s="2" t="s">
        <v>564</v>
      </c>
      <c r="J75" s="2" t="s">
        <v>565</v>
      </c>
      <c r="K75" s="2" t="s">
        <v>218</v>
      </c>
      <c r="L75" s="3">
        <v>30.26</v>
      </c>
      <c r="M75" s="3">
        <v>31.77</v>
      </c>
      <c r="N75" s="3">
        <v>62.99</v>
      </c>
      <c r="O75" s="2" t="s">
        <v>97</v>
      </c>
      <c r="P75" s="2" t="s">
        <v>126</v>
      </c>
      <c r="Q75" s="2" t="s">
        <v>99</v>
      </c>
      <c r="R75" s="2" t="s">
        <v>100</v>
      </c>
      <c r="S75" s="2" t="s">
        <v>597</v>
      </c>
      <c r="T75" s="2" t="s">
        <v>220</v>
      </c>
      <c r="U75" s="2" t="s">
        <v>196</v>
      </c>
      <c r="V75" s="2" t="s">
        <v>557</v>
      </c>
      <c r="W75" s="2" t="s">
        <v>103</v>
      </c>
      <c r="X75" s="2" t="s">
        <v>100</v>
      </c>
      <c r="Y75" s="2" t="s">
        <v>598</v>
      </c>
      <c r="Z75" s="4">
        <v>112</v>
      </c>
      <c r="AA75" s="4">
        <f>=ROUNDDOWN(7.46666666666667,0)</f>
      </c>
      <c r="AB75" s="5">
        <v>15</v>
      </c>
      <c r="AC75" s="2" t="s">
        <v>559</v>
      </c>
      <c r="AD75" s="4">
        <v>140</v>
      </c>
      <c r="AE75" s="4">
        <v>550</v>
      </c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238</v>
      </c>
      <c r="BK75" s="8">
        <v>7912.93</v>
      </c>
      <c r="BL75" s="2" t="s">
        <v>594</v>
      </c>
      <c r="BM75" s="7"/>
      <c r="BN75" s="7"/>
      <c r="BO75" s="4"/>
      <c r="BP75" s="8"/>
      <c r="BQ75" s="4"/>
      <c r="BR75" s="8"/>
      <c r="BS75" s="7"/>
      <c r="BT75" s="7"/>
      <c r="BU75" s="2" t="s">
        <v>200</v>
      </c>
      <c r="BV75" s="2" t="s">
        <v>97</v>
      </c>
      <c r="BW75" s="2" t="s">
        <v>100</v>
      </c>
      <c r="BX75" s="2" t="s">
        <v>100</v>
      </c>
      <c r="BY75" s="2" t="s">
        <v>109</v>
      </c>
      <c r="BZ75" s="2" t="s">
        <v>100</v>
      </c>
    </row>
    <row r="76">
      <c r="A76" s="2" t="s">
        <v>602</v>
      </c>
      <c r="B76" s="2" t="s">
        <v>87</v>
      </c>
      <c r="C76" s="2" t="s">
        <v>88</v>
      </c>
      <c r="D76" s="2" t="s">
        <v>549</v>
      </c>
      <c r="E76" s="2" t="s">
        <v>550</v>
      </c>
      <c r="F76" s="2" t="s">
        <v>603</v>
      </c>
      <c r="G76" s="2" t="s">
        <v>604</v>
      </c>
      <c r="H76" s="2" t="s">
        <v>214</v>
      </c>
      <c r="I76" s="2" t="s">
        <v>605</v>
      </c>
      <c r="J76" s="2" t="s">
        <v>606</v>
      </c>
      <c r="K76" s="2" t="s">
        <v>139</v>
      </c>
      <c r="L76" s="3">
        <v>15.18</v>
      </c>
      <c r="M76" s="3">
        <v>15.94</v>
      </c>
      <c r="N76" s="3">
        <v>32.99</v>
      </c>
      <c r="O76" s="2" t="s">
        <v>97</v>
      </c>
      <c r="P76" s="2" t="s">
        <v>126</v>
      </c>
      <c r="Q76" s="2" t="s">
        <v>99</v>
      </c>
      <c r="R76" s="2" t="s">
        <v>100</v>
      </c>
      <c r="S76" s="2" t="s">
        <v>607</v>
      </c>
      <c r="T76" s="2" t="s">
        <v>100</v>
      </c>
      <c r="U76" s="2" t="s">
        <v>196</v>
      </c>
      <c r="V76" s="2" t="s">
        <v>270</v>
      </c>
      <c r="W76" s="2" t="s">
        <v>150</v>
      </c>
      <c r="X76" s="2" t="s">
        <v>100</v>
      </c>
      <c r="Y76" s="2" t="s">
        <v>608</v>
      </c>
      <c r="Z76" s="4">
        <v>1101</v>
      </c>
      <c r="AA76" s="4">
        <f>=ROUNDDOWN(61.1666666666667,0)</f>
      </c>
      <c r="AB76" s="5">
        <v>18</v>
      </c>
      <c r="AC76" s="2" t="s">
        <v>100</v>
      </c>
      <c r="AD76" s="4"/>
      <c r="AE76" s="4"/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6</v>
      </c>
      <c r="AQ76" s="8">
        <v>93.6</v>
      </c>
      <c r="AR76" s="4"/>
      <c r="AS76" s="8"/>
      <c r="AT76" s="7"/>
      <c r="AU76" s="7"/>
      <c r="AV76" s="4">
        <v>11</v>
      </c>
      <c r="AW76" s="8">
        <v>223.5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0.4188</v>
      </c>
      <c r="BC76" s="4">
        <v>18</v>
      </c>
      <c r="BD76" s="8">
        <v>363.84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0.6143</v>
      </c>
      <c r="BJ76" s="4">
        <v>279</v>
      </c>
      <c r="BK76" s="8">
        <v>4511.76</v>
      </c>
      <c r="BL76" s="2" t="s">
        <v>609</v>
      </c>
      <c r="BM76" s="7">
        <v>0.0215</v>
      </c>
      <c r="BN76" s="7">
        <v>0.0207</v>
      </c>
      <c r="BO76" s="4">
        <v>6</v>
      </c>
      <c r="BP76" s="8">
        <v>93.6</v>
      </c>
      <c r="BQ76" s="4"/>
      <c r="BR76" s="8"/>
      <c r="BS76" s="7"/>
      <c r="BT76" s="7"/>
      <c r="BU76" s="2" t="s">
        <v>106</v>
      </c>
      <c r="BV76" s="2" t="s">
        <v>97</v>
      </c>
      <c r="BW76" s="2" t="s">
        <v>574</v>
      </c>
      <c r="BX76" s="2" t="s">
        <v>610</v>
      </c>
      <c r="BY76" s="2" t="s">
        <v>109</v>
      </c>
      <c r="BZ76" s="2" t="s">
        <v>100</v>
      </c>
    </row>
    <row r="77">
      <c r="A77" s="2" t="s">
        <v>611</v>
      </c>
      <c r="B77" s="2" t="s">
        <v>87</v>
      </c>
      <c r="C77" s="2" t="s">
        <v>88</v>
      </c>
      <c r="D77" s="2" t="s">
        <v>549</v>
      </c>
      <c r="E77" s="2" t="s">
        <v>550</v>
      </c>
      <c r="F77" s="2" t="s">
        <v>603</v>
      </c>
      <c r="G77" s="2" t="s">
        <v>604</v>
      </c>
      <c r="H77" s="2" t="s">
        <v>214</v>
      </c>
      <c r="I77" s="2" t="s">
        <v>605</v>
      </c>
      <c r="J77" s="2" t="s">
        <v>612</v>
      </c>
      <c r="K77" s="2" t="s">
        <v>139</v>
      </c>
      <c r="L77" s="3">
        <v>25.3</v>
      </c>
      <c r="M77" s="3">
        <v>26.56</v>
      </c>
      <c r="N77" s="3">
        <v>54.99</v>
      </c>
      <c r="O77" s="2" t="s">
        <v>97</v>
      </c>
      <c r="P77" s="2" t="s">
        <v>126</v>
      </c>
      <c r="Q77" s="2" t="s">
        <v>99</v>
      </c>
      <c r="R77" s="2" t="s">
        <v>100</v>
      </c>
      <c r="S77" s="2" t="s">
        <v>607</v>
      </c>
      <c r="T77" s="2" t="s">
        <v>100</v>
      </c>
      <c r="U77" s="2" t="s">
        <v>196</v>
      </c>
      <c r="V77" s="2" t="s">
        <v>270</v>
      </c>
      <c r="W77" s="2" t="s">
        <v>150</v>
      </c>
      <c r="X77" s="2" t="s">
        <v>100</v>
      </c>
      <c r="Y77" s="2" t="s">
        <v>608</v>
      </c>
      <c r="Z77" s="4">
        <v>474</v>
      </c>
      <c r="AA77" s="4">
        <f>=ROUNDDOWN(47.4,0)</f>
      </c>
      <c r="AB77" s="5">
        <v>10</v>
      </c>
      <c r="AC77" s="2" t="s">
        <v>100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5</v>
      </c>
      <c r="AQ77" s="8">
        <v>129.9</v>
      </c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0.5812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169</v>
      </c>
      <c r="BK77" s="8">
        <v>4444.91</v>
      </c>
      <c r="BL77" s="2" t="s">
        <v>613</v>
      </c>
      <c r="BM77" s="7">
        <v>0.0296</v>
      </c>
      <c r="BN77" s="7">
        <v>0.0292</v>
      </c>
      <c r="BO77" s="4">
        <v>5</v>
      </c>
      <c r="BP77" s="8">
        <v>129.9</v>
      </c>
      <c r="BQ77" s="4"/>
      <c r="BR77" s="8"/>
      <c r="BS77" s="7"/>
      <c r="BT77" s="7"/>
      <c r="BU77" s="2" t="s">
        <v>106</v>
      </c>
      <c r="BV77" s="2" t="s">
        <v>97</v>
      </c>
      <c r="BW77" s="2" t="s">
        <v>574</v>
      </c>
      <c r="BX77" s="2" t="s">
        <v>547</v>
      </c>
      <c r="BY77" s="2" t="s">
        <v>109</v>
      </c>
      <c r="BZ77" s="2" t="s">
        <v>100</v>
      </c>
    </row>
    <row r="78">
      <c r="A78" s="2" t="s">
        <v>614</v>
      </c>
      <c r="B78" s="2" t="s">
        <v>87</v>
      </c>
      <c r="C78" s="2" t="s">
        <v>88</v>
      </c>
      <c r="D78" s="2" t="s">
        <v>549</v>
      </c>
      <c r="E78" s="2" t="s">
        <v>550</v>
      </c>
      <c r="F78" s="2" t="s">
        <v>603</v>
      </c>
      <c r="G78" s="2" t="s">
        <v>604</v>
      </c>
      <c r="H78" s="2" t="s">
        <v>214</v>
      </c>
      <c r="I78" s="2" t="s">
        <v>605</v>
      </c>
      <c r="J78" s="2" t="s">
        <v>606</v>
      </c>
      <c r="K78" s="2" t="s">
        <v>160</v>
      </c>
      <c r="L78" s="3">
        <v>15.18</v>
      </c>
      <c r="M78" s="3">
        <v>15.94</v>
      </c>
      <c r="N78" s="3">
        <v>32.99</v>
      </c>
      <c r="O78" s="2" t="s">
        <v>97</v>
      </c>
      <c r="P78" s="2" t="s">
        <v>126</v>
      </c>
      <c r="Q78" s="2" t="s">
        <v>99</v>
      </c>
      <c r="R78" s="2" t="s">
        <v>100</v>
      </c>
      <c r="S78" s="2" t="s">
        <v>615</v>
      </c>
      <c r="T78" s="2" t="s">
        <v>100</v>
      </c>
      <c r="U78" s="2" t="s">
        <v>196</v>
      </c>
      <c r="V78" s="2" t="s">
        <v>270</v>
      </c>
      <c r="W78" s="2" t="s">
        <v>150</v>
      </c>
      <c r="X78" s="2" t="s">
        <v>100</v>
      </c>
      <c r="Y78" s="2" t="s">
        <v>608</v>
      </c>
      <c r="Z78" s="4">
        <v>926</v>
      </c>
      <c r="AA78" s="4">
        <f>=ROUNDDOWN(92.6,0)</f>
      </c>
      <c r="AB78" s="5">
        <v>10</v>
      </c>
      <c r="AC78" s="2" t="s">
        <v>100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4</v>
      </c>
      <c r="AQ78" s="8">
        <v>62.4</v>
      </c>
      <c r="AR78" s="4"/>
      <c r="AS78" s="8"/>
      <c r="AT78" s="7"/>
      <c r="AU78" s="7"/>
      <c r="AV78" s="4">
        <v>7</v>
      </c>
      <c r="AW78" s="8">
        <v>140.34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0.4446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>
        <v>0.3857</v>
      </c>
      <c r="BJ78" s="4">
        <v>124</v>
      </c>
      <c r="BK78" s="8">
        <v>2031.63</v>
      </c>
      <c r="BL78" s="2" t="s">
        <v>152</v>
      </c>
      <c r="BM78" s="7">
        <v>0.0323</v>
      </c>
      <c r="BN78" s="7">
        <v>0.0307</v>
      </c>
      <c r="BO78" s="4">
        <v>4</v>
      </c>
      <c r="BP78" s="8">
        <v>62.4</v>
      </c>
      <c r="BQ78" s="4"/>
      <c r="BR78" s="8"/>
      <c r="BS78" s="7"/>
      <c r="BT78" s="7"/>
      <c r="BU78" s="2" t="s">
        <v>106</v>
      </c>
      <c r="BV78" s="2" t="s">
        <v>97</v>
      </c>
      <c r="BW78" s="2" t="s">
        <v>616</v>
      </c>
      <c r="BX78" s="2" t="s">
        <v>617</v>
      </c>
      <c r="BY78" s="2" t="s">
        <v>109</v>
      </c>
      <c r="BZ78" s="2" t="s">
        <v>100</v>
      </c>
    </row>
    <row r="79">
      <c r="A79" s="2" t="s">
        <v>618</v>
      </c>
      <c r="B79" s="2" t="s">
        <v>87</v>
      </c>
      <c r="C79" s="2" t="s">
        <v>88</v>
      </c>
      <c r="D79" s="2" t="s">
        <v>549</v>
      </c>
      <c r="E79" s="2" t="s">
        <v>550</v>
      </c>
      <c r="F79" s="2" t="s">
        <v>603</v>
      </c>
      <c r="G79" s="2" t="s">
        <v>604</v>
      </c>
      <c r="H79" s="2" t="s">
        <v>214</v>
      </c>
      <c r="I79" s="2" t="s">
        <v>605</v>
      </c>
      <c r="J79" s="2" t="s">
        <v>612</v>
      </c>
      <c r="K79" s="2" t="s">
        <v>160</v>
      </c>
      <c r="L79" s="3">
        <v>25.3</v>
      </c>
      <c r="M79" s="3">
        <v>26.56</v>
      </c>
      <c r="N79" s="3">
        <v>54.99</v>
      </c>
      <c r="O79" s="2" t="s">
        <v>97</v>
      </c>
      <c r="P79" s="2" t="s">
        <v>126</v>
      </c>
      <c r="Q79" s="2" t="s">
        <v>99</v>
      </c>
      <c r="R79" s="2" t="s">
        <v>100</v>
      </c>
      <c r="S79" s="2" t="s">
        <v>615</v>
      </c>
      <c r="T79" s="2" t="s">
        <v>100</v>
      </c>
      <c r="U79" s="2" t="s">
        <v>196</v>
      </c>
      <c r="V79" s="2" t="s">
        <v>270</v>
      </c>
      <c r="W79" s="2" t="s">
        <v>150</v>
      </c>
      <c r="X79" s="2" t="s">
        <v>100</v>
      </c>
      <c r="Y79" s="2" t="s">
        <v>608</v>
      </c>
      <c r="Z79" s="4">
        <v>606</v>
      </c>
      <c r="AA79" s="4">
        <f>=ROUNDDOWN(121.2,0)</f>
      </c>
      <c r="AB79" s="5">
        <v>5</v>
      </c>
      <c r="AC79" s="2" t="s">
        <v>100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3</v>
      </c>
      <c r="AQ79" s="8">
        <v>77.94</v>
      </c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0.5554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67</v>
      </c>
      <c r="BK79" s="8">
        <v>1806.44</v>
      </c>
      <c r="BL79" s="2" t="s">
        <v>619</v>
      </c>
      <c r="BM79" s="7">
        <v>0.0448</v>
      </c>
      <c r="BN79" s="7">
        <v>0.0431</v>
      </c>
      <c r="BO79" s="4">
        <v>3</v>
      </c>
      <c r="BP79" s="8">
        <v>77.94</v>
      </c>
      <c r="BQ79" s="4"/>
      <c r="BR79" s="8"/>
      <c r="BS79" s="7"/>
      <c r="BT79" s="7"/>
      <c r="BU79" s="2" t="s">
        <v>106</v>
      </c>
      <c r="BV79" s="2" t="s">
        <v>97</v>
      </c>
      <c r="BW79" s="2" t="s">
        <v>574</v>
      </c>
      <c r="BX79" s="2" t="s">
        <v>620</v>
      </c>
      <c r="BY79" s="2" t="s">
        <v>109</v>
      </c>
      <c r="BZ79" s="2" t="s">
        <v>100</v>
      </c>
    </row>
    <row r="80">
      <c r="A80" s="2" t="s">
        <v>621</v>
      </c>
      <c r="B80" s="2" t="s">
        <v>87</v>
      </c>
      <c r="C80" s="2" t="s">
        <v>88</v>
      </c>
      <c r="D80" s="2" t="s">
        <v>549</v>
      </c>
      <c r="E80" s="2" t="s">
        <v>550</v>
      </c>
      <c r="F80" s="2" t="s">
        <v>603</v>
      </c>
      <c r="G80" s="2" t="s">
        <v>604</v>
      </c>
      <c r="H80" s="2" t="s">
        <v>214</v>
      </c>
      <c r="I80" s="2" t="s">
        <v>605</v>
      </c>
      <c r="J80" s="2" t="s">
        <v>606</v>
      </c>
      <c r="K80" s="2" t="s">
        <v>243</v>
      </c>
      <c r="L80" s="3">
        <v>15.18</v>
      </c>
      <c r="M80" s="3">
        <v>15.94</v>
      </c>
      <c r="N80" s="3">
        <v>32.99</v>
      </c>
      <c r="O80" s="2" t="s">
        <v>97</v>
      </c>
      <c r="P80" s="2" t="s">
        <v>126</v>
      </c>
      <c r="Q80" s="2" t="s">
        <v>99</v>
      </c>
      <c r="R80" s="2" t="s">
        <v>100</v>
      </c>
      <c r="S80" s="2" t="s">
        <v>622</v>
      </c>
      <c r="T80" s="2" t="s">
        <v>100</v>
      </c>
      <c r="U80" s="2" t="s">
        <v>196</v>
      </c>
      <c r="V80" s="2" t="s">
        <v>270</v>
      </c>
      <c r="W80" s="2" t="s">
        <v>150</v>
      </c>
      <c r="X80" s="2" t="s">
        <v>100</v>
      </c>
      <c r="Y80" s="2" t="s">
        <v>608</v>
      </c>
      <c r="Z80" s="4">
        <v>736</v>
      </c>
      <c r="AA80" s="4">
        <f>=ROUNDDOWN(35.047619047619,0)</f>
      </c>
      <c r="AB80" s="5">
        <v>21</v>
      </c>
      <c r="AC80" s="2" t="s">
        <v>100</v>
      </c>
      <c r="AD80" s="4"/>
      <c r="AE80" s="4"/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/>
      <c r="BJ80" s="4">
        <v>254</v>
      </c>
      <c r="BK80" s="8">
        <v>4130.86</v>
      </c>
      <c r="BL80" s="2" t="s">
        <v>623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97</v>
      </c>
      <c r="BW80" s="2" t="s">
        <v>624</v>
      </c>
      <c r="BX80" s="2" t="s">
        <v>620</v>
      </c>
      <c r="BY80" s="2" t="s">
        <v>109</v>
      </c>
      <c r="BZ80" s="2" t="s">
        <v>110</v>
      </c>
    </row>
    <row r="81">
      <c r="A81" s="2" t="s">
        <v>625</v>
      </c>
      <c r="B81" s="2" t="s">
        <v>87</v>
      </c>
      <c r="C81" s="2" t="s">
        <v>88</v>
      </c>
      <c r="D81" s="2" t="s">
        <v>549</v>
      </c>
      <c r="E81" s="2" t="s">
        <v>550</v>
      </c>
      <c r="F81" s="2" t="s">
        <v>626</v>
      </c>
      <c r="G81" s="2" t="s">
        <v>627</v>
      </c>
      <c r="H81" s="2" t="s">
        <v>628</v>
      </c>
      <c r="I81" s="2" t="s">
        <v>629</v>
      </c>
      <c r="J81" s="2" t="s">
        <v>570</v>
      </c>
      <c r="K81" s="2" t="s">
        <v>260</v>
      </c>
      <c r="L81" s="3">
        <v>13.39</v>
      </c>
      <c r="M81" s="3">
        <v>14.06</v>
      </c>
      <c r="N81" s="3">
        <v>27.99</v>
      </c>
      <c r="O81" s="2" t="s">
        <v>97</v>
      </c>
      <c r="P81" s="2" t="s">
        <v>113</v>
      </c>
      <c r="Q81" s="2" t="s">
        <v>99</v>
      </c>
      <c r="R81" s="2" t="s">
        <v>100</v>
      </c>
      <c r="S81" s="2" t="s">
        <v>630</v>
      </c>
      <c r="T81" s="2" t="s">
        <v>220</v>
      </c>
      <c r="U81" s="2" t="s">
        <v>196</v>
      </c>
      <c r="V81" s="2" t="s">
        <v>480</v>
      </c>
      <c r="W81" s="2" t="s">
        <v>631</v>
      </c>
      <c r="X81" s="2" t="s">
        <v>100</v>
      </c>
      <c r="Y81" s="2" t="s">
        <v>632</v>
      </c>
      <c r="Z81" s="4">
        <v>1472</v>
      </c>
      <c r="AA81" s="4">
        <f>=ROUNDDOWN(24.5333333333333,0)</f>
      </c>
      <c r="AB81" s="5">
        <v>60</v>
      </c>
      <c r="AC81" s="2" t="s">
        <v>324</v>
      </c>
      <c r="AD81" s="4">
        <v>504</v>
      </c>
      <c r="AE81" s="4">
        <v>708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3</v>
      </c>
      <c r="AQ81" s="8">
        <v>43.29</v>
      </c>
      <c r="AR81" s="4"/>
      <c r="AS81" s="8"/>
      <c r="AT81" s="7"/>
      <c r="AU81" s="7"/>
      <c r="AV81" s="4">
        <v>7</v>
      </c>
      <c r="AW81" s="8">
        <v>101.01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0.4286</v>
      </c>
      <c r="BC81" s="4">
        <v>7</v>
      </c>
      <c r="BD81" s="8">
        <v>101.01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>
        <v>1</v>
      </c>
      <c r="BJ81" s="4">
        <v>815</v>
      </c>
      <c r="BK81" s="8">
        <v>12502.84</v>
      </c>
      <c r="BL81" s="2" t="s">
        <v>633</v>
      </c>
      <c r="BM81" s="7">
        <v>0.0037</v>
      </c>
      <c r="BN81" s="7">
        <v>0.0035</v>
      </c>
      <c r="BO81" s="4">
        <v>3</v>
      </c>
      <c r="BP81" s="8">
        <v>43.29</v>
      </c>
      <c r="BQ81" s="4"/>
      <c r="BR81" s="8"/>
      <c r="BS81" s="7"/>
      <c r="BT81" s="7"/>
      <c r="BU81" s="2" t="s">
        <v>106</v>
      </c>
      <c r="BV81" s="2" t="s">
        <v>97</v>
      </c>
      <c r="BW81" s="2" t="s">
        <v>634</v>
      </c>
      <c r="BX81" s="2" t="s">
        <v>635</v>
      </c>
      <c r="BY81" s="2" t="s">
        <v>109</v>
      </c>
      <c r="BZ81" s="2" t="s">
        <v>100</v>
      </c>
    </row>
    <row r="82">
      <c r="A82" s="2" t="s">
        <v>636</v>
      </c>
      <c r="B82" s="2" t="s">
        <v>87</v>
      </c>
      <c r="C82" s="2" t="s">
        <v>88</v>
      </c>
      <c r="D82" s="2" t="s">
        <v>549</v>
      </c>
      <c r="E82" s="2" t="s">
        <v>550</v>
      </c>
      <c r="F82" s="2" t="s">
        <v>626</v>
      </c>
      <c r="G82" s="2" t="s">
        <v>627</v>
      </c>
      <c r="H82" s="2" t="s">
        <v>628</v>
      </c>
      <c r="I82" s="2" t="s">
        <v>629</v>
      </c>
      <c r="J82" s="2" t="s">
        <v>637</v>
      </c>
      <c r="K82" s="2" t="s">
        <v>260</v>
      </c>
      <c r="L82" s="3">
        <v>13.39</v>
      </c>
      <c r="M82" s="3">
        <v>14.06</v>
      </c>
      <c r="N82" s="3">
        <v>27.99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630</v>
      </c>
      <c r="T82" s="2" t="s">
        <v>220</v>
      </c>
      <c r="U82" s="2" t="s">
        <v>196</v>
      </c>
      <c r="V82" s="2" t="s">
        <v>480</v>
      </c>
      <c r="W82" s="2" t="s">
        <v>631</v>
      </c>
      <c r="X82" s="2" t="s">
        <v>100</v>
      </c>
      <c r="Y82" s="2" t="s">
        <v>632</v>
      </c>
      <c r="Z82" s="4">
        <v>1979</v>
      </c>
      <c r="AA82" s="4">
        <f>=ROUNDDOWN(16.4916666666667,0)</f>
      </c>
      <c r="AB82" s="5">
        <v>120</v>
      </c>
      <c r="AC82" s="2" t="s">
        <v>324</v>
      </c>
      <c r="AD82" s="4">
        <v>1344</v>
      </c>
      <c r="AE82" s="4">
        <v>2448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4</v>
      </c>
      <c r="AQ82" s="8">
        <v>57.72</v>
      </c>
      <c r="AR82" s="4"/>
      <c r="AS82" s="8"/>
      <c r="AT82" s="7"/>
      <c r="AU82" s="7"/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0.5714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 t="s">
        <v>100</v>
      </c>
      <c r="BJ82" s="4">
        <v>1812</v>
      </c>
      <c r="BK82" s="8">
        <v>26853.91</v>
      </c>
      <c r="BL82" s="2" t="s">
        <v>638</v>
      </c>
      <c r="BM82" s="7">
        <v>0.0022</v>
      </c>
      <c r="BN82" s="7">
        <v>0.0021</v>
      </c>
      <c r="BO82" s="4">
        <v>4</v>
      </c>
      <c r="BP82" s="8">
        <v>57.72</v>
      </c>
      <c r="BQ82" s="4"/>
      <c r="BR82" s="8"/>
      <c r="BS82" s="7"/>
      <c r="BT82" s="7"/>
      <c r="BU82" s="2" t="s">
        <v>106</v>
      </c>
      <c r="BV82" s="2" t="s">
        <v>97</v>
      </c>
      <c r="BW82" s="2" t="s">
        <v>634</v>
      </c>
      <c r="BX82" s="2" t="s">
        <v>639</v>
      </c>
      <c r="BY82" s="2" t="s">
        <v>109</v>
      </c>
      <c r="BZ82" s="2" t="s">
        <v>100</v>
      </c>
    </row>
    <row r="83">
      <c r="A83" s="2" t="s">
        <v>640</v>
      </c>
      <c r="B83" s="2" t="s">
        <v>87</v>
      </c>
      <c r="C83" s="2" t="s">
        <v>88</v>
      </c>
      <c r="D83" s="2" t="s">
        <v>549</v>
      </c>
      <c r="E83" s="2" t="s">
        <v>550</v>
      </c>
      <c r="F83" s="2" t="s">
        <v>626</v>
      </c>
      <c r="G83" s="2" t="s">
        <v>627</v>
      </c>
      <c r="H83" s="2" t="s">
        <v>628</v>
      </c>
      <c r="I83" s="2" t="s">
        <v>629</v>
      </c>
      <c r="J83" s="2" t="s">
        <v>570</v>
      </c>
      <c r="K83" s="2" t="s">
        <v>641</v>
      </c>
      <c r="L83" s="3">
        <v>13.39</v>
      </c>
      <c r="M83" s="3">
        <v>14.06</v>
      </c>
      <c r="N83" s="3">
        <v>27.99</v>
      </c>
      <c r="O83" s="2" t="s">
        <v>97</v>
      </c>
      <c r="P83" s="2" t="s">
        <v>126</v>
      </c>
      <c r="Q83" s="2" t="s">
        <v>99</v>
      </c>
      <c r="R83" s="2" t="s">
        <v>100</v>
      </c>
      <c r="S83" s="2" t="s">
        <v>642</v>
      </c>
      <c r="T83" s="2" t="s">
        <v>220</v>
      </c>
      <c r="U83" s="2" t="s">
        <v>196</v>
      </c>
      <c r="V83" s="2" t="s">
        <v>480</v>
      </c>
      <c r="W83" s="2" t="s">
        <v>631</v>
      </c>
      <c r="X83" s="2" t="s">
        <v>100</v>
      </c>
      <c r="Y83" s="2" t="s">
        <v>643</v>
      </c>
      <c r="Z83" s="4">
        <v>972</v>
      </c>
      <c r="AA83" s="4">
        <f>=ROUNDDOWN(34.7142857142857,0)</f>
      </c>
      <c r="AB83" s="5">
        <v>28</v>
      </c>
      <c r="AC83" s="2" t="s">
        <v>324</v>
      </c>
      <c r="AD83" s="4">
        <v>642</v>
      </c>
      <c r="AE83" s="4">
        <v>642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>
        <v>464</v>
      </c>
      <c r="BK83" s="8">
        <v>7174.01</v>
      </c>
      <c r="BL83" s="2" t="s">
        <v>644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97</v>
      </c>
      <c r="BW83" s="2" t="s">
        <v>574</v>
      </c>
      <c r="BX83" s="2" t="s">
        <v>645</v>
      </c>
      <c r="BY83" s="2" t="s">
        <v>109</v>
      </c>
      <c r="BZ83" s="2" t="s">
        <v>100</v>
      </c>
    </row>
    <row r="84">
      <c r="A84" s="2" t="s">
        <v>646</v>
      </c>
      <c r="B84" s="2" t="s">
        <v>87</v>
      </c>
      <c r="C84" s="2" t="s">
        <v>88</v>
      </c>
      <c r="D84" s="2" t="s">
        <v>549</v>
      </c>
      <c r="E84" s="2" t="s">
        <v>550</v>
      </c>
      <c r="F84" s="2" t="s">
        <v>647</v>
      </c>
      <c r="G84" s="2" t="s">
        <v>647</v>
      </c>
      <c r="H84" s="2" t="s">
        <v>647</v>
      </c>
      <c r="I84" s="2" t="s">
        <v>648</v>
      </c>
      <c r="J84" s="2" t="s">
        <v>570</v>
      </c>
      <c r="K84" s="2" t="s">
        <v>243</v>
      </c>
      <c r="L84" s="3">
        <v>11.25</v>
      </c>
      <c r="M84" s="3">
        <v>11.81</v>
      </c>
      <c r="N84" s="3">
        <v>24.99</v>
      </c>
      <c r="O84" s="2" t="s">
        <v>97</v>
      </c>
      <c r="P84" s="2" t="s">
        <v>113</v>
      </c>
      <c r="Q84" s="2" t="s">
        <v>99</v>
      </c>
      <c r="R84" s="2" t="s">
        <v>100</v>
      </c>
      <c r="S84" s="2" t="s">
        <v>649</v>
      </c>
      <c r="T84" s="2" t="s">
        <v>100</v>
      </c>
      <c r="U84" s="2" t="s">
        <v>100</v>
      </c>
      <c r="V84" s="2" t="s">
        <v>244</v>
      </c>
      <c r="W84" s="2" t="s">
        <v>222</v>
      </c>
      <c r="X84" s="2" t="s">
        <v>100</v>
      </c>
      <c r="Y84" s="2" t="s">
        <v>104</v>
      </c>
      <c r="Z84" s="4">
        <v>1364</v>
      </c>
      <c r="AA84" s="4">
        <f>=ROUNDDOWN(22.7333333333333,0)</f>
      </c>
      <c r="AB84" s="5">
        <v>60</v>
      </c>
      <c r="AC84" s="2" t="s">
        <v>650</v>
      </c>
      <c r="AD84" s="4">
        <v>420</v>
      </c>
      <c r="AE84" s="4">
        <v>1020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4</v>
      </c>
      <c r="AQ84" s="8">
        <v>46.2</v>
      </c>
      <c r="AR84" s="4"/>
      <c r="AS84" s="8"/>
      <c r="AT84" s="7"/>
      <c r="AU84" s="7"/>
      <c r="AV84" s="4">
        <v>4</v>
      </c>
      <c r="AW84" s="8">
        <v>46.2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1</v>
      </c>
      <c r="BC84" s="4">
        <v>5</v>
      </c>
      <c r="BD84" s="8">
        <v>57.75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0.8</v>
      </c>
      <c r="BJ84" s="4">
        <v>807</v>
      </c>
      <c r="BK84" s="8">
        <v>10049.55</v>
      </c>
      <c r="BL84" s="2" t="s">
        <v>651</v>
      </c>
      <c r="BM84" s="7">
        <v>0.005</v>
      </c>
      <c r="BN84" s="7">
        <v>0.0046</v>
      </c>
      <c r="BO84" s="4">
        <v>4</v>
      </c>
      <c r="BP84" s="8">
        <v>46.2</v>
      </c>
      <c r="BQ84" s="4"/>
      <c r="BR84" s="8"/>
      <c r="BS84" s="7"/>
      <c r="BT84" s="7"/>
      <c r="BU84" s="2" t="s">
        <v>106</v>
      </c>
      <c r="BV84" s="2" t="s">
        <v>97</v>
      </c>
      <c r="BW84" s="2" t="s">
        <v>122</v>
      </c>
      <c r="BX84" s="2" t="s">
        <v>652</v>
      </c>
      <c r="BY84" s="2" t="s">
        <v>109</v>
      </c>
      <c r="BZ84" s="2" t="s">
        <v>100</v>
      </c>
    </row>
    <row r="85">
      <c r="A85" s="2" t="s">
        <v>653</v>
      </c>
      <c r="B85" s="2" t="s">
        <v>87</v>
      </c>
      <c r="C85" s="2" t="s">
        <v>88</v>
      </c>
      <c r="D85" s="2" t="s">
        <v>549</v>
      </c>
      <c r="E85" s="2" t="s">
        <v>550</v>
      </c>
      <c r="F85" s="2" t="s">
        <v>647</v>
      </c>
      <c r="G85" s="2" t="s">
        <v>647</v>
      </c>
      <c r="H85" s="2" t="s">
        <v>647</v>
      </c>
      <c r="I85" s="2" t="s">
        <v>648</v>
      </c>
      <c r="J85" s="2" t="s">
        <v>565</v>
      </c>
      <c r="K85" s="2" t="s">
        <v>243</v>
      </c>
      <c r="L85" s="3">
        <v>24</v>
      </c>
      <c r="M85" s="3">
        <v>25.2</v>
      </c>
      <c r="N85" s="3">
        <v>49.99</v>
      </c>
      <c r="O85" s="2" t="s">
        <v>97</v>
      </c>
      <c r="P85" s="2" t="s">
        <v>113</v>
      </c>
      <c r="Q85" s="2" t="s">
        <v>99</v>
      </c>
      <c r="R85" s="2" t="s">
        <v>100</v>
      </c>
      <c r="S85" s="2" t="s">
        <v>654</v>
      </c>
      <c r="T85" s="2" t="s">
        <v>100</v>
      </c>
      <c r="U85" s="2" t="s">
        <v>100</v>
      </c>
      <c r="V85" s="2" t="s">
        <v>244</v>
      </c>
      <c r="W85" s="2" t="s">
        <v>222</v>
      </c>
      <c r="X85" s="2" t="s">
        <v>100</v>
      </c>
      <c r="Y85" s="2" t="s">
        <v>104</v>
      </c>
      <c r="Z85" s="4">
        <v>452</v>
      </c>
      <c r="AA85" s="4">
        <f>=ROUNDDOWN(28.25,0)</f>
      </c>
      <c r="AB85" s="5">
        <v>16</v>
      </c>
      <c r="AC85" s="2" t="s">
        <v>650</v>
      </c>
      <c r="AD85" s="4">
        <v>30</v>
      </c>
      <c r="AE85" s="4">
        <v>170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>
        <v>152</v>
      </c>
      <c r="BK85" s="8">
        <v>4100.24</v>
      </c>
      <c r="BL85" s="2" t="s">
        <v>655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97</v>
      </c>
      <c r="BW85" s="2" t="s">
        <v>122</v>
      </c>
      <c r="BX85" s="2" t="s">
        <v>364</v>
      </c>
      <c r="BY85" s="2" t="s">
        <v>109</v>
      </c>
      <c r="BZ85" s="2" t="s">
        <v>100</v>
      </c>
    </row>
    <row r="86">
      <c r="A86" s="2" t="s">
        <v>656</v>
      </c>
      <c r="B86" s="2" t="s">
        <v>87</v>
      </c>
      <c r="C86" s="2" t="s">
        <v>88</v>
      </c>
      <c r="D86" s="2" t="s">
        <v>549</v>
      </c>
      <c r="E86" s="2" t="s">
        <v>550</v>
      </c>
      <c r="F86" s="2" t="s">
        <v>647</v>
      </c>
      <c r="G86" s="2" t="s">
        <v>647</v>
      </c>
      <c r="H86" s="2" t="s">
        <v>647</v>
      </c>
      <c r="I86" s="2" t="s">
        <v>648</v>
      </c>
      <c r="J86" s="2" t="s">
        <v>657</v>
      </c>
      <c r="K86" s="2" t="s">
        <v>243</v>
      </c>
      <c r="L86" s="3">
        <v>19.2</v>
      </c>
      <c r="M86" s="3">
        <v>20.16</v>
      </c>
      <c r="N86" s="3">
        <v>39.99</v>
      </c>
      <c r="O86" s="2" t="s">
        <v>97</v>
      </c>
      <c r="P86" s="2" t="s">
        <v>113</v>
      </c>
      <c r="Q86" s="2" t="s">
        <v>99</v>
      </c>
      <c r="R86" s="2" t="s">
        <v>100</v>
      </c>
      <c r="S86" s="2" t="s">
        <v>654</v>
      </c>
      <c r="T86" s="2" t="s">
        <v>100</v>
      </c>
      <c r="U86" s="2" t="s">
        <v>100</v>
      </c>
      <c r="V86" s="2" t="s">
        <v>244</v>
      </c>
      <c r="W86" s="2" t="s">
        <v>222</v>
      </c>
      <c r="X86" s="2" t="s">
        <v>100</v>
      </c>
      <c r="Y86" s="2" t="s">
        <v>104</v>
      </c>
      <c r="Z86" s="4">
        <v>554</v>
      </c>
      <c r="AA86" s="4">
        <f>=ROUNDDOWN(27.7,0)</f>
      </c>
      <c r="AB86" s="5">
        <v>20</v>
      </c>
      <c r="AC86" s="2" t="s">
        <v>650</v>
      </c>
      <c r="AD86" s="4">
        <v>170</v>
      </c>
      <c r="AE86" s="4">
        <v>250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>
        <v>295</v>
      </c>
      <c r="BK86" s="8">
        <v>6070.46</v>
      </c>
      <c r="BL86" s="2" t="s">
        <v>658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97</v>
      </c>
      <c r="BW86" s="2" t="s">
        <v>122</v>
      </c>
      <c r="BX86" s="2" t="s">
        <v>652</v>
      </c>
      <c r="BY86" s="2" t="s">
        <v>109</v>
      </c>
      <c r="BZ86" s="2" t="s">
        <v>100</v>
      </c>
    </row>
    <row r="87">
      <c r="A87" s="2" t="s">
        <v>659</v>
      </c>
      <c r="B87" s="2" t="s">
        <v>87</v>
      </c>
      <c r="C87" s="2" t="s">
        <v>88</v>
      </c>
      <c r="D87" s="2" t="s">
        <v>549</v>
      </c>
      <c r="E87" s="2" t="s">
        <v>550</v>
      </c>
      <c r="F87" s="2" t="s">
        <v>647</v>
      </c>
      <c r="G87" s="2" t="s">
        <v>647</v>
      </c>
      <c r="H87" s="2" t="s">
        <v>647</v>
      </c>
      <c r="I87" s="2" t="s">
        <v>648</v>
      </c>
      <c r="J87" s="2" t="s">
        <v>570</v>
      </c>
      <c r="K87" s="2" t="s">
        <v>160</v>
      </c>
      <c r="L87" s="3">
        <v>11.25</v>
      </c>
      <c r="M87" s="3">
        <v>11.81</v>
      </c>
      <c r="N87" s="3">
        <v>24.99</v>
      </c>
      <c r="O87" s="2" t="s">
        <v>97</v>
      </c>
      <c r="P87" s="2" t="s">
        <v>126</v>
      </c>
      <c r="Q87" s="2" t="s">
        <v>99</v>
      </c>
      <c r="R87" s="2" t="s">
        <v>100</v>
      </c>
      <c r="S87" s="2" t="s">
        <v>660</v>
      </c>
      <c r="T87" s="2" t="s">
        <v>100</v>
      </c>
      <c r="U87" s="2" t="s">
        <v>100</v>
      </c>
      <c r="V87" s="2" t="s">
        <v>244</v>
      </c>
      <c r="W87" s="2" t="s">
        <v>222</v>
      </c>
      <c r="X87" s="2" t="s">
        <v>100</v>
      </c>
      <c r="Y87" s="2" t="s">
        <v>104</v>
      </c>
      <c r="Z87" s="4">
        <v>999</v>
      </c>
      <c r="AA87" s="4">
        <f>=ROUNDDOWN(26.2894736842105,0)</f>
      </c>
      <c r="AB87" s="5">
        <v>38</v>
      </c>
      <c r="AC87" s="2" t="s">
        <v>650</v>
      </c>
      <c r="AD87" s="4">
        <v>340</v>
      </c>
      <c r="AE87" s="4">
        <v>910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</v>
      </c>
      <c r="AQ87" s="8">
        <v>11.55</v>
      </c>
      <c r="AR87" s="4"/>
      <c r="AS87" s="8"/>
      <c r="AT87" s="7"/>
      <c r="AU87" s="7"/>
      <c r="AV87" s="4">
        <v>1</v>
      </c>
      <c r="AW87" s="8">
        <v>11.55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1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>
        <v>0.2</v>
      </c>
      <c r="BJ87" s="4">
        <v>464</v>
      </c>
      <c r="BK87" s="8">
        <v>5608.25</v>
      </c>
      <c r="BL87" s="2" t="s">
        <v>661</v>
      </c>
      <c r="BM87" s="7">
        <v>0.0022</v>
      </c>
      <c r="BN87" s="7">
        <v>0.0021</v>
      </c>
      <c r="BO87" s="4">
        <v>1</v>
      </c>
      <c r="BP87" s="8">
        <v>11.55</v>
      </c>
      <c r="BQ87" s="4"/>
      <c r="BR87" s="8"/>
      <c r="BS87" s="7"/>
      <c r="BT87" s="7"/>
      <c r="BU87" s="2" t="s">
        <v>106</v>
      </c>
      <c r="BV87" s="2" t="s">
        <v>97</v>
      </c>
      <c r="BW87" s="2" t="s">
        <v>122</v>
      </c>
      <c r="BX87" s="2" t="s">
        <v>123</v>
      </c>
      <c r="BY87" s="2" t="s">
        <v>109</v>
      </c>
      <c r="BZ87" s="2" t="s">
        <v>110</v>
      </c>
    </row>
    <row r="88">
      <c r="A88" s="2" t="s">
        <v>662</v>
      </c>
      <c r="B88" s="2" t="s">
        <v>87</v>
      </c>
      <c r="C88" s="2" t="s">
        <v>88</v>
      </c>
      <c r="D88" s="2" t="s">
        <v>549</v>
      </c>
      <c r="E88" s="2" t="s">
        <v>550</v>
      </c>
      <c r="F88" s="2" t="s">
        <v>647</v>
      </c>
      <c r="G88" s="2" t="s">
        <v>647</v>
      </c>
      <c r="H88" s="2" t="s">
        <v>647</v>
      </c>
      <c r="I88" s="2" t="s">
        <v>648</v>
      </c>
      <c r="J88" s="2" t="s">
        <v>565</v>
      </c>
      <c r="K88" s="2" t="s">
        <v>160</v>
      </c>
      <c r="L88" s="3">
        <v>24</v>
      </c>
      <c r="M88" s="3">
        <v>25.2</v>
      </c>
      <c r="N88" s="3">
        <v>49.99</v>
      </c>
      <c r="O88" s="2" t="s">
        <v>97</v>
      </c>
      <c r="P88" s="2" t="s">
        <v>126</v>
      </c>
      <c r="Q88" s="2" t="s">
        <v>99</v>
      </c>
      <c r="R88" s="2" t="s">
        <v>100</v>
      </c>
      <c r="S88" s="2" t="s">
        <v>660</v>
      </c>
      <c r="T88" s="2" t="s">
        <v>100</v>
      </c>
      <c r="U88" s="2" t="s">
        <v>100</v>
      </c>
      <c r="V88" s="2" t="s">
        <v>244</v>
      </c>
      <c r="W88" s="2" t="s">
        <v>222</v>
      </c>
      <c r="X88" s="2" t="s">
        <v>100</v>
      </c>
      <c r="Y88" s="2" t="s">
        <v>104</v>
      </c>
      <c r="Z88" s="4">
        <v>225</v>
      </c>
      <c r="AA88" s="4">
        <f>=ROUNDDOWN(28.125,0)</f>
      </c>
      <c r="AB88" s="5">
        <v>8</v>
      </c>
      <c r="AC88" s="2" t="s">
        <v>650</v>
      </c>
      <c r="AD88" s="4">
        <v>90</v>
      </c>
      <c r="AE88" s="4">
        <v>120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>
        <v>93</v>
      </c>
      <c r="BK88" s="8">
        <v>2476.83</v>
      </c>
      <c r="BL88" s="2" t="s">
        <v>663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97</v>
      </c>
      <c r="BW88" s="2" t="s">
        <v>122</v>
      </c>
      <c r="BX88" s="2" t="s">
        <v>664</v>
      </c>
      <c r="BY88" s="2" t="s">
        <v>109</v>
      </c>
      <c r="BZ88" s="2" t="s">
        <v>100</v>
      </c>
    </row>
    <row r="89">
      <c r="A89" s="2" t="s">
        <v>665</v>
      </c>
      <c r="B89" s="2" t="s">
        <v>87</v>
      </c>
      <c r="C89" s="2" t="s">
        <v>88</v>
      </c>
      <c r="D89" s="2" t="s">
        <v>549</v>
      </c>
      <c r="E89" s="2" t="s">
        <v>550</v>
      </c>
      <c r="F89" s="2" t="s">
        <v>647</v>
      </c>
      <c r="G89" s="2" t="s">
        <v>647</v>
      </c>
      <c r="H89" s="2" t="s">
        <v>647</v>
      </c>
      <c r="I89" s="2" t="s">
        <v>648</v>
      </c>
      <c r="J89" s="2" t="s">
        <v>570</v>
      </c>
      <c r="K89" s="2" t="s">
        <v>133</v>
      </c>
      <c r="L89" s="3">
        <v>11.25</v>
      </c>
      <c r="M89" s="3">
        <v>11.81</v>
      </c>
      <c r="N89" s="3">
        <v>24.99</v>
      </c>
      <c r="O89" s="2" t="s">
        <v>97</v>
      </c>
      <c r="P89" s="2" t="s">
        <v>126</v>
      </c>
      <c r="Q89" s="2" t="s">
        <v>99</v>
      </c>
      <c r="R89" s="2" t="s">
        <v>100</v>
      </c>
      <c r="S89" s="2" t="s">
        <v>666</v>
      </c>
      <c r="T89" s="2" t="s">
        <v>220</v>
      </c>
      <c r="U89" s="2" t="s">
        <v>196</v>
      </c>
      <c r="V89" s="2" t="s">
        <v>244</v>
      </c>
      <c r="W89" s="2" t="s">
        <v>222</v>
      </c>
      <c r="X89" s="2" t="s">
        <v>100</v>
      </c>
      <c r="Y89" s="2" t="s">
        <v>667</v>
      </c>
      <c r="Z89" s="4">
        <v>1531</v>
      </c>
      <c r="AA89" s="4">
        <f>=ROUNDDOWN(25.0983606557377,0)</f>
      </c>
      <c r="AB89" s="5">
        <v>61</v>
      </c>
      <c r="AC89" s="2" t="s">
        <v>650</v>
      </c>
      <c r="AD89" s="4">
        <v>410</v>
      </c>
      <c r="AE89" s="4">
        <v>810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892</v>
      </c>
      <c r="BK89" s="8">
        <v>11056.96</v>
      </c>
      <c r="BL89" s="2" t="s">
        <v>668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97</v>
      </c>
      <c r="BW89" s="2" t="s">
        <v>574</v>
      </c>
      <c r="BX89" s="2" t="s">
        <v>441</v>
      </c>
      <c r="BY89" s="2" t="s">
        <v>109</v>
      </c>
      <c r="BZ89" s="2" t="s">
        <v>110</v>
      </c>
    </row>
    <row r="90">
      <c r="A90" s="2" t="s">
        <v>669</v>
      </c>
      <c r="B90" s="2" t="s">
        <v>87</v>
      </c>
      <c r="C90" s="2" t="s">
        <v>88</v>
      </c>
      <c r="D90" s="2" t="s">
        <v>549</v>
      </c>
      <c r="E90" s="2" t="s">
        <v>550</v>
      </c>
      <c r="F90" s="2" t="s">
        <v>647</v>
      </c>
      <c r="G90" s="2" t="s">
        <v>647</v>
      </c>
      <c r="H90" s="2" t="s">
        <v>647</v>
      </c>
      <c r="I90" s="2" t="s">
        <v>648</v>
      </c>
      <c r="J90" s="2" t="s">
        <v>565</v>
      </c>
      <c r="K90" s="2" t="s">
        <v>133</v>
      </c>
      <c r="L90" s="3">
        <v>24</v>
      </c>
      <c r="M90" s="3">
        <v>25.2</v>
      </c>
      <c r="N90" s="3">
        <v>49.99</v>
      </c>
      <c r="O90" s="2" t="s">
        <v>97</v>
      </c>
      <c r="P90" s="2" t="s">
        <v>126</v>
      </c>
      <c r="Q90" s="2" t="s">
        <v>99</v>
      </c>
      <c r="R90" s="2" t="s">
        <v>100</v>
      </c>
      <c r="S90" s="2" t="s">
        <v>666</v>
      </c>
      <c r="T90" s="2" t="s">
        <v>220</v>
      </c>
      <c r="U90" s="2" t="s">
        <v>196</v>
      </c>
      <c r="V90" s="2" t="s">
        <v>244</v>
      </c>
      <c r="W90" s="2" t="s">
        <v>222</v>
      </c>
      <c r="X90" s="2" t="s">
        <v>100</v>
      </c>
      <c r="Y90" s="2" t="s">
        <v>667</v>
      </c>
      <c r="Z90" s="4">
        <v>317</v>
      </c>
      <c r="AA90" s="4">
        <f>=ROUNDDOWN(35.2222222222222,0)</f>
      </c>
      <c r="AB90" s="5">
        <v>9</v>
      </c>
      <c r="AC90" s="2" t="s">
        <v>650</v>
      </c>
      <c r="AD90" s="4">
        <v>70</v>
      </c>
      <c r="AE90" s="4">
        <v>70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>
        <v>106</v>
      </c>
      <c r="BK90" s="8">
        <v>2895.03</v>
      </c>
      <c r="BL90" s="2" t="s">
        <v>670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97</v>
      </c>
      <c r="BW90" s="2" t="s">
        <v>574</v>
      </c>
      <c r="BX90" s="2" t="s">
        <v>671</v>
      </c>
      <c r="BY90" s="2" t="s">
        <v>109</v>
      </c>
      <c r="BZ90" s="2" t="s">
        <v>100</v>
      </c>
    </row>
    <row r="91">
      <c r="A91" s="2" t="s">
        <v>672</v>
      </c>
      <c r="B91" s="2" t="s">
        <v>87</v>
      </c>
      <c r="C91" s="2" t="s">
        <v>88</v>
      </c>
      <c r="D91" s="2" t="s">
        <v>549</v>
      </c>
      <c r="E91" s="2" t="s">
        <v>550</v>
      </c>
      <c r="F91" s="2" t="s">
        <v>673</v>
      </c>
      <c r="G91" s="2" t="s">
        <v>673</v>
      </c>
      <c r="H91" s="2" t="s">
        <v>673</v>
      </c>
      <c r="I91" s="2" t="s">
        <v>674</v>
      </c>
      <c r="J91" s="2" t="s">
        <v>675</v>
      </c>
      <c r="K91" s="2" t="s">
        <v>320</v>
      </c>
      <c r="L91" s="3">
        <v>13.11</v>
      </c>
      <c r="M91" s="3">
        <v>13.77</v>
      </c>
      <c r="N91" s="3">
        <v>26.99</v>
      </c>
      <c r="O91" s="2" t="s">
        <v>97</v>
      </c>
      <c r="P91" s="2" t="s">
        <v>126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100</v>
      </c>
      <c r="V91" s="2" t="s">
        <v>221</v>
      </c>
      <c r="W91" s="2" t="s">
        <v>222</v>
      </c>
      <c r="X91" s="2" t="s">
        <v>100</v>
      </c>
      <c r="Y91" s="2" t="s">
        <v>676</v>
      </c>
      <c r="Z91" s="4">
        <v>309</v>
      </c>
      <c r="AA91" s="4">
        <f>=ROUNDDOWN(19.3125,0)</f>
      </c>
      <c r="AB91" s="5">
        <v>16</v>
      </c>
      <c r="AC91" s="2" t="s">
        <v>494</v>
      </c>
      <c r="AD91" s="4">
        <v>172</v>
      </c>
      <c r="AE91" s="4">
        <v>172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>
        <v>2</v>
      </c>
      <c r="AW91" s="8">
        <v>54.85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/>
      <c r="BC91" s="4">
        <v>2</v>
      </c>
      <c r="BD91" s="8">
        <v>54.85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1</v>
      </c>
      <c r="BJ91" s="4">
        <v>223</v>
      </c>
      <c r="BK91" s="8">
        <v>3133.37</v>
      </c>
      <c r="BL91" s="2" t="s">
        <v>356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97</v>
      </c>
      <c r="BW91" s="2" t="s">
        <v>634</v>
      </c>
      <c r="BX91" s="2" t="s">
        <v>677</v>
      </c>
      <c r="BY91" s="2" t="s">
        <v>109</v>
      </c>
      <c r="BZ91" s="2" t="s">
        <v>110</v>
      </c>
    </row>
    <row r="92">
      <c r="A92" s="2" t="s">
        <v>678</v>
      </c>
      <c r="B92" s="2" t="s">
        <v>87</v>
      </c>
      <c r="C92" s="2" t="s">
        <v>88</v>
      </c>
      <c r="D92" s="2" t="s">
        <v>549</v>
      </c>
      <c r="E92" s="2" t="s">
        <v>550</v>
      </c>
      <c r="F92" s="2" t="s">
        <v>673</v>
      </c>
      <c r="G92" s="2" t="s">
        <v>673</v>
      </c>
      <c r="H92" s="2" t="s">
        <v>673</v>
      </c>
      <c r="I92" s="2" t="s">
        <v>674</v>
      </c>
      <c r="J92" s="2" t="s">
        <v>606</v>
      </c>
      <c r="K92" s="2" t="s">
        <v>320</v>
      </c>
      <c r="L92" s="3">
        <v>18.24</v>
      </c>
      <c r="M92" s="3">
        <v>19.15</v>
      </c>
      <c r="N92" s="3">
        <v>36.99</v>
      </c>
      <c r="O92" s="2" t="s">
        <v>97</v>
      </c>
      <c r="P92" s="2" t="s">
        <v>126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100</v>
      </c>
      <c r="V92" s="2" t="s">
        <v>221</v>
      </c>
      <c r="W92" s="2" t="s">
        <v>222</v>
      </c>
      <c r="X92" s="2" t="s">
        <v>100</v>
      </c>
      <c r="Y92" s="2" t="s">
        <v>676</v>
      </c>
      <c r="Z92" s="4">
        <v>324</v>
      </c>
      <c r="AA92" s="4">
        <f>=ROUNDDOWN(19.0588235294118,0)</f>
      </c>
      <c r="AB92" s="5">
        <v>17</v>
      </c>
      <c r="AC92" s="2" t="s">
        <v>494</v>
      </c>
      <c r="AD92" s="4">
        <v>252</v>
      </c>
      <c r="AE92" s="4">
        <v>252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1</v>
      </c>
      <c r="AQ92" s="8">
        <v>20.21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0.3685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243</v>
      </c>
      <c r="BK92" s="8">
        <v>4885.11</v>
      </c>
      <c r="BL92" s="2" t="s">
        <v>208</v>
      </c>
      <c r="BM92" s="7">
        <v>0.0041</v>
      </c>
      <c r="BN92" s="7">
        <v>0.0041</v>
      </c>
      <c r="BO92" s="4">
        <v>1</v>
      </c>
      <c r="BP92" s="8">
        <v>20.21</v>
      </c>
      <c r="BQ92" s="4"/>
      <c r="BR92" s="8"/>
      <c r="BS92" s="7"/>
      <c r="BT92" s="7"/>
      <c r="BU92" s="2" t="s">
        <v>106</v>
      </c>
      <c r="BV92" s="2" t="s">
        <v>97</v>
      </c>
      <c r="BW92" s="2" t="s">
        <v>634</v>
      </c>
      <c r="BX92" s="2" t="s">
        <v>679</v>
      </c>
      <c r="BY92" s="2" t="s">
        <v>109</v>
      </c>
      <c r="BZ92" s="2" t="s">
        <v>100</v>
      </c>
    </row>
    <row r="93">
      <c r="A93" s="2" t="s">
        <v>680</v>
      </c>
      <c r="B93" s="2" t="s">
        <v>87</v>
      </c>
      <c r="C93" s="2" t="s">
        <v>88</v>
      </c>
      <c r="D93" s="2" t="s">
        <v>549</v>
      </c>
      <c r="E93" s="2" t="s">
        <v>550</v>
      </c>
      <c r="F93" s="2" t="s">
        <v>673</v>
      </c>
      <c r="G93" s="2" t="s">
        <v>673</v>
      </c>
      <c r="H93" s="2" t="s">
        <v>673</v>
      </c>
      <c r="I93" s="2" t="s">
        <v>674</v>
      </c>
      <c r="J93" s="2" t="s">
        <v>681</v>
      </c>
      <c r="K93" s="2" t="s">
        <v>320</v>
      </c>
      <c r="L93" s="3">
        <v>29.64</v>
      </c>
      <c r="M93" s="3">
        <v>31.12</v>
      </c>
      <c r="N93" s="3">
        <v>61.99</v>
      </c>
      <c r="O93" s="2" t="s">
        <v>97</v>
      </c>
      <c r="P93" s="2" t="s">
        <v>126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100</v>
      </c>
      <c r="V93" s="2" t="s">
        <v>221</v>
      </c>
      <c r="W93" s="2" t="s">
        <v>222</v>
      </c>
      <c r="X93" s="2" t="s">
        <v>100</v>
      </c>
      <c r="Y93" s="2" t="s">
        <v>676</v>
      </c>
      <c r="Z93" s="4">
        <v>216</v>
      </c>
      <c r="AA93" s="4">
        <f>=ROUNDDOWN(27,0)</f>
      </c>
      <c r="AB93" s="5">
        <v>8</v>
      </c>
      <c r="AC93" s="2" t="s">
        <v>494</v>
      </c>
      <c r="AD93" s="4">
        <v>152</v>
      </c>
      <c r="AE93" s="4">
        <v>152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1</v>
      </c>
      <c r="AQ93" s="8">
        <v>34.64</v>
      </c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>
        <v>0.6315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 t="s">
        <v>100</v>
      </c>
      <c r="BJ93" s="4">
        <v>122</v>
      </c>
      <c r="BK93" s="8">
        <v>4051.08</v>
      </c>
      <c r="BL93" s="2" t="s">
        <v>682</v>
      </c>
      <c r="BM93" s="7">
        <v>0.0082</v>
      </c>
      <c r="BN93" s="7">
        <v>0.0086</v>
      </c>
      <c r="BO93" s="4">
        <v>1</v>
      </c>
      <c r="BP93" s="8">
        <v>34.64</v>
      </c>
      <c r="BQ93" s="4"/>
      <c r="BR93" s="8"/>
      <c r="BS93" s="7"/>
      <c r="BT93" s="7"/>
      <c r="BU93" s="2" t="s">
        <v>106</v>
      </c>
      <c r="BV93" s="2" t="s">
        <v>97</v>
      </c>
      <c r="BW93" s="2" t="s">
        <v>634</v>
      </c>
      <c r="BX93" s="2" t="s">
        <v>683</v>
      </c>
      <c r="BY93" s="2" t="s">
        <v>109</v>
      </c>
      <c r="BZ93" s="2" t="s">
        <v>100</v>
      </c>
    </row>
    <row r="94">
      <c r="A94" s="2" t="s">
        <v>684</v>
      </c>
      <c r="B94" s="2" t="s">
        <v>87</v>
      </c>
      <c r="C94" s="2" t="s">
        <v>88</v>
      </c>
      <c r="D94" s="2" t="s">
        <v>549</v>
      </c>
      <c r="E94" s="2" t="s">
        <v>550</v>
      </c>
      <c r="F94" s="2" t="s">
        <v>673</v>
      </c>
      <c r="G94" s="2" t="s">
        <v>673</v>
      </c>
      <c r="H94" s="2" t="s">
        <v>673</v>
      </c>
      <c r="I94" s="2" t="s">
        <v>674</v>
      </c>
      <c r="J94" s="2" t="s">
        <v>675</v>
      </c>
      <c r="K94" s="2" t="s">
        <v>393</v>
      </c>
      <c r="L94" s="3">
        <v>13.11</v>
      </c>
      <c r="M94" s="3">
        <v>13.77</v>
      </c>
      <c r="N94" s="3">
        <v>26.99</v>
      </c>
      <c r="O94" s="2" t="s">
        <v>97</v>
      </c>
      <c r="P94" s="2" t="s">
        <v>126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100</v>
      </c>
      <c r="V94" s="2" t="s">
        <v>221</v>
      </c>
      <c r="W94" s="2" t="s">
        <v>222</v>
      </c>
      <c r="X94" s="2" t="s">
        <v>100</v>
      </c>
      <c r="Y94" s="2" t="s">
        <v>676</v>
      </c>
      <c r="Z94" s="4">
        <v>479</v>
      </c>
      <c r="AA94" s="4">
        <f>=ROUNDDOWN(47.9,0)</f>
      </c>
      <c r="AB94" s="5">
        <v>10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168</v>
      </c>
      <c r="BK94" s="8">
        <v>2397.34</v>
      </c>
      <c r="BL94" s="2" t="s">
        <v>685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97</v>
      </c>
      <c r="BW94" s="2" t="s">
        <v>634</v>
      </c>
      <c r="BX94" s="2" t="s">
        <v>686</v>
      </c>
      <c r="BY94" s="2" t="s">
        <v>109</v>
      </c>
      <c r="BZ94" s="2" t="s">
        <v>100</v>
      </c>
    </row>
    <row r="95">
      <c r="A95" s="2" t="s">
        <v>687</v>
      </c>
      <c r="B95" s="2" t="s">
        <v>87</v>
      </c>
      <c r="C95" s="2" t="s">
        <v>88</v>
      </c>
      <c r="D95" s="2" t="s">
        <v>549</v>
      </c>
      <c r="E95" s="2" t="s">
        <v>550</v>
      </c>
      <c r="F95" s="2" t="s">
        <v>673</v>
      </c>
      <c r="G95" s="2" t="s">
        <v>673</v>
      </c>
      <c r="H95" s="2" t="s">
        <v>673</v>
      </c>
      <c r="I95" s="2" t="s">
        <v>674</v>
      </c>
      <c r="J95" s="2" t="s">
        <v>606</v>
      </c>
      <c r="K95" s="2" t="s">
        <v>393</v>
      </c>
      <c r="L95" s="3">
        <v>18.24</v>
      </c>
      <c r="M95" s="3">
        <v>19.15</v>
      </c>
      <c r="N95" s="3">
        <v>36.99</v>
      </c>
      <c r="O95" s="2" t="s">
        <v>97</v>
      </c>
      <c r="P95" s="2" t="s">
        <v>126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100</v>
      </c>
      <c r="V95" s="2" t="s">
        <v>221</v>
      </c>
      <c r="W95" s="2" t="s">
        <v>222</v>
      </c>
      <c r="X95" s="2" t="s">
        <v>100</v>
      </c>
      <c r="Y95" s="2" t="s">
        <v>676</v>
      </c>
      <c r="Z95" s="4">
        <v>324</v>
      </c>
      <c r="AA95" s="4">
        <f>=ROUNDDOWN(29.4545454545455,0)</f>
      </c>
      <c r="AB95" s="5">
        <v>11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 t="s">
        <v>100</v>
      </c>
      <c r="BJ95" s="4">
        <v>184</v>
      </c>
      <c r="BK95" s="8">
        <v>3712.37</v>
      </c>
      <c r="BL95" s="2" t="s">
        <v>688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97</v>
      </c>
      <c r="BW95" s="2" t="s">
        <v>634</v>
      </c>
      <c r="BX95" s="2" t="s">
        <v>689</v>
      </c>
      <c r="BY95" s="2" t="s">
        <v>109</v>
      </c>
      <c r="BZ95" s="2" t="s">
        <v>100</v>
      </c>
    </row>
    <row r="96">
      <c r="A96" s="2" t="s">
        <v>690</v>
      </c>
      <c r="B96" s="2" t="s">
        <v>87</v>
      </c>
      <c r="C96" s="2" t="s">
        <v>88</v>
      </c>
      <c r="D96" s="2" t="s">
        <v>549</v>
      </c>
      <c r="E96" s="2" t="s">
        <v>550</v>
      </c>
      <c r="F96" s="2" t="s">
        <v>673</v>
      </c>
      <c r="G96" s="2" t="s">
        <v>673</v>
      </c>
      <c r="H96" s="2" t="s">
        <v>673</v>
      </c>
      <c r="I96" s="2" t="s">
        <v>674</v>
      </c>
      <c r="J96" s="2" t="s">
        <v>681</v>
      </c>
      <c r="K96" s="2" t="s">
        <v>393</v>
      </c>
      <c r="L96" s="3">
        <v>29.64</v>
      </c>
      <c r="M96" s="3">
        <v>31.12</v>
      </c>
      <c r="N96" s="3">
        <v>61.99</v>
      </c>
      <c r="O96" s="2" t="s">
        <v>97</v>
      </c>
      <c r="P96" s="2" t="s">
        <v>126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100</v>
      </c>
      <c r="V96" s="2" t="s">
        <v>221</v>
      </c>
      <c r="W96" s="2" t="s">
        <v>222</v>
      </c>
      <c r="X96" s="2" t="s">
        <v>100</v>
      </c>
      <c r="Y96" s="2" t="s">
        <v>676</v>
      </c>
      <c r="Z96" s="4">
        <v>47</v>
      </c>
      <c r="AA96" s="4">
        <f>=ROUNDDOWN(7.83333333333333,0)</f>
      </c>
      <c r="AB96" s="5">
        <v>6</v>
      </c>
      <c r="AC96" s="2" t="s">
        <v>100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87</v>
      </c>
      <c r="BK96" s="8">
        <v>2909.73</v>
      </c>
      <c r="BL96" s="2" t="s">
        <v>691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97</v>
      </c>
      <c r="BW96" s="2" t="s">
        <v>634</v>
      </c>
      <c r="BX96" s="2" t="s">
        <v>692</v>
      </c>
      <c r="BY96" s="2" t="s">
        <v>109</v>
      </c>
      <c r="BZ96" s="2" t="s">
        <v>100</v>
      </c>
    </row>
    <row r="97">
      <c r="A97" s="2" t="s">
        <v>693</v>
      </c>
      <c r="B97" s="2" t="s">
        <v>87</v>
      </c>
      <c r="C97" s="2" t="s">
        <v>88</v>
      </c>
      <c r="D97" s="2" t="s">
        <v>549</v>
      </c>
      <c r="E97" s="2" t="s">
        <v>550</v>
      </c>
      <c r="F97" s="2" t="s">
        <v>673</v>
      </c>
      <c r="G97" s="2" t="s">
        <v>673</v>
      </c>
      <c r="H97" s="2" t="s">
        <v>673</v>
      </c>
      <c r="I97" s="2" t="s">
        <v>674</v>
      </c>
      <c r="J97" s="2" t="s">
        <v>675</v>
      </c>
      <c r="K97" s="2" t="s">
        <v>243</v>
      </c>
      <c r="L97" s="3">
        <v>13.11</v>
      </c>
      <c r="M97" s="3">
        <v>13.77</v>
      </c>
      <c r="N97" s="3">
        <v>26.99</v>
      </c>
      <c r="O97" s="2" t="s">
        <v>97</v>
      </c>
      <c r="P97" s="2" t="s">
        <v>175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100</v>
      </c>
      <c r="V97" s="2" t="s">
        <v>221</v>
      </c>
      <c r="W97" s="2" t="s">
        <v>222</v>
      </c>
      <c r="X97" s="2" t="s">
        <v>100</v>
      </c>
      <c r="Y97" s="2" t="s">
        <v>676</v>
      </c>
      <c r="Z97" s="4">
        <v>399</v>
      </c>
      <c r="AA97" s="4">
        <f>=ROUNDDOWN(19.95,0)</f>
      </c>
      <c r="AB97" s="5">
        <v>20</v>
      </c>
      <c r="AC97" s="2" t="s">
        <v>694</v>
      </c>
      <c r="AD97" s="4">
        <v>192</v>
      </c>
      <c r="AE97" s="4">
        <v>432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/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311</v>
      </c>
      <c r="BK97" s="8">
        <v>4413.07</v>
      </c>
      <c r="BL97" s="2" t="s">
        <v>594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97</v>
      </c>
      <c r="BW97" s="2" t="s">
        <v>634</v>
      </c>
      <c r="BX97" s="2" t="s">
        <v>695</v>
      </c>
      <c r="BY97" s="2" t="s">
        <v>109</v>
      </c>
      <c r="BZ97" s="2" t="s">
        <v>100</v>
      </c>
    </row>
    <row r="98">
      <c r="A98" s="2" t="s">
        <v>696</v>
      </c>
      <c r="B98" s="2" t="s">
        <v>87</v>
      </c>
      <c r="C98" s="2" t="s">
        <v>88</v>
      </c>
      <c r="D98" s="2" t="s">
        <v>549</v>
      </c>
      <c r="E98" s="2" t="s">
        <v>550</v>
      </c>
      <c r="F98" s="2" t="s">
        <v>673</v>
      </c>
      <c r="G98" s="2" t="s">
        <v>673</v>
      </c>
      <c r="H98" s="2" t="s">
        <v>673</v>
      </c>
      <c r="I98" s="2" t="s">
        <v>674</v>
      </c>
      <c r="J98" s="2" t="s">
        <v>606</v>
      </c>
      <c r="K98" s="2" t="s">
        <v>243</v>
      </c>
      <c r="L98" s="3">
        <v>18.24</v>
      </c>
      <c r="M98" s="3">
        <v>19.15</v>
      </c>
      <c r="N98" s="3">
        <v>36.99</v>
      </c>
      <c r="O98" s="2" t="s">
        <v>97</v>
      </c>
      <c r="P98" s="2" t="s">
        <v>175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100</v>
      </c>
      <c r="V98" s="2" t="s">
        <v>221</v>
      </c>
      <c r="W98" s="2" t="s">
        <v>222</v>
      </c>
      <c r="X98" s="2" t="s">
        <v>100</v>
      </c>
      <c r="Y98" s="2" t="s">
        <v>676</v>
      </c>
      <c r="Z98" s="4">
        <v>355</v>
      </c>
      <c r="AA98" s="4">
        <f>=ROUNDDOWN(16.1363636363636,0)</f>
      </c>
      <c r="AB98" s="5">
        <v>22</v>
      </c>
      <c r="AC98" s="2" t="s">
        <v>694</v>
      </c>
      <c r="AD98" s="4">
        <v>300</v>
      </c>
      <c r="AE98" s="4">
        <v>460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/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295</v>
      </c>
      <c r="BK98" s="8">
        <v>5968.08</v>
      </c>
      <c r="BL98" s="2" t="s">
        <v>697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97</v>
      </c>
      <c r="BW98" s="2" t="s">
        <v>634</v>
      </c>
      <c r="BX98" s="2" t="s">
        <v>689</v>
      </c>
      <c r="BY98" s="2" t="s">
        <v>109</v>
      </c>
      <c r="BZ98" s="2" t="s">
        <v>100</v>
      </c>
    </row>
    <row r="99">
      <c r="A99" s="2" t="s">
        <v>698</v>
      </c>
      <c r="B99" s="2" t="s">
        <v>87</v>
      </c>
      <c r="C99" s="2" t="s">
        <v>88</v>
      </c>
      <c r="D99" s="2" t="s">
        <v>549</v>
      </c>
      <c r="E99" s="2" t="s">
        <v>550</v>
      </c>
      <c r="F99" s="2" t="s">
        <v>673</v>
      </c>
      <c r="G99" s="2" t="s">
        <v>673</v>
      </c>
      <c r="H99" s="2" t="s">
        <v>673</v>
      </c>
      <c r="I99" s="2" t="s">
        <v>674</v>
      </c>
      <c r="J99" s="2" t="s">
        <v>675</v>
      </c>
      <c r="K99" s="2" t="s">
        <v>699</v>
      </c>
      <c r="L99" s="3">
        <v>13.11</v>
      </c>
      <c r="M99" s="3">
        <v>13.77</v>
      </c>
      <c r="N99" s="3">
        <v>26.99</v>
      </c>
      <c r="O99" s="2" t="s">
        <v>97</v>
      </c>
      <c r="P99" s="2" t="s">
        <v>175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100</v>
      </c>
      <c r="V99" s="2" t="s">
        <v>221</v>
      </c>
      <c r="W99" s="2" t="s">
        <v>222</v>
      </c>
      <c r="X99" s="2" t="s">
        <v>100</v>
      </c>
      <c r="Y99" s="2" t="s">
        <v>676</v>
      </c>
      <c r="Z99" s="4">
        <v>365</v>
      </c>
      <c r="AA99" s="4">
        <f>=ROUNDDOWN(12.5862068965517,0)</f>
      </c>
      <c r="AB99" s="5">
        <v>29</v>
      </c>
      <c r="AC99" s="2" t="s">
        <v>694</v>
      </c>
      <c r="AD99" s="4">
        <v>200</v>
      </c>
      <c r="AE99" s="4">
        <v>512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/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455</v>
      </c>
      <c r="BK99" s="8">
        <v>6296.46</v>
      </c>
      <c r="BL99" s="2" t="s">
        <v>397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97</v>
      </c>
      <c r="BW99" s="2" t="s">
        <v>634</v>
      </c>
      <c r="BX99" s="2" t="s">
        <v>700</v>
      </c>
      <c r="BY99" s="2" t="s">
        <v>109</v>
      </c>
      <c r="BZ99" s="2" t="s">
        <v>100</v>
      </c>
    </row>
    <row r="100">
      <c r="A100" s="2" t="s">
        <v>701</v>
      </c>
      <c r="B100" s="2" t="s">
        <v>87</v>
      </c>
      <c r="C100" s="2" t="s">
        <v>88</v>
      </c>
      <c r="D100" s="2" t="s">
        <v>549</v>
      </c>
      <c r="E100" s="2" t="s">
        <v>550</v>
      </c>
      <c r="F100" s="2" t="s">
        <v>673</v>
      </c>
      <c r="G100" s="2" t="s">
        <v>673</v>
      </c>
      <c r="H100" s="2" t="s">
        <v>673</v>
      </c>
      <c r="I100" s="2" t="s">
        <v>674</v>
      </c>
      <c r="J100" s="2" t="s">
        <v>606</v>
      </c>
      <c r="K100" s="2" t="s">
        <v>699</v>
      </c>
      <c r="L100" s="3">
        <v>18.24</v>
      </c>
      <c r="M100" s="3">
        <v>19.15</v>
      </c>
      <c r="N100" s="3">
        <v>36.99</v>
      </c>
      <c r="O100" s="2" t="s">
        <v>97</v>
      </c>
      <c r="P100" s="2" t="s">
        <v>175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100</v>
      </c>
      <c r="V100" s="2" t="s">
        <v>221</v>
      </c>
      <c r="W100" s="2" t="s">
        <v>222</v>
      </c>
      <c r="X100" s="2" t="s">
        <v>100</v>
      </c>
      <c r="Y100" s="2" t="s">
        <v>676</v>
      </c>
      <c r="Z100" s="4">
        <v>231</v>
      </c>
      <c r="AA100" s="4">
        <f>=ROUNDDOWN(8.55555555555556,0)</f>
      </c>
      <c r="AB100" s="5">
        <v>27</v>
      </c>
      <c r="AC100" s="2" t="s">
        <v>694</v>
      </c>
      <c r="AD100" s="4">
        <v>320</v>
      </c>
      <c r="AE100" s="4">
        <v>540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/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413</v>
      </c>
      <c r="BK100" s="8">
        <v>8324.68</v>
      </c>
      <c r="BL100" s="2" t="s">
        <v>702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97</v>
      </c>
      <c r="BW100" s="2" t="s">
        <v>634</v>
      </c>
      <c r="BX100" s="2" t="s">
        <v>689</v>
      </c>
      <c r="BY100" s="2" t="s">
        <v>109</v>
      </c>
      <c r="BZ100" s="2" t="s">
        <v>100</v>
      </c>
    </row>
    <row r="101">
      <c r="A101" s="2" t="s">
        <v>703</v>
      </c>
      <c r="B101" s="2" t="s">
        <v>87</v>
      </c>
      <c r="C101" s="2" t="s">
        <v>88</v>
      </c>
      <c r="D101" s="2" t="s">
        <v>549</v>
      </c>
      <c r="E101" s="2" t="s">
        <v>550</v>
      </c>
      <c r="F101" s="2" t="s">
        <v>673</v>
      </c>
      <c r="G101" s="2" t="s">
        <v>673</v>
      </c>
      <c r="H101" s="2" t="s">
        <v>673</v>
      </c>
      <c r="I101" s="2" t="s">
        <v>674</v>
      </c>
      <c r="J101" s="2" t="s">
        <v>681</v>
      </c>
      <c r="K101" s="2" t="s">
        <v>699</v>
      </c>
      <c r="L101" s="3">
        <v>29.64</v>
      </c>
      <c r="M101" s="3">
        <v>31.12</v>
      </c>
      <c r="N101" s="3">
        <v>61.99</v>
      </c>
      <c r="O101" s="2" t="s">
        <v>97</v>
      </c>
      <c r="P101" s="2" t="s">
        <v>175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100</v>
      </c>
      <c r="V101" s="2" t="s">
        <v>221</v>
      </c>
      <c r="W101" s="2" t="s">
        <v>222</v>
      </c>
      <c r="X101" s="2" t="s">
        <v>100</v>
      </c>
      <c r="Y101" s="2" t="s">
        <v>676</v>
      </c>
      <c r="Z101" s="4">
        <v>255</v>
      </c>
      <c r="AA101" s="4">
        <f>=ROUNDDOWN(11.5909090909091,0)</f>
      </c>
      <c r="AB101" s="5">
        <v>22</v>
      </c>
      <c r="AC101" s="2" t="s">
        <v>694</v>
      </c>
      <c r="AD101" s="4">
        <v>200</v>
      </c>
      <c r="AE101" s="4">
        <v>400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/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301</v>
      </c>
      <c r="BK101" s="8">
        <v>10107.56</v>
      </c>
      <c r="BL101" s="2" t="s">
        <v>704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97</v>
      </c>
      <c r="BW101" s="2" t="s">
        <v>634</v>
      </c>
      <c r="BX101" s="2" t="s">
        <v>705</v>
      </c>
      <c r="BY101" s="2" t="s">
        <v>109</v>
      </c>
      <c r="BZ101" s="2" t="s">
        <v>100</v>
      </c>
    </row>
    <row r="102">
      <c r="A102" s="2" t="s">
        <v>706</v>
      </c>
      <c r="B102" s="2" t="s">
        <v>87</v>
      </c>
      <c r="C102" s="2" t="s">
        <v>88</v>
      </c>
      <c r="D102" s="2" t="s">
        <v>549</v>
      </c>
      <c r="E102" s="2" t="s">
        <v>550</v>
      </c>
      <c r="F102" s="2" t="s">
        <v>156</v>
      </c>
      <c r="G102" s="2" t="s">
        <v>157</v>
      </c>
      <c r="H102" s="2" t="s">
        <v>158</v>
      </c>
      <c r="I102" s="2" t="s">
        <v>707</v>
      </c>
      <c r="J102" s="2" t="s">
        <v>570</v>
      </c>
      <c r="K102" s="2" t="s">
        <v>139</v>
      </c>
      <c r="L102" s="3">
        <v>13.8</v>
      </c>
      <c r="M102" s="3">
        <v>14.49</v>
      </c>
      <c r="N102" s="3">
        <v>29.99</v>
      </c>
      <c r="O102" s="2" t="s">
        <v>97</v>
      </c>
      <c r="P102" s="2" t="s">
        <v>126</v>
      </c>
      <c r="Q102" s="2" t="s">
        <v>99</v>
      </c>
      <c r="R102" s="2" t="s">
        <v>100</v>
      </c>
      <c r="S102" s="2" t="s">
        <v>708</v>
      </c>
      <c r="T102" s="2" t="s">
        <v>220</v>
      </c>
      <c r="U102" s="2" t="s">
        <v>196</v>
      </c>
      <c r="V102" s="2" t="s">
        <v>535</v>
      </c>
      <c r="W102" s="2" t="s">
        <v>103</v>
      </c>
      <c r="X102" s="2" t="s">
        <v>100</v>
      </c>
      <c r="Y102" s="2" t="s">
        <v>667</v>
      </c>
      <c r="Z102" s="4">
        <v>478</v>
      </c>
      <c r="AA102" s="4">
        <f>=ROUNDDOWN(29.875,0)</f>
      </c>
      <c r="AB102" s="5">
        <v>16</v>
      </c>
      <c r="AC102" s="2" t="s">
        <v>100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>
        <v>1</v>
      </c>
      <c r="AW102" s="8">
        <v>25.98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/>
      <c r="BC102" s="4">
        <v>1</v>
      </c>
      <c r="BD102" s="8">
        <v>25.98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1</v>
      </c>
      <c r="BJ102" s="4">
        <v>213</v>
      </c>
      <c r="BK102" s="8">
        <v>3194.53</v>
      </c>
      <c r="BL102" s="2" t="s">
        <v>709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97</v>
      </c>
      <c r="BW102" s="2" t="s">
        <v>574</v>
      </c>
      <c r="BX102" s="2" t="s">
        <v>710</v>
      </c>
      <c r="BY102" s="2" t="s">
        <v>109</v>
      </c>
      <c r="BZ102" s="2" t="s">
        <v>110</v>
      </c>
    </row>
    <row r="103">
      <c r="A103" s="2" t="s">
        <v>711</v>
      </c>
      <c r="B103" s="2" t="s">
        <v>87</v>
      </c>
      <c r="C103" s="2" t="s">
        <v>88</v>
      </c>
      <c r="D103" s="2" t="s">
        <v>549</v>
      </c>
      <c r="E103" s="2" t="s">
        <v>550</v>
      </c>
      <c r="F103" s="2" t="s">
        <v>156</v>
      </c>
      <c r="G103" s="2" t="s">
        <v>157</v>
      </c>
      <c r="H103" s="2" t="s">
        <v>158</v>
      </c>
      <c r="I103" s="2" t="s">
        <v>707</v>
      </c>
      <c r="J103" s="2" t="s">
        <v>612</v>
      </c>
      <c r="K103" s="2" t="s">
        <v>139</v>
      </c>
      <c r="L103" s="3">
        <v>25.44</v>
      </c>
      <c r="M103" s="3">
        <v>26.71</v>
      </c>
      <c r="N103" s="3">
        <v>52.99</v>
      </c>
      <c r="O103" s="2" t="s">
        <v>97</v>
      </c>
      <c r="P103" s="2" t="s">
        <v>126</v>
      </c>
      <c r="Q103" s="2" t="s">
        <v>99</v>
      </c>
      <c r="R103" s="2" t="s">
        <v>100</v>
      </c>
      <c r="S103" s="2" t="s">
        <v>708</v>
      </c>
      <c r="T103" s="2" t="s">
        <v>220</v>
      </c>
      <c r="U103" s="2" t="s">
        <v>196</v>
      </c>
      <c r="V103" s="2" t="s">
        <v>535</v>
      </c>
      <c r="W103" s="2" t="s">
        <v>103</v>
      </c>
      <c r="X103" s="2" t="s">
        <v>100</v>
      </c>
      <c r="Y103" s="2" t="s">
        <v>667</v>
      </c>
      <c r="Z103" s="4">
        <v>306</v>
      </c>
      <c r="AA103" s="4">
        <f>=ROUNDDOWN(51,0)</f>
      </c>
      <c r="AB103" s="5">
        <v>6</v>
      </c>
      <c r="AC103" s="2" t="s">
        <v>100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</v>
      </c>
      <c r="AQ103" s="8">
        <v>25.98</v>
      </c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1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69</v>
      </c>
      <c r="BK103" s="8">
        <v>1866.52</v>
      </c>
      <c r="BL103" s="2" t="s">
        <v>712</v>
      </c>
      <c r="BM103" s="7">
        <v>0.0145</v>
      </c>
      <c r="BN103" s="7">
        <v>0.0139</v>
      </c>
      <c r="BO103" s="4">
        <v>1</v>
      </c>
      <c r="BP103" s="8">
        <v>25.98</v>
      </c>
      <c r="BQ103" s="4"/>
      <c r="BR103" s="8"/>
      <c r="BS103" s="7"/>
      <c r="BT103" s="7"/>
      <c r="BU103" s="2" t="s">
        <v>106</v>
      </c>
      <c r="BV103" s="2" t="s">
        <v>97</v>
      </c>
      <c r="BW103" s="2" t="s">
        <v>574</v>
      </c>
      <c r="BX103" s="2" t="s">
        <v>577</v>
      </c>
      <c r="BY103" s="2" t="s">
        <v>109</v>
      </c>
      <c r="BZ103" s="2" t="s">
        <v>100</v>
      </c>
    </row>
    <row r="104">
      <c r="A104" s="2" t="s">
        <v>713</v>
      </c>
      <c r="B104" s="2" t="s">
        <v>87</v>
      </c>
      <c r="C104" s="2" t="s">
        <v>88</v>
      </c>
      <c r="D104" s="2" t="s">
        <v>549</v>
      </c>
      <c r="E104" s="2" t="s">
        <v>550</v>
      </c>
      <c r="F104" s="2" t="s">
        <v>156</v>
      </c>
      <c r="G104" s="2" t="s">
        <v>157</v>
      </c>
      <c r="H104" s="2" t="s">
        <v>158</v>
      </c>
      <c r="I104" s="2" t="s">
        <v>707</v>
      </c>
      <c r="J104" s="2" t="s">
        <v>570</v>
      </c>
      <c r="K104" s="2" t="s">
        <v>174</v>
      </c>
      <c r="L104" s="3">
        <v>13.8</v>
      </c>
      <c r="M104" s="3">
        <v>14.49</v>
      </c>
      <c r="N104" s="3">
        <v>29.99</v>
      </c>
      <c r="O104" s="2" t="s">
        <v>97</v>
      </c>
      <c r="P104" s="2" t="s">
        <v>126</v>
      </c>
      <c r="Q104" s="2" t="s">
        <v>99</v>
      </c>
      <c r="R104" s="2" t="s">
        <v>100</v>
      </c>
      <c r="S104" s="2" t="s">
        <v>714</v>
      </c>
      <c r="T104" s="2" t="s">
        <v>220</v>
      </c>
      <c r="U104" s="2" t="s">
        <v>196</v>
      </c>
      <c r="V104" s="2" t="s">
        <v>535</v>
      </c>
      <c r="W104" s="2" t="s">
        <v>103</v>
      </c>
      <c r="X104" s="2" t="s">
        <v>100</v>
      </c>
      <c r="Y104" s="2" t="s">
        <v>104</v>
      </c>
      <c r="Z104" s="4">
        <v>347</v>
      </c>
      <c r="AA104" s="4">
        <f>=ROUNDDOWN(24.7857142857143,0)</f>
      </c>
      <c r="AB104" s="5">
        <v>14</v>
      </c>
      <c r="AC104" s="2" t="s">
        <v>715</v>
      </c>
      <c r="AD104" s="4">
        <v>150</v>
      </c>
      <c r="AE104" s="4">
        <v>360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/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>
        <v>230</v>
      </c>
      <c r="BK104" s="8">
        <v>3440.64</v>
      </c>
      <c r="BL104" s="2" t="s">
        <v>716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97</v>
      </c>
      <c r="BW104" s="2" t="s">
        <v>122</v>
      </c>
      <c r="BX104" s="2" t="s">
        <v>191</v>
      </c>
      <c r="BY104" s="2" t="s">
        <v>109</v>
      </c>
      <c r="BZ104" s="2" t="s">
        <v>110</v>
      </c>
    </row>
    <row r="105">
      <c r="A105" s="2" t="s">
        <v>717</v>
      </c>
      <c r="B105" s="2" t="s">
        <v>87</v>
      </c>
      <c r="C105" s="2" t="s">
        <v>88</v>
      </c>
      <c r="D105" s="2" t="s">
        <v>549</v>
      </c>
      <c r="E105" s="2" t="s">
        <v>550</v>
      </c>
      <c r="F105" s="2" t="s">
        <v>156</v>
      </c>
      <c r="G105" s="2" t="s">
        <v>157</v>
      </c>
      <c r="H105" s="2" t="s">
        <v>158</v>
      </c>
      <c r="I105" s="2" t="s">
        <v>707</v>
      </c>
      <c r="J105" s="2" t="s">
        <v>657</v>
      </c>
      <c r="K105" s="2" t="s">
        <v>174</v>
      </c>
      <c r="L105" s="3">
        <v>20.64</v>
      </c>
      <c r="M105" s="3">
        <v>21.67</v>
      </c>
      <c r="N105" s="3">
        <v>42.99</v>
      </c>
      <c r="O105" s="2" t="s">
        <v>97</v>
      </c>
      <c r="P105" s="2" t="s">
        <v>126</v>
      </c>
      <c r="Q105" s="2" t="s">
        <v>99</v>
      </c>
      <c r="R105" s="2" t="s">
        <v>100</v>
      </c>
      <c r="S105" s="2" t="s">
        <v>714</v>
      </c>
      <c r="T105" s="2" t="s">
        <v>220</v>
      </c>
      <c r="U105" s="2" t="s">
        <v>196</v>
      </c>
      <c r="V105" s="2" t="s">
        <v>535</v>
      </c>
      <c r="W105" s="2" t="s">
        <v>103</v>
      </c>
      <c r="X105" s="2" t="s">
        <v>100</v>
      </c>
      <c r="Y105" s="2" t="s">
        <v>104</v>
      </c>
      <c r="Z105" s="4">
        <v>257</v>
      </c>
      <c r="AA105" s="4">
        <f>=ROUNDDOWN(28.5555555555556,0)</f>
      </c>
      <c r="AB105" s="5">
        <v>9</v>
      </c>
      <c r="AC105" s="2" t="s">
        <v>715</v>
      </c>
      <c r="AD105" s="4">
        <v>120</v>
      </c>
      <c r="AE105" s="4">
        <v>240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/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131</v>
      </c>
      <c r="BK105" s="8">
        <v>2916.09</v>
      </c>
      <c r="BL105" s="2" t="s">
        <v>718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97</v>
      </c>
      <c r="BW105" s="2" t="s">
        <v>122</v>
      </c>
      <c r="BX105" s="2" t="s">
        <v>719</v>
      </c>
      <c r="BY105" s="2" t="s">
        <v>109</v>
      </c>
      <c r="BZ105" s="2" t="s">
        <v>100</v>
      </c>
    </row>
    <row r="106">
      <c r="A106" s="2" t="s">
        <v>720</v>
      </c>
      <c r="B106" s="2" t="s">
        <v>87</v>
      </c>
      <c r="C106" s="2" t="s">
        <v>88</v>
      </c>
      <c r="D106" s="2" t="s">
        <v>549</v>
      </c>
      <c r="E106" s="2" t="s">
        <v>550</v>
      </c>
      <c r="F106" s="2" t="s">
        <v>156</v>
      </c>
      <c r="G106" s="2" t="s">
        <v>157</v>
      </c>
      <c r="H106" s="2" t="s">
        <v>158</v>
      </c>
      <c r="I106" s="2" t="s">
        <v>707</v>
      </c>
      <c r="J106" s="2" t="s">
        <v>570</v>
      </c>
      <c r="K106" s="2" t="s">
        <v>133</v>
      </c>
      <c r="L106" s="3">
        <v>13.8</v>
      </c>
      <c r="M106" s="3">
        <v>14.49</v>
      </c>
      <c r="N106" s="3">
        <v>29.99</v>
      </c>
      <c r="O106" s="2" t="s">
        <v>97</v>
      </c>
      <c r="P106" s="2" t="s">
        <v>126</v>
      </c>
      <c r="Q106" s="2" t="s">
        <v>99</v>
      </c>
      <c r="R106" s="2" t="s">
        <v>100</v>
      </c>
      <c r="S106" s="2" t="s">
        <v>721</v>
      </c>
      <c r="T106" s="2" t="s">
        <v>220</v>
      </c>
      <c r="U106" s="2" t="s">
        <v>196</v>
      </c>
      <c r="V106" s="2" t="s">
        <v>535</v>
      </c>
      <c r="W106" s="2" t="s">
        <v>103</v>
      </c>
      <c r="X106" s="2" t="s">
        <v>100</v>
      </c>
      <c r="Y106" s="2" t="s">
        <v>104</v>
      </c>
      <c r="Z106" s="4">
        <v>1051</v>
      </c>
      <c r="AA106" s="4">
        <f>=ROUNDDOWN(40.4230769230769,0)</f>
      </c>
      <c r="AB106" s="5">
        <v>26</v>
      </c>
      <c r="AC106" s="2" t="s">
        <v>100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/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399</v>
      </c>
      <c r="BK106" s="8">
        <v>5844.67</v>
      </c>
      <c r="BL106" s="2" t="s">
        <v>722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97</v>
      </c>
      <c r="BW106" s="2" t="s">
        <v>122</v>
      </c>
      <c r="BX106" s="2" t="s">
        <v>723</v>
      </c>
      <c r="BY106" s="2" t="s">
        <v>109</v>
      </c>
      <c r="BZ106" s="2" t="s">
        <v>110</v>
      </c>
    </row>
    <row r="107">
      <c r="A107" s="2" t="s">
        <v>724</v>
      </c>
      <c r="B107" s="2" t="s">
        <v>87</v>
      </c>
      <c r="C107" s="2" t="s">
        <v>88</v>
      </c>
      <c r="D107" s="2" t="s">
        <v>549</v>
      </c>
      <c r="E107" s="2" t="s">
        <v>550</v>
      </c>
      <c r="F107" s="2" t="s">
        <v>156</v>
      </c>
      <c r="G107" s="2" t="s">
        <v>157</v>
      </c>
      <c r="H107" s="2" t="s">
        <v>158</v>
      </c>
      <c r="I107" s="2" t="s">
        <v>707</v>
      </c>
      <c r="J107" s="2" t="s">
        <v>612</v>
      </c>
      <c r="K107" s="2" t="s">
        <v>133</v>
      </c>
      <c r="L107" s="3">
        <v>25.44</v>
      </c>
      <c r="M107" s="3">
        <v>26.71</v>
      </c>
      <c r="N107" s="3">
        <v>52.99</v>
      </c>
      <c r="O107" s="2" t="s">
        <v>97</v>
      </c>
      <c r="P107" s="2" t="s">
        <v>126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100</v>
      </c>
      <c r="V107" s="2" t="s">
        <v>535</v>
      </c>
      <c r="W107" s="2" t="s">
        <v>103</v>
      </c>
      <c r="X107" s="2" t="s">
        <v>100</v>
      </c>
      <c r="Y107" s="2" t="s">
        <v>725</v>
      </c>
      <c r="Z107" s="4">
        <v>315</v>
      </c>
      <c r="AA107" s="4">
        <f>=ROUNDDOWN(52.5,0)</f>
      </c>
      <c r="AB107" s="5">
        <v>6</v>
      </c>
      <c r="AC107" s="2" t="s">
        <v>100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/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72</v>
      </c>
      <c r="BK107" s="8">
        <v>1986.29</v>
      </c>
      <c r="BL107" s="2" t="s">
        <v>726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97</v>
      </c>
      <c r="BW107" s="2" t="s">
        <v>634</v>
      </c>
      <c r="BX107" s="2" t="s">
        <v>727</v>
      </c>
      <c r="BY107" s="2" t="s">
        <v>109</v>
      </c>
      <c r="BZ107" s="2" t="s">
        <v>100</v>
      </c>
    </row>
    <row r="108">
      <c r="A108" s="2" t="s">
        <v>728</v>
      </c>
      <c r="B108" s="2" t="s">
        <v>87</v>
      </c>
      <c r="C108" s="2" t="s">
        <v>88</v>
      </c>
      <c r="D108" s="2" t="s">
        <v>549</v>
      </c>
      <c r="E108" s="2" t="s">
        <v>550</v>
      </c>
      <c r="F108" s="2" t="s">
        <v>156</v>
      </c>
      <c r="G108" s="2" t="s">
        <v>157</v>
      </c>
      <c r="H108" s="2" t="s">
        <v>158</v>
      </c>
      <c r="I108" s="2" t="s">
        <v>707</v>
      </c>
      <c r="J108" s="2" t="s">
        <v>657</v>
      </c>
      <c r="K108" s="2" t="s">
        <v>133</v>
      </c>
      <c r="L108" s="3">
        <v>20.64</v>
      </c>
      <c r="M108" s="3">
        <v>21.67</v>
      </c>
      <c r="N108" s="3">
        <v>42.99</v>
      </c>
      <c r="O108" s="2" t="s">
        <v>97</v>
      </c>
      <c r="P108" s="2" t="s">
        <v>126</v>
      </c>
      <c r="Q108" s="2" t="s">
        <v>99</v>
      </c>
      <c r="R108" s="2" t="s">
        <v>100</v>
      </c>
      <c r="S108" s="2" t="s">
        <v>721</v>
      </c>
      <c r="T108" s="2" t="s">
        <v>220</v>
      </c>
      <c r="U108" s="2" t="s">
        <v>196</v>
      </c>
      <c r="V108" s="2" t="s">
        <v>535</v>
      </c>
      <c r="W108" s="2" t="s">
        <v>103</v>
      </c>
      <c r="X108" s="2" t="s">
        <v>100</v>
      </c>
      <c r="Y108" s="2" t="s">
        <v>729</v>
      </c>
      <c r="Z108" s="4">
        <v>484</v>
      </c>
      <c r="AA108" s="4">
        <f>=ROUNDDOWN(44,0)</f>
      </c>
      <c r="AB108" s="5">
        <v>11</v>
      </c>
      <c r="AC108" s="2" t="s">
        <v>100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100</v>
      </c>
      <c r="AW108" s="8" t="s">
        <v>100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/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 t="s">
        <v>100</v>
      </c>
      <c r="BJ108" s="4">
        <v>138</v>
      </c>
      <c r="BK108" s="8">
        <v>2996.96</v>
      </c>
      <c r="BL108" s="2" t="s">
        <v>730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97</v>
      </c>
      <c r="BW108" s="2" t="s">
        <v>122</v>
      </c>
      <c r="BX108" s="2" t="s">
        <v>409</v>
      </c>
      <c r="BY108" s="2" t="s">
        <v>109</v>
      </c>
      <c r="BZ108" s="2" t="s">
        <v>100</v>
      </c>
    </row>
    <row r="109">
      <c r="A109" s="2" t="s">
        <v>731</v>
      </c>
      <c r="B109" s="2" t="s">
        <v>87</v>
      </c>
      <c r="C109" s="2" t="s">
        <v>88</v>
      </c>
      <c r="D109" s="2" t="s">
        <v>549</v>
      </c>
      <c r="E109" s="2" t="s">
        <v>550</v>
      </c>
      <c r="F109" s="2" t="s">
        <v>414</v>
      </c>
      <c r="G109" s="2" t="s">
        <v>415</v>
      </c>
      <c r="H109" s="2" t="s">
        <v>416</v>
      </c>
      <c r="I109" s="2" t="s">
        <v>732</v>
      </c>
      <c r="J109" s="2" t="s">
        <v>612</v>
      </c>
      <c r="K109" s="2" t="s">
        <v>133</v>
      </c>
      <c r="L109" s="3">
        <v>26.91</v>
      </c>
      <c r="M109" s="3">
        <v>28.26</v>
      </c>
      <c r="N109" s="3">
        <v>59.99</v>
      </c>
      <c r="O109" s="2" t="s">
        <v>97</v>
      </c>
      <c r="P109" s="2" t="s">
        <v>175</v>
      </c>
      <c r="Q109" s="2" t="s">
        <v>99</v>
      </c>
      <c r="R109" s="2" t="s">
        <v>100</v>
      </c>
      <c r="S109" s="2" t="s">
        <v>733</v>
      </c>
      <c r="T109" s="2" t="s">
        <v>100</v>
      </c>
      <c r="U109" s="2" t="s">
        <v>100</v>
      </c>
      <c r="V109" s="2" t="s">
        <v>418</v>
      </c>
      <c r="W109" s="2" t="s">
        <v>418</v>
      </c>
      <c r="X109" s="2" t="s">
        <v>100</v>
      </c>
      <c r="Y109" s="2" t="s">
        <v>734</v>
      </c>
      <c r="Z109" s="4">
        <v>486</v>
      </c>
      <c r="AA109" s="4">
        <f>=ROUNDDOWN(30.375,0)</f>
      </c>
      <c r="AB109" s="5">
        <v>16</v>
      </c>
      <c r="AC109" s="2" t="s">
        <v>100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220</v>
      </c>
      <c r="BK109" s="8">
        <v>6936.21</v>
      </c>
      <c r="BL109" s="2" t="s">
        <v>735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97</v>
      </c>
      <c r="BW109" s="2" t="s">
        <v>506</v>
      </c>
      <c r="BX109" s="2" t="s">
        <v>736</v>
      </c>
      <c r="BY109" s="2" t="s">
        <v>109</v>
      </c>
      <c r="BZ109" s="2" t="s">
        <v>110</v>
      </c>
    </row>
    <row r="110">
      <c r="A110" s="2" t="s">
        <v>737</v>
      </c>
      <c r="B110" s="2" t="s">
        <v>87</v>
      </c>
      <c r="C110" s="2" t="s">
        <v>88</v>
      </c>
      <c r="D110" s="2" t="s">
        <v>549</v>
      </c>
      <c r="E110" s="2" t="s">
        <v>550</v>
      </c>
      <c r="F110" s="2" t="s">
        <v>738</v>
      </c>
      <c r="G110" s="2" t="s">
        <v>739</v>
      </c>
      <c r="H110" s="2" t="s">
        <v>740</v>
      </c>
      <c r="I110" s="2" t="s">
        <v>741</v>
      </c>
      <c r="J110" s="2" t="s">
        <v>675</v>
      </c>
      <c r="K110" s="2" t="s">
        <v>742</v>
      </c>
      <c r="L110" s="3">
        <v>13.29</v>
      </c>
      <c r="M110" s="3">
        <v>13.95</v>
      </c>
      <c r="N110" s="3">
        <v>26.99</v>
      </c>
      <c r="O110" s="2" t="s">
        <v>97</v>
      </c>
      <c r="P110" s="2" t="s">
        <v>126</v>
      </c>
      <c r="Q110" s="2" t="s">
        <v>99</v>
      </c>
      <c r="R110" s="2" t="s">
        <v>100</v>
      </c>
      <c r="S110" s="2" t="s">
        <v>743</v>
      </c>
      <c r="T110" s="2" t="s">
        <v>100</v>
      </c>
      <c r="U110" s="2" t="s">
        <v>196</v>
      </c>
      <c r="V110" s="2" t="s">
        <v>221</v>
      </c>
      <c r="W110" s="2" t="s">
        <v>222</v>
      </c>
      <c r="X110" s="2" t="s">
        <v>100</v>
      </c>
      <c r="Y110" s="2" t="s">
        <v>744</v>
      </c>
      <c r="Z110" s="4">
        <v>441</v>
      </c>
      <c r="AA110" s="4">
        <f>=ROUNDDOWN(33.9230769230769,0)</f>
      </c>
      <c r="AB110" s="5">
        <v>13</v>
      </c>
      <c r="AC110" s="2" t="s">
        <v>100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>
        <v>208</v>
      </c>
      <c r="BK110" s="8">
        <v>3012.12</v>
      </c>
      <c r="BL110" s="2" t="s">
        <v>505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97</v>
      </c>
      <c r="BW110" s="2" t="s">
        <v>506</v>
      </c>
      <c r="BX110" s="2" t="s">
        <v>745</v>
      </c>
      <c r="BY110" s="2" t="s">
        <v>109</v>
      </c>
      <c r="BZ110" s="2" t="s">
        <v>100</v>
      </c>
    </row>
    <row r="111">
      <c r="A111" s="2" t="s">
        <v>746</v>
      </c>
      <c r="B111" s="2" t="s">
        <v>87</v>
      </c>
      <c r="C111" s="2" t="s">
        <v>88</v>
      </c>
      <c r="D111" s="2" t="s">
        <v>549</v>
      </c>
      <c r="E111" s="2" t="s">
        <v>550</v>
      </c>
      <c r="F111" s="2" t="s">
        <v>738</v>
      </c>
      <c r="G111" s="2" t="s">
        <v>739</v>
      </c>
      <c r="H111" s="2" t="s">
        <v>740</v>
      </c>
      <c r="I111" s="2" t="s">
        <v>741</v>
      </c>
      <c r="J111" s="2" t="s">
        <v>570</v>
      </c>
      <c r="K111" s="2" t="s">
        <v>742</v>
      </c>
      <c r="L111" s="3">
        <v>16.24</v>
      </c>
      <c r="M111" s="3">
        <v>17.05</v>
      </c>
      <c r="N111" s="3">
        <v>32.99</v>
      </c>
      <c r="O111" s="2" t="s">
        <v>97</v>
      </c>
      <c r="P111" s="2" t="s">
        <v>126</v>
      </c>
      <c r="Q111" s="2" t="s">
        <v>99</v>
      </c>
      <c r="R111" s="2" t="s">
        <v>100</v>
      </c>
      <c r="S111" s="2" t="s">
        <v>743</v>
      </c>
      <c r="T111" s="2" t="s">
        <v>100</v>
      </c>
      <c r="U111" s="2" t="s">
        <v>196</v>
      </c>
      <c r="V111" s="2" t="s">
        <v>221</v>
      </c>
      <c r="W111" s="2" t="s">
        <v>222</v>
      </c>
      <c r="X111" s="2" t="s">
        <v>100</v>
      </c>
      <c r="Y111" s="2" t="s">
        <v>744</v>
      </c>
      <c r="Z111" s="4">
        <v>550</v>
      </c>
      <c r="AA111" s="4">
        <f>=ROUNDDOWN(32.3529411764706,0)</f>
      </c>
      <c r="AB111" s="5">
        <v>17</v>
      </c>
      <c r="AC111" s="2" t="s">
        <v>100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>
        <v>245</v>
      </c>
      <c r="BK111" s="8">
        <v>4345.4</v>
      </c>
      <c r="BL111" s="2" t="s">
        <v>709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97</v>
      </c>
      <c r="BW111" s="2" t="s">
        <v>506</v>
      </c>
      <c r="BX111" s="2" t="s">
        <v>747</v>
      </c>
      <c r="BY111" s="2" t="s">
        <v>109</v>
      </c>
      <c r="BZ111" s="2" t="s">
        <v>110</v>
      </c>
    </row>
    <row r="112">
      <c r="A112" s="2" t="s">
        <v>748</v>
      </c>
      <c r="B112" s="2" t="s">
        <v>87</v>
      </c>
      <c r="C112" s="2" t="s">
        <v>88</v>
      </c>
      <c r="D112" s="2" t="s">
        <v>549</v>
      </c>
      <c r="E112" s="2" t="s">
        <v>550</v>
      </c>
      <c r="F112" s="2" t="s">
        <v>738</v>
      </c>
      <c r="G112" s="2" t="s">
        <v>739</v>
      </c>
      <c r="H112" s="2" t="s">
        <v>740</v>
      </c>
      <c r="I112" s="2" t="s">
        <v>741</v>
      </c>
      <c r="J112" s="2" t="s">
        <v>675</v>
      </c>
      <c r="K112" s="2" t="s">
        <v>218</v>
      </c>
      <c r="L112" s="3">
        <v>13.29</v>
      </c>
      <c r="M112" s="3">
        <v>13.95</v>
      </c>
      <c r="N112" s="3">
        <v>26.99</v>
      </c>
      <c r="O112" s="2" t="s">
        <v>97</v>
      </c>
      <c r="P112" s="2" t="s">
        <v>126</v>
      </c>
      <c r="Q112" s="2" t="s">
        <v>99</v>
      </c>
      <c r="R112" s="2" t="s">
        <v>100</v>
      </c>
      <c r="S112" s="2" t="s">
        <v>749</v>
      </c>
      <c r="T112" s="2" t="s">
        <v>100</v>
      </c>
      <c r="U112" s="2" t="s">
        <v>196</v>
      </c>
      <c r="V112" s="2" t="s">
        <v>221</v>
      </c>
      <c r="W112" s="2" t="s">
        <v>222</v>
      </c>
      <c r="X112" s="2" t="s">
        <v>100</v>
      </c>
      <c r="Y112" s="2" t="s">
        <v>750</v>
      </c>
      <c r="Z112" s="4">
        <v>534</v>
      </c>
      <c r="AA112" s="4">
        <f>=ROUNDDOWN(35.6,0)</f>
      </c>
      <c r="AB112" s="5">
        <v>15</v>
      </c>
      <c r="AC112" s="2" t="s">
        <v>100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218</v>
      </c>
      <c r="BK112" s="8">
        <v>3108.88</v>
      </c>
      <c r="BL112" s="2" t="s">
        <v>599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97</v>
      </c>
      <c r="BW112" s="2" t="s">
        <v>506</v>
      </c>
      <c r="BX112" s="2" t="s">
        <v>751</v>
      </c>
      <c r="BY112" s="2" t="s">
        <v>109</v>
      </c>
      <c r="BZ112" s="2" t="s">
        <v>100</v>
      </c>
    </row>
    <row r="113">
      <c r="A113" s="2" t="s">
        <v>752</v>
      </c>
      <c r="B113" s="2" t="s">
        <v>87</v>
      </c>
      <c r="C113" s="2" t="s">
        <v>88</v>
      </c>
      <c r="D113" s="2" t="s">
        <v>549</v>
      </c>
      <c r="E113" s="2" t="s">
        <v>550</v>
      </c>
      <c r="F113" s="2" t="s">
        <v>91</v>
      </c>
      <c r="G113" s="2" t="s">
        <v>92</v>
      </c>
      <c r="H113" s="2" t="s">
        <v>93</v>
      </c>
      <c r="I113" s="2" t="s">
        <v>707</v>
      </c>
      <c r="J113" s="2" t="s">
        <v>606</v>
      </c>
      <c r="K113" s="2" t="s">
        <v>260</v>
      </c>
      <c r="L113" s="3">
        <v>15.18</v>
      </c>
      <c r="M113" s="3">
        <v>15.94</v>
      </c>
      <c r="N113" s="3">
        <v>32.99</v>
      </c>
      <c r="O113" s="2" t="s">
        <v>97</v>
      </c>
      <c r="P113" s="2" t="s">
        <v>194</v>
      </c>
      <c r="Q113" s="2" t="s">
        <v>99</v>
      </c>
      <c r="R113" s="2" t="s">
        <v>100</v>
      </c>
      <c r="S113" s="2" t="s">
        <v>753</v>
      </c>
      <c r="T113" s="2" t="s">
        <v>220</v>
      </c>
      <c r="U113" s="2" t="s">
        <v>196</v>
      </c>
      <c r="V113" s="2" t="s">
        <v>149</v>
      </c>
      <c r="W113" s="2" t="s">
        <v>178</v>
      </c>
      <c r="X113" s="2" t="s">
        <v>103</v>
      </c>
      <c r="Y113" s="2" t="s">
        <v>754</v>
      </c>
      <c r="Z113" s="4">
        <v>213</v>
      </c>
      <c r="AA113" s="4">
        <f>=ROUNDDOWN(11.2105263157895,0)</f>
      </c>
      <c r="AB113" s="5">
        <v>19</v>
      </c>
      <c r="AC113" s="2" t="s">
        <v>755</v>
      </c>
      <c r="AD113" s="4">
        <v>240</v>
      </c>
      <c r="AE113" s="4">
        <v>240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20</v>
      </c>
      <c r="BK113" s="8">
        <v>337.62</v>
      </c>
      <c r="BL113" s="2" t="s">
        <v>756</v>
      </c>
      <c r="BM113" s="7"/>
      <c r="BN113" s="7"/>
      <c r="BO113" s="4"/>
      <c r="BP113" s="8"/>
      <c r="BQ113" s="4"/>
      <c r="BR113" s="8"/>
      <c r="BS113" s="7"/>
      <c r="BT113" s="7"/>
      <c r="BU113" s="2" t="s">
        <v>200</v>
      </c>
      <c r="BV113" s="2" t="s">
        <v>97</v>
      </c>
      <c r="BW113" s="2" t="s">
        <v>100</v>
      </c>
      <c r="BX113" s="2" t="s">
        <v>100</v>
      </c>
      <c r="BY113" s="2" t="s">
        <v>109</v>
      </c>
      <c r="BZ113" s="2" t="s">
        <v>110</v>
      </c>
    </row>
    <row r="114">
      <c r="A114" s="2" t="s">
        <v>757</v>
      </c>
      <c r="B114" s="2" t="s">
        <v>87</v>
      </c>
      <c r="C114" s="2" t="s">
        <v>88</v>
      </c>
      <c r="D114" s="2" t="s">
        <v>549</v>
      </c>
      <c r="E114" s="2" t="s">
        <v>550</v>
      </c>
      <c r="F114" s="2" t="s">
        <v>91</v>
      </c>
      <c r="G114" s="2" t="s">
        <v>92</v>
      </c>
      <c r="H114" s="2" t="s">
        <v>93</v>
      </c>
      <c r="I114" s="2" t="s">
        <v>707</v>
      </c>
      <c r="J114" s="2" t="s">
        <v>612</v>
      </c>
      <c r="K114" s="2" t="s">
        <v>260</v>
      </c>
      <c r="L114" s="3">
        <v>29.9</v>
      </c>
      <c r="M114" s="3">
        <v>31.4</v>
      </c>
      <c r="N114" s="3">
        <v>64.99</v>
      </c>
      <c r="O114" s="2" t="s">
        <v>97</v>
      </c>
      <c r="P114" s="2" t="s">
        <v>194</v>
      </c>
      <c r="Q114" s="2" t="s">
        <v>99</v>
      </c>
      <c r="R114" s="2" t="s">
        <v>100</v>
      </c>
      <c r="S114" s="2" t="s">
        <v>753</v>
      </c>
      <c r="T114" s="2" t="s">
        <v>220</v>
      </c>
      <c r="U114" s="2" t="s">
        <v>196</v>
      </c>
      <c r="V114" s="2" t="s">
        <v>149</v>
      </c>
      <c r="W114" s="2" t="s">
        <v>178</v>
      </c>
      <c r="X114" s="2" t="s">
        <v>103</v>
      </c>
      <c r="Y114" s="2" t="s">
        <v>754</v>
      </c>
      <c r="Z114" s="4">
        <v>141</v>
      </c>
      <c r="AA114" s="4">
        <f>=ROUNDDOWN(10.8461538461538,0)</f>
      </c>
      <c r="AB114" s="5">
        <v>13</v>
      </c>
      <c r="AC114" s="2" t="s">
        <v>755</v>
      </c>
      <c r="AD114" s="4">
        <v>160</v>
      </c>
      <c r="AE114" s="4">
        <v>160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/>
      <c r="BJ114" s="4">
        <v>11</v>
      </c>
      <c r="BK114" s="8">
        <v>366.36</v>
      </c>
      <c r="BL114" s="2" t="s">
        <v>756</v>
      </c>
      <c r="BM114" s="7"/>
      <c r="BN114" s="7"/>
      <c r="BO114" s="4"/>
      <c r="BP114" s="8"/>
      <c r="BQ114" s="4"/>
      <c r="BR114" s="8"/>
      <c r="BS114" s="7"/>
      <c r="BT114" s="7"/>
      <c r="BU114" s="2" t="s">
        <v>200</v>
      </c>
      <c r="BV114" s="2" t="s">
        <v>97</v>
      </c>
      <c r="BW114" s="2" t="s">
        <v>100</v>
      </c>
      <c r="BX114" s="2" t="s">
        <v>100</v>
      </c>
      <c r="BY114" s="2" t="s">
        <v>109</v>
      </c>
      <c r="BZ114" s="2" t="s">
        <v>110</v>
      </c>
    </row>
    <row r="115">
      <c r="A115" s="2" t="s">
        <v>758</v>
      </c>
      <c r="B115" s="2" t="s">
        <v>87</v>
      </c>
      <c r="C115" s="2" t="s">
        <v>88</v>
      </c>
      <c r="D115" s="2" t="s">
        <v>759</v>
      </c>
      <c r="E115" s="2" t="s">
        <v>760</v>
      </c>
      <c r="F115" s="2" t="s">
        <v>761</v>
      </c>
      <c r="G115" s="2" t="s">
        <v>761</v>
      </c>
      <c r="H115" s="2" t="s">
        <v>761</v>
      </c>
      <c r="I115" s="2" t="s">
        <v>762</v>
      </c>
      <c r="J115" s="2" t="s">
        <v>763</v>
      </c>
      <c r="K115" s="2" t="s">
        <v>764</v>
      </c>
      <c r="L115" s="3">
        <v>21.6</v>
      </c>
      <c r="M115" s="3">
        <v>22.68</v>
      </c>
      <c r="N115" s="3">
        <v>44.99</v>
      </c>
      <c r="O115" s="2" t="s">
        <v>97</v>
      </c>
      <c r="P115" s="2" t="s">
        <v>126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100</v>
      </c>
      <c r="V115" s="2" t="s">
        <v>765</v>
      </c>
      <c r="W115" s="2" t="s">
        <v>150</v>
      </c>
      <c r="X115" s="2" t="s">
        <v>100</v>
      </c>
      <c r="Y115" s="2" t="s">
        <v>766</v>
      </c>
      <c r="Z115" s="4">
        <v>226</v>
      </c>
      <c r="AA115" s="4">
        <f>=ROUNDDOWN(13.2941176470588,0)</f>
      </c>
      <c r="AB115" s="5">
        <v>17</v>
      </c>
      <c r="AC115" s="2" t="s">
        <v>494</v>
      </c>
      <c r="AD115" s="4">
        <v>300</v>
      </c>
      <c r="AE115" s="4">
        <v>300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4</v>
      </c>
      <c r="AQ115" s="8">
        <v>84</v>
      </c>
      <c r="AR115" s="4"/>
      <c r="AS115" s="8"/>
      <c r="AT115" s="7"/>
      <c r="AU115" s="7"/>
      <c r="AV115" s="4">
        <v>4</v>
      </c>
      <c r="AW115" s="8">
        <v>84</v>
      </c>
      <c r="AX115" s="4"/>
      <c r="AY115" s="8"/>
      <c r="AZ115" s="7"/>
      <c r="BA115" s="7"/>
      <c r="BB115" s="7">
        <v>1</v>
      </c>
      <c r="BC115" s="4">
        <v>4</v>
      </c>
      <c r="BD115" s="8">
        <v>84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>
        <v>1</v>
      </c>
      <c r="BJ115" s="4">
        <v>263</v>
      </c>
      <c r="BK115" s="8">
        <v>6419.43</v>
      </c>
      <c r="BL115" s="2" t="s">
        <v>767</v>
      </c>
      <c r="BM115" s="7">
        <v>0.0152</v>
      </c>
      <c r="BN115" s="7">
        <v>0.0131</v>
      </c>
      <c r="BO115" s="4">
        <v>4</v>
      </c>
      <c r="BP115" s="8">
        <v>84</v>
      </c>
      <c r="BQ115" s="4"/>
      <c r="BR115" s="8"/>
      <c r="BS115" s="7"/>
      <c r="BT115" s="7"/>
      <c r="BU115" s="2" t="s">
        <v>106</v>
      </c>
      <c r="BV115" s="2" t="s">
        <v>97</v>
      </c>
      <c r="BW115" s="2" t="s">
        <v>768</v>
      </c>
      <c r="BX115" s="2" t="s">
        <v>769</v>
      </c>
      <c r="BY115" s="2" t="s">
        <v>109</v>
      </c>
      <c r="BZ115" s="2" t="s">
        <v>100</v>
      </c>
    </row>
    <row r="116">
      <c r="A116" s="2" t="s">
        <v>770</v>
      </c>
      <c r="B116" s="2" t="s">
        <v>87</v>
      </c>
      <c r="C116" s="2" t="s">
        <v>88</v>
      </c>
      <c r="D116" s="2" t="s">
        <v>759</v>
      </c>
      <c r="E116" s="2" t="s">
        <v>760</v>
      </c>
      <c r="F116" s="2" t="s">
        <v>761</v>
      </c>
      <c r="G116" s="2" t="s">
        <v>761</v>
      </c>
      <c r="H116" s="2" t="s">
        <v>761</v>
      </c>
      <c r="I116" s="2" t="s">
        <v>762</v>
      </c>
      <c r="J116" s="2" t="s">
        <v>763</v>
      </c>
      <c r="K116" s="2" t="s">
        <v>771</v>
      </c>
      <c r="L116" s="3">
        <v>21.6</v>
      </c>
      <c r="M116" s="3">
        <v>22.68</v>
      </c>
      <c r="N116" s="3">
        <v>44.99</v>
      </c>
      <c r="O116" s="2" t="s">
        <v>97</v>
      </c>
      <c r="P116" s="2" t="s">
        <v>134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100</v>
      </c>
      <c r="V116" s="2" t="s">
        <v>765</v>
      </c>
      <c r="W116" s="2" t="s">
        <v>150</v>
      </c>
      <c r="X116" s="2" t="s">
        <v>100</v>
      </c>
      <c r="Y116" s="2" t="s">
        <v>766</v>
      </c>
      <c r="Z116" s="4">
        <v>354</v>
      </c>
      <c r="AA116" s="4">
        <f>=ROUNDDOWN(39.3333333333333,0)</f>
      </c>
      <c r="AB116" s="5">
        <v>9</v>
      </c>
      <c r="AC116" s="2" t="s">
        <v>100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117</v>
      </c>
      <c r="BK116" s="8">
        <v>2836.92</v>
      </c>
      <c r="BL116" s="2" t="s">
        <v>772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97</v>
      </c>
      <c r="BW116" s="2" t="s">
        <v>768</v>
      </c>
      <c r="BX116" s="2" t="s">
        <v>773</v>
      </c>
      <c r="BY116" s="2" t="s">
        <v>109</v>
      </c>
      <c r="BZ116" s="2" t="s">
        <v>100</v>
      </c>
    </row>
    <row r="117">
      <c r="A117" s="2" t="s">
        <v>774</v>
      </c>
      <c r="B117" s="2" t="s">
        <v>87</v>
      </c>
      <c r="C117" s="2" t="s">
        <v>88</v>
      </c>
      <c r="D117" s="2" t="s">
        <v>775</v>
      </c>
      <c r="E117" s="2" t="s">
        <v>776</v>
      </c>
      <c r="F117" s="2" t="s">
        <v>170</v>
      </c>
      <c r="G117" s="2" t="s">
        <v>171</v>
      </c>
      <c r="H117" s="2" t="s">
        <v>172</v>
      </c>
      <c r="I117" s="2" t="s">
        <v>777</v>
      </c>
      <c r="J117" s="2" t="s">
        <v>778</v>
      </c>
      <c r="K117" s="2" t="s">
        <v>188</v>
      </c>
      <c r="L117" s="3">
        <v>30.24</v>
      </c>
      <c r="M117" s="3">
        <v>31.75</v>
      </c>
      <c r="N117" s="3">
        <v>54.99</v>
      </c>
      <c r="O117" s="2" t="s">
        <v>97</v>
      </c>
      <c r="P117" s="2" t="s">
        <v>126</v>
      </c>
      <c r="Q117" s="2" t="s">
        <v>99</v>
      </c>
      <c r="R117" s="2" t="s">
        <v>100</v>
      </c>
      <c r="S117" s="2" t="s">
        <v>779</v>
      </c>
      <c r="T117" s="2" t="s">
        <v>220</v>
      </c>
      <c r="U117" s="2" t="s">
        <v>780</v>
      </c>
      <c r="V117" s="2" t="s">
        <v>177</v>
      </c>
      <c r="W117" s="2" t="s">
        <v>178</v>
      </c>
      <c r="X117" s="2" t="s">
        <v>100</v>
      </c>
      <c r="Y117" s="2" t="s">
        <v>781</v>
      </c>
      <c r="Z117" s="4">
        <v>125</v>
      </c>
      <c r="AA117" s="4">
        <f>=ROUNDDOWN(12.5,0)</f>
      </c>
      <c r="AB117" s="5">
        <v>10</v>
      </c>
      <c r="AC117" s="2" t="s">
        <v>782</v>
      </c>
      <c r="AD117" s="4">
        <v>200</v>
      </c>
      <c r="AE117" s="4">
        <v>200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>
        <v>111</v>
      </c>
      <c r="BK117" s="8">
        <v>3892.32</v>
      </c>
      <c r="BL117" s="2" t="s">
        <v>783</v>
      </c>
      <c r="BM117" s="7"/>
      <c r="BN117" s="7"/>
      <c r="BO117" s="4"/>
      <c r="BP117" s="8"/>
      <c r="BQ117" s="4"/>
      <c r="BR117" s="8"/>
      <c r="BS117" s="7"/>
      <c r="BT117" s="7"/>
      <c r="BU117" s="2" t="s">
        <v>200</v>
      </c>
      <c r="BV117" s="2" t="s">
        <v>97</v>
      </c>
      <c r="BW117" s="2" t="s">
        <v>100</v>
      </c>
      <c r="BX117" s="2" t="s">
        <v>100</v>
      </c>
      <c r="BY117" s="2" t="s">
        <v>109</v>
      </c>
      <c r="BZ117" s="2" t="s">
        <v>110</v>
      </c>
    </row>
    <row r="118">
      <c r="A118" s="2" t="s">
        <v>784</v>
      </c>
      <c r="B118" s="2" t="s">
        <v>87</v>
      </c>
      <c r="C118" s="2" t="s">
        <v>88</v>
      </c>
      <c r="D118" s="2" t="s">
        <v>775</v>
      </c>
      <c r="E118" s="2" t="s">
        <v>776</v>
      </c>
      <c r="F118" s="2" t="s">
        <v>170</v>
      </c>
      <c r="G118" s="2" t="s">
        <v>171</v>
      </c>
      <c r="H118" s="2" t="s">
        <v>172</v>
      </c>
      <c r="I118" s="2" t="s">
        <v>777</v>
      </c>
      <c r="J118" s="2" t="s">
        <v>778</v>
      </c>
      <c r="K118" s="2" t="s">
        <v>139</v>
      </c>
      <c r="L118" s="3">
        <v>30.24</v>
      </c>
      <c r="M118" s="3">
        <v>31.75</v>
      </c>
      <c r="N118" s="3">
        <v>54.99</v>
      </c>
      <c r="O118" s="2" t="s">
        <v>97</v>
      </c>
      <c r="P118" s="2" t="s">
        <v>126</v>
      </c>
      <c r="Q118" s="2" t="s">
        <v>99</v>
      </c>
      <c r="R118" s="2" t="s">
        <v>100</v>
      </c>
      <c r="S118" s="2" t="s">
        <v>785</v>
      </c>
      <c r="T118" s="2" t="s">
        <v>220</v>
      </c>
      <c r="U118" s="2" t="s">
        <v>780</v>
      </c>
      <c r="V118" s="2" t="s">
        <v>177</v>
      </c>
      <c r="W118" s="2" t="s">
        <v>178</v>
      </c>
      <c r="X118" s="2" t="s">
        <v>100</v>
      </c>
      <c r="Y118" s="2" t="s">
        <v>781</v>
      </c>
      <c r="Z118" s="4">
        <v>432</v>
      </c>
      <c r="AA118" s="4">
        <f>=ROUNDDOWN(30.8571428571429,0)</f>
      </c>
      <c r="AB118" s="5">
        <v>14</v>
      </c>
      <c r="AC118" s="2" t="s">
        <v>369</v>
      </c>
      <c r="AD118" s="4">
        <v>100</v>
      </c>
      <c r="AE118" s="4">
        <v>300</v>
      </c>
      <c r="AF118" s="6">
        <v>65</v>
      </c>
      <c r="AG118" s="6"/>
      <c r="AH118" s="7">
        <v>0.6667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/>
      <c r="BJ118" s="4">
        <v>146</v>
      </c>
      <c r="BK118" s="8">
        <v>5068.92</v>
      </c>
      <c r="BL118" s="2" t="s">
        <v>786</v>
      </c>
      <c r="BM118" s="7"/>
      <c r="BN118" s="7"/>
      <c r="BO118" s="4"/>
      <c r="BP118" s="8"/>
      <c r="BQ118" s="4"/>
      <c r="BR118" s="8"/>
      <c r="BS118" s="7"/>
      <c r="BT118" s="7"/>
      <c r="BU118" s="2" t="s">
        <v>200</v>
      </c>
      <c r="BV118" s="2" t="s">
        <v>97</v>
      </c>
      <c r="BW118" s="2" t="s">
        <v>100</v>
      </c>
      <c r="BX118" s="2" t="s">
        <v>100</v>
      </c>
      <c r="BY118" s="2" t="s">
        <v>109</v>
      </c>
      <c r="BZ118" s="2" t="s">
        <v>110</v>
      </c>
    </row>
    <row r="119">
      <c r="A119" s="2" t="s">
        <v>787</v>
      </c>
      <c r="B119" s="2" t="s">
        <v>87</v>
      </c>
      <c r="C119" s="2" t="s">
        <v>88</v>
      </c>
      <c r="D119" s="2" t="s">
        <v>775</v>
      </c>
      <c r="E119" s="2" t="s">
        <v>776</v>
      </c>
      <c r="F119" s="2" t="s">
        <v>91</v>
      </c>
      <c r="G119" s="2" t="s">
        <v>92</v>
      </c>
      <c r="H119" s="2" t="s">
        <v>93</v>
      </c>
      <c r="I119" s="2" t="s">
        <v>788</v>
      </c>
      <c r="J119" s="2" t="s">
        <v>763</v>
      </c>
      <c r="K119" s="2" t="s">
        <v>112</v>
      </c>
      <c r="L119" s="3">
        <v>33.6</v>
      </c>
      <c r="M119" s="3">
        <v>35.28</v>
      </c>
      <c r="N119" s="3">
        <v>69.99</v>
      </c>
      <c r="O119" s="2" t="s">
        <v>97</v>
      </c>
      <c r="P119" s="2" t="s">
        <v>113</v>
      </c>
      <c r="Q119" s="2" t="s">
        <v>99</v>
      </c>
      <c r="R119" s="2" t="s">
        <v>100</v>
      </c>
      <c r="S119" s="2" t="s">
        <v>789</v>
      </c>
      <c r="T119" s="2" t="s">
        <v>220</v>
      </c>
      <c r="U119" s="2" t="s">
        <v>780</v>
      </c>
      <c r="V119" s="2" t="s">
        <v>149</v>
      </c>
      <c r="W119" s="2" t="s">
        <v>178</v>
      </c>
      <c r="X119" s="2" t="s">
        <v>103</v>
      </c>
      <c r="Y119" s="2" t="s">
        <v>790</v>
      </c>
      <c r="Z119" s="4">
        <v>543</v>
      </c>
      <c r="AA119" s="4">
        <f>=ROUNDDOWN(10.86,0)</f>
      </c>
      <c r="AB119" s="5">
        <v>50</v>
      </c>
      <c r="AC119" s="2" t="s">
        <v>791</v>
      </c>
      <c r="AD119" s="4">
        <v>120</v>
      </c>
      <c r="AE119" s="4">
        <v>1660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>
        <v>821</v>
      </c>
      <c r="BK119" s="8">
        <v>31352.19</v>
      </c>
      <c r="BL119" s="2" t="s">
        <v>792</v>
      </c>
      <c r="BM119" s="7"/>
      <c r="BN119" s="7"/>
      <c r="BO119" s="4"/>
      <c r="BP119" s="8"/>
      <c r="BQ119" s="4"/>
      <c r="BR119" s="8"/>
      <c r="BS119" s="7"/>
      <c r="BT119" s="7"/>
      <c r="BU119" s="2" t="s">
        <v>200</v>
      </c>
      <c r="BV119" s="2" t="s">
        <v>97</v>
      </c>
      <c r="BW119" s="2" t="s">
        <v>100</v>
      </c>
      <c r="BX119" s="2" t="s">
        <v>100</v>
      </c>
      <c r="BY119" s="2" t="s">
        <v>109</v>
      </c>
      <c r="BZ119" s="2" t="s">
        <v>100</v>
      </c>
    </row>
    <row r="120">
      <c r="A120" s="2" t="s">
        <v>793</v>
      </c>
      <c r="B120" s="2" t="s">
        <v>87</v>
      </c>
      <c r="C120" s="2" t="s">
        <v>88</v>
      </c>
      <c r="D120" s="2" t="s">
        <v>775</v>
      </c>
      <c r="E120" s="2" t="s">
        <v>776</v>
      </c>
      <c r="F120" s="2" t="s">
        <v>91</v>
      </c>
      <c r="G120" s="2" t="s">
        <v>92</v>
      </c>
      <c r="H120" s="2" t="s">
        <v>93</v>
      </c>
      <c r="I120" s="2" t="s">
        <v>788</v>
      </c>
      <c r="J120" s="2" t="s">
        <v>763</v>
      </c>
      <c r="K120" s="2" t="s">
        <v>139</v>
      </c>
      <c r="L120" s="3">
        <v>33.6</v>
      </c>
      <c r="M120" s="3">
        <v>35.28</v>
      </c>
      <c r="N120" s="3">
        <v>69.99</v>
      </c>
      <c r="O120" s="2" t="s">
        <v>97</v>
      </c>
      <c r="P120" s="2" t="s">
        <v>113</v>
      </c>
      <c r="Q120" s="2" t="s">
        <v>99</v>
      </c>
      <c r="R120" s="2" t="s">
        <v>100</v>
      </c>
      <c r="S120" s="2" t="s">
        <v>789</v>
      </c>
      <c r="T120" s="2" t="s">
        <v>220</v>
      </c>
      <c r="U120" s="2" t="s">
        <v>780</v>
      </c>
      <c r="V120" s="2" t="s">
        <v>149</v>
      </c>
      <c r="W120" s="2" t="s">
        <v>178</v>
      </c>
      <c r="X120" s="2" t="s">
        <v>103</v>
      </c>
      <c r="Y120" s="2" t="s">
        <v>794</v>
      </c>
      <c r="Z120" s="4">
        <v>824</v>
      </c>
      <c r="AA120" s="4">
        <f>=ROUNDDOWN(24.969696969697,0)</f>
      </c>
      <c r="AB120" s="5">
        <v>33</v>
      </c>
      <c r="AC120" s="2" t="s">
        <v>791</v>
      </c>
      <c r="AD120" s="4">
        <v>300</v>
      </c>
      <c r="AE120" s="4">
        <v>600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>
        <v>443</v>
      </c>
      <c r="BK120" s="8">
        <v>16404.68</v>
      </c>
      <c r="BL120" s="2" t="s">
        <v>795</v>
      </c>
      <c r="BM120" s="7"/>
      <c r="BN120" s="7"/>
      <c r="BO120" s="4"/>
      <c r="BP120" s="8"/>
      <c r="BQ120" s="4"/>
      <c r="BR120" s="8"/>
      <c r="BS120" s="7"/>
      <c r="BT120" s="7"/>
      <c r="BU120" s="2" t="s">
        <v>200</v>
      </c>
      <c r="BV120" s="2" t="s">
        <v>97</v>
      </c>
      <c r="BW120" s="2" t="s">
        <v>100</v>
      </c>
      <c r="BX120" s="2" t="s">
        <v>100</v>
      </c>
      <c r="BY120" s="2" t="s">
        <v>109</v>
      </c>
      <c r="BZ120" s="2" t="s">
        <v>100</v>
      </c>
    </row>
    <row r="121">
      <c r="A121" s="2" t="s">
        <v>796</v>
      </c>
      <c r="B121" s="2" t="s">
        <v>87</v>
      </c>
      <c r="C121" s="2" t="s">
        <v>88</v>
      </c>
      <c r="D121" s="2" t="s">
        <v>775</v>
      </c>
      <c r="E121" s="2" t="s">
        <v>776</v>
      </c>
      <c r="F121" s="2" t="s">
        <v>91</v>
      </c>
      <c r="G121" s="2" t="s">
        <v>92</v>
      </c>
      <c r="H121" s="2" t="s">
        <v>93</v>
      </c>
      <c r="I121" s="2" t="s">
        <v>788</v>
      </c>
      <c r="J121" s="2" t="s">
        <v>763</v>
      </c>
      <c r="K121" s="2" t="s">
        <v>118</v>
      </c>
      <c r="L121" s="3">
        <v>33.6</v>
      </c>
      <c r="M121" s="3">
        <v>35.28</v>
      </c>
      <c r="N121" s="3">
        <v>69.99</v>
      </c>
      <c r="O121" s="2" t="s">
        <v>97</v>
      </c>
      <c r="P121" s="2" t="s">
        <v>113</v>
      </c>
      <c r="Q121" s="2" t="s">
        <v>99</v>
      </c>
      <c r="R121" s="2" t="s">
        <v>100</v>
      </c>
      <c r="S121" s="2" t="s">
        <v>789</v>
      </c>
      <c r="T121" s="2" t="s">
        <v>220</v>
      </c>
      <c r="U121" s="2" t="s">
        <v>780</v>
      </c>
      <c r="V121" s="2" t="s">
        <v>149</v>
      </c>
      <c r="W121" s="2" t="s">
        <v>178</v>
      </c>
      <c r="X121" s="2" t="s">
        <v>103</v>
      </c>
      <c r="Y121" s="2" t="s">
        <v>790</v>
      </c>
      <c r="Z121" s="4">
        <v>642</v>
      </c>
      <c r="AA121" s="4">
        <f>=ROUNDDOWN(22.1379310344828,0)</f>
      </c>
      <c r="AB121" s="5">
        <v>29</v>
      </c>
      <c r="AC121" s="2" t="s">
        <v>791</v>
      </c>
      <c r="AD121" s="4">
        <v>120</v>
      </c>
      <c r="AE121" s="4">
        <v>460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>
        <v>356</v>
      </c>
      <c r="BK121" s="8">
        <v>13525.65</v>
      </c>
      <c r="BL121" s="2" t="s">
        <v>797</v>
      </c>
      <c r="BM121" s="7"/>
      <c r="BN121" s="7"/>
      <c r="BO121" s="4"/>
      <c r="BP121" s="8"/>
      <c r="BQ121" s="4"/>
      <c r="BR121" s="8"/>
      <c r="BS121" s="7"/>
      <c r="BT121" s="7"/>
      <c r="BU121" s="2" t="s">
        <v>200</v>
      </c>
      <c r="BV121" s="2" t="s">
        <v>97</v>
      </c>
      <c r="BW121" s="2" t="s">
        <v>100</v>
      </c>
      <c r="BX121" s="2" t="s">
        <v>100</v>
      </c>
      <c r="BY121" s="2" t="s">
        <v>109</v>
      </c>
      <c r="BZ121" s="2" t="s">
        <v>100</v>
      </c>
    </row>
    <row r="122">
      <c r="A122" s="2" t="s">
        <v>798</v>
      </c>
      <c r="B122" s="2" t="s">
        <v>87</v>
      </c>
      <c r="C122" s="2" t="s">
        <v>799</v>
      </c>
      <c r="D122" s="2" t="s">
        <v>89</v>
      </c>
      <c r="E122" s="2" t="s">
        <v>90</v>
      </c>
      <c r="F122" s="2" t="s">
        <v>800</v>
      </c>
      <c r="G122" s="2" t="s">
        <v>801</v>
      </c>
      <c r="H122" s="2" t="s">
        <v>802</v>
      </c>
      <c r="I122" s="2" t="s">
        <v>803</v>
      </c>
      <c r="J122" s="2" t="s">
        <v>95</v>
      </c>
      <c r="K122" s="2" t="s">
        <v>133</v>
      </c>
      <c r="L122" s="3">
        <v>12.6</v>
      </c>
      <c r="M122" s="3">
        <v>13.23</v>
      </c>
      <c r="N122" s="3">
        <v>29.99</v>
      </c>
      <c r="O122" s="2" t="s">
        <v>97</v>
      </c>
      <c r="P122" s="2" t="s">
        <v>126</v>
      </c>
      <c r="Q122" s="2" t="s">
        <v>99</v>
      </c>
      <c r="R122" s="2" t="s">
        <v>100</v>
      </c>
      <c r="S122" s="2" t="s">
        <v>804</v>
      </c>
      <c r="T122" s="2" t="s">
        <v>100</v>
      </c>
      <c r="U122" s="2" t="s">
        <v>196</v>
      </c>
      <c r="V122" s="2" t="s">
        <v>322</v>
      </c>
      <c r="W122" s="2" t="s">
        <v>150</v>
      </c>
      <c r="X122" s="2" t="s">
        <v>222</v>
      </c>
      <c r="Y122" s="2" t="s">
        <v>805</v>
      </c>
      <c r="Z122" s="4">
        <v>6</v>
      </c>
      <c r="AA122" s="4">
        <f>=ROUNDDOWN(0.0638297872340426,0)</f>
      </c>
      <c r="AB122" s="5">
        <v>94</v>
      </c>
      <c r="AC122" s="2" t="s">
        <v>235</v>
      </c>
      <c r="AD122" s="4">
        <v>380</v>
      </c>
      <c r="AE122" s="4">
        <v>1660</v>
      </c>
      <c r="AF122" s="6">
        <v>65</v>
      </c>
      <c r="AG122" s="6">
        <v>73</v>
      </c>
      <c r="AH122" s="7">
        <v>0.7807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34</v>
      </c>
      <c r="AQ122" s="8">
        <v>441.66</v>
      </c>
      <c r="AR122" s="4"/>
      <c r="AS122" s="8"/>
      <c r="AT122" s="7"/>
      <c r="AU122" s="7"/>
      <c r="AV122" s="4">
        <v>34</v>
      </c>
      <c r="AW122" s="8">
        <v>441.66</v>
      </c>
      <c r="AX122" s="4"/>
      <c r="AY122" s="8"/>
      <c r="AZ122" s="7"/>
      <c r="BA122" s="7"/>
      <c r="BB122" s="7">
        <v>1</v>
      </c>
      <c r="BC122" s="4">
        <v>34</v>
      </c>
      <c r="BD122" s="8">
        <v>441.66</v>
      </c>
      <c r="BE122" s="4"/>
      <c r="BF122" s="8"/>
      <c r="BG122" s="7"/>
      <c r="BH122" s="7"/>
      <c r="BI122" s="7">
        <v>1</v>
      </c>
      <c r="BJ122" s="4">
        <v>1214</v>
      </c>
      <c r="BK122" s="8">
        <v>16551.31</v>
      </c>
      <c r="BL122" s="2" t="s">
        <v>806</v>
      </c>
      <c r="BM122" s="7">
        <v>0.028</v>
      </c>
      <c r="BN122" s="7">
        <v>0.0267</v>
      </c>
      <c r="BO122" s="4">
        <v>34</v>
      </c>
      <c r="BP122" s="8">
        <v>441.66</v>
      </c>
      <c r="BQ122" s="4"/>
      <c r="BR122" s="8"/>
      <c r="BS122" s="7"/>
      <c r="BT122" s="7"/>
      <c r="BU122" s="2" t="s">
        <v>106</v>
      </c>
      <c r="BV122" s="2" t="s">
        <v>97</v>
      </c>
      <c r="BW122" s="2" t="s">
        <v>442</v>
      </c>
      <c r="BX122" s="2" t="s">
        <v>807</v>
      </c>
      <c r="BY122" s="2" t="s">
        <v>109</v>
      </c>
      <c r="BZ122" s="2" t="s">
        <v>100</v>
      </c>
    </row>
    <row r="123">
      <c r="A123" s="2" t="s">
        <v>808</v>
      </c>
      <c r="B123" s="2" t="s">
        <v>87</v>
      </c>
      <c r="C123" s="2" t="s">
        <v>799</v>
      </c>
      <c r="D123" s="2" t="s">
        <v>89</v>
      </c>
      <c r="E123" s="2" t="s">
        <v>90</v>
      </c>
      <c r="F123" s="2" t="s">
        <v>809</v>
      </c>
      <c r="G123" s="2" t="s">
        <v>810</v>
      </c>
      <c r="H123" s="2" t="s">
        <v>811</v>
      </c>
      <c r="I123" s="2" t="s">
        <v>812</v>
      </c>
      <c r="J123" s="2" t="s">
        <v>95</v>
      </c>
      <c r="K123" s="2" t="s">
        <v>118</v>
      </c>
      <c r="L123" s="3">
        <v>14.52</v>
      </c>
      <c r="M123" s="3">
        <v>15.25</v>
      </c>
      <c r="N123" s="3">
        <v>32.99</v>
      </c>
      <c r="O123" s="2" t="s">
        <v>97</v>
      </c>
      <c r="P123" s="2" t="s">
        <v>126</v>
      </c>
      <c r="Q123" s="2" t="s">
        <v>99</v>
      </c>
      <c r="R123" s="2" t="s">
        <v>100</v>
      </c>
      <c r="S123" s="2" t="s">
        <v>813</v>
      </c>
      <c r="T123" s="2" t="s">
        <v>450</v>
      </c>
      <c r="U123" s="2" t="s">
        <v>196</v>
      </c>
      <c r="V123" s="2" t="s">
        <v>149</v>
      </c>
      <c r="W123" s="2" t="s">
        <v>103</v>
      </c>
      <c r="X123" s="2" t="s">
        <v>814</v>
      </c>
      <c r="Y123" s="2" t="s">
        <v>815</v>
      </c>
      <c r="Z123" s="4">
        <v>617</v>
      </c>
      <c r="AA123" s="4">
        <f>=ROUNDDOWN(29.3809523809524,0)</f>
      </c>
      <c r="AB123" s="5">
        <v>21</v>
      </c>
      <c r="AC123" s="2" t="s">
        <v>816</v>
      </c>
      <c r="AD123" s="4">
        <v>288</v>
      </c>
      <c r="AE123" s="4">
        <v>288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4</v>
      </c>
      <c r="AQ123" s="8">
        <v>57.72</v>
      </c>
      <c r="AR123" s="4"/>
      <c r="AS123" s="8"/>
      <c r="AT123" s="7"/>
      <c r="AU123" s="7"/>
      <c r="AV123" s="4">
        <v>4</v>
      </c>
      <c r="AW123" s="8">
        <v>57.72</v>
      </c>
      <c r="AX123" s="4"/>
      <c r="AY123" s="8"/>
      <c r="AZ123" s="7"/>
      <c r="BA123" s="7"/>
      <c r="BB123" s="7">
        <v>1</v>
      </c>
      <c r="BC123" s="4">
        <v>4</v>
      </c>
      <c r="BD123" s="8">
        <v>57.72</v>
      </c>
      <c r="BE123" s="4"/>
      <c r="BF123" s="8"/>
      <c r="BG123" s="7"/>
      <c r="BH123" s="7"/>
      <c r="BI123" s="7">
        <v>1</v>
      </c>
      <c r="BJ123" s="4">
        <v>315</v>
      </c>
      <c r="BK123" s="8">
        <v>4794.23</v>
      </c>
      <c r="BL123" s="2" t="s">
        <v>817</v>
      </c>
      <c r="BM123" s="7">
        <v>0.0127</v>
      </c>
      <c r="BN123" s="7">
        <v>0.012</v>
      </c>
      <c r="BO123" s="4">
        <v>4</v>
      </c>
      <c r="BP123" s="8">
        <v>57.72</v>
      </c>
      <c r="BQ123" s="4"/>
      <c r="BR123" s="8"/>
      <c r="BS123" s="7"/>
      <c r="BT123" s="7"/>
      <c r="BU123" s="2" t="s">
        <v>106</v>
      </c>
      <c r="BV123" s="2" t="s">
        <v>97</v>
      </c>
      <c r="BW123" s="2" t="s">
        <v>818</v>
      </c>
      <c r="BX123" s="2" t="s">
        <v>819</v>
      </c>
      <c r="BY123" s="2" t="s">
        <v>109</v>
      </c>
      <c r="BZ123" s="2" t="s">
        <v>100</v>
      </c>
    </row>
    <row r="124">
      <c r="A124" s="2" t="s">
        <v>820</v>
      </c>
      <c r="B124" s="2" t="s">
        <v>87</v>
      </c>
      <c r="C124" s="2" t="s">
        <v>799</v>
      </c>
      <c r="D124" s="2" t="s">
        <v>89</v>
      </c>
      <c r="E124" s="2" t="s">
        <v>90</v>
      </c>
      <c r="F124" s="2" t="s">
        <v>821</v>
      </c>
      <c r="G124" s="2" t="s">
        <v>822</v>
      </c>
      <c r="H124" s="2" t="s">
        <v>823</v>
      </c>
      <c r="I124" s="2" t="s">
        <v>824</v>
      </c>
      <c r="J124" s="2" t="s">
        <v>95</v>
      </c>
      <c r="K124" s="2" t="s">
        <v>825</v>
      </c>
      <c r="L124" s="3">
        <v>13.2</v>
      </c>
      <c r="M124" s="3">
        <v>13.86</v>
      </c>
      <c r="N124" s="3">
        <v>29.99</v>
      </c>
      <c r="O124" s="2" t="s">
        <v>97</v>
      </c>
      <c r="P124" s="2" t="s">
        <v>194</v>
      </c>
      <c r="Q124" s="2" t="s">
        <v>99</v>
      </c>
      <c r="R124" s="2" t="s">
        <v>100</v>
      </c>
      <c r="S124" s="2" t="s">
        <v>826</v>
      </c>
      <c r="T124" s="2" t="s">
        <v>100</v>
      </c>
      <c r="U124" s="2" t="s">
        <v>196</v>
      </c>
      <c r="V124" s="2" t="s">
        <v>234</v>
      </c>
      <c r="W124" s="2" t="s">
        <v>222</v>
      </c>
      <c r="X124" s="2" t="s">
        <v>150</v>
      </c>
      <c r="Y124" s="2" t="s">
        <v>827</v>
      </c>
      <c r="Z124" s="4">
        <v>102</v>
      </c>
      <c r="AA124" s="4">
        <f>=ROUNDDOWN(7.84615384615385,0)</f>
      </c>
      <c r="AB124" s="5">
        <v>13</v>
      </c>
      <c r="AC124" s="2" t="s">
        <v>828</v>
      </c>
      <c r="AD124" s="4">
        <v>100</v>
      </c>
      <c r="AE124" s="4">
        <v>380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/>
      <c r="BJ124" s="4">
        <v>209</v>
      </c>
      <c r="BK124" s="8">
        <v>3137.58</v>
      </c>
      <c r="BL124" s="2" t="s">
        <v>829</v>
      </c>
      <c r="BM124" s="7"/>
      <c r="BN124" s="7"/>
      <c r="BO124" s="4"/>
      <c r="BP124" s="8"/>
      <c r="BQ124" s="4"/>
      <c r="BR124" s="8"/>
      <c r="BS124" s="7"/>
      <c r="BT124" s="7"/>
      <c r="BU124" s="2" t="s">
        <v>200</v>
      </c>
      <c r="BV124" s="2" t="s">
        <v>97</v>
      </c>
      <c r="BW124" s="2" t="s">
        <v>100</v>
      </c>
      <c r="BX124" s="2" t="s">
        <v>100</v>
      </c>
      <c r="BY124" s="2" t="s">
        <v>109</v>
      </c>
      <c r="BZ124" s="2" t="s">
        <v>110</v>
      </c>
    </row>
    <row r="125">
      <c r="A125" s="2" t="s">
        <v>830</v>
      </c>
      <c r="B125" s="2" t="s">
        <v>87</v>
      </c>
      <c r="C125" s="2" t="s">
        <v>799</v>
      </c>
      <c r="D125" s="2" t="s">
        <v>89</v>
      </c>
      <c r="E125" s="2" t="s">
        <v>90</v>
      </c>
      <c r="F125" s="2" t="s">
        <v>821</v>
      </c>
      <c r="G125" s="2" t="s">
        <v>822</v>
      </c>
      <c r="H125" s="2" t="s">
        <v>823</v>
      </c>
      <c r="I125" s="2" t="s">
        <v>824</v>
      </c>
      <c r="J125" s="2" t="s">
        <v>95</v>
      </c>
      <c r="K125" s="2" t="s">
        <v>831</v>
      </c>
      <c r="L125" s="3">
        <v>13.2</v>
      </c>
      <c r="M125" s="3">
        <v>13.86</v>
      </c>
      <c r="N125" s="3">
        <v>29.99</v>
      </c>
      <c r="O125" s="2" t="s">
        <v>97</v>
      </c>
      <c r="P125" s="2" t="s">
        <v>194</v>
      </c>
      <c r="Q125" s="2" t="s">
        <v>99</v>
      </c>
      <c r="R125" s="2" t="s">
        <v>100</v>
      </c>
      <c r="S125" s="2" t="s">
        <v>832</v>
      </c>
      <c r="T125" s="2" t="s">
        <v>100</v>
      </c>
      <c r="U125" s="2" t="s">
        <v>196</v>
      </c>
      <c r="V125" s="2" t="s">
        <v>234</v>
      </c>
      <c r="W125" s="2" t="s">
        <v>222</v>
      </c>
      <c r="X125" s="2" t="s">
        <v>150</v>
      </c>
      <c r="Y125" s="2" t="s">
        <v>827</v>
      </c>
      <c r="Z125" s="4"/>
      <c r="AA125" s="4">
        <f>=ROUNDDOWN({0},0)</f>
      </c>
      <c r="AB125" s="5">
        <v>42</v>
      </c>
      <c r="AC125" s="2" t="s">
        <v>494</v>
      </c>
      <c r="AD125" s="4">
        <v>600</v>
      </c>
      <c r="AE125" s="4">
        <v>1000</v>
      </c>
      <c r="AF125" s="6">
        <v>65</v>
      </c>
      <c r="AG125" s="6"/>
      <c r="AH125" s="7">
        <v>0.2807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/>
      <c r="BJ125" s="4">
        <v>210</v>
      </c>
      <c r="BK125" s="8">
        <v>3152.27</v>
      </c>
      <c r="BL125" s="2" t="s">
        <v>833</v>
      </c>
      <c r="BM125" s="7"/>
      <c r="BN125" s="7"/>
      <c r="BO125" s="4"/>
      <c r="BP125" s="8"/>
      <c r="BQ125" s="4"/>
      <c r="BR125" s="8"/>
      <c r="BS125" s="7"/>
      <c r="BT125" s="7"/>
      <c r="BU125" s="2" t="s">
        <v>200</v>
      </c>
      <c r="BV125" s="2" t="s">
        <v>97</v>
      </c>
      <c r="BW125" s="2" t="s">
        <v>100</v>
      </c>
      <c r="BX125" s="2" t="s">
        <v>100</v>
      </c>
      <c r="BY125" s="2" t="s">
        <v>109</v>
      </c>
      <c r="BZ125" s="2" t="s">
        <v>110</v>
      </c>
    </row>
    <row r="126">
      <c r="A126" s="2" t="s">
        <v>834</v>
      </c>
      <c r="B126" s="2" t="s">
        <v>87</v>
      </c>
      <c r="C126" s="2" t="s">
        <v>835</v>
      </c>
      <c r="D126" s="2" t="s">
        <v>89</v>
      </c>
      <c r="E126" s="2" t="s">
        <v>90</v>
      </c>
      <c r="F126" s="2" t="s">
        <v>836</v>
      </c>
      <c r="G126" s="2" t="s">
        <v>837</v>
      </c>
      <c r="H126" s="2" t="s">
        <v>838</v>
      </c>
      <c r="I126" s="2" t="s">
        <v>839</v>
      </c>
      <c r="J126" s="2" t="s">
        <v>840</v>
      </c>
      <c r="K126" s="2" t="s">
        <v>243</v>
      </c>
      <c r="L126" s="3">
        <v>18.92</v>
      </c>
      <c r="M126" s="3">
        <v>19.87</v>
      </c>
      <c r="N126" s="3">
        <v>42.99</v>
      </c>
      <c r="O126" s="2" t="s">
        <v>97</v>
      </c>
      <c r="P126" s="2" t="s">
        <v>126</v>
      </c>
      <c r="Q126" s="2" t="s">
        <v>99</v>
      </c>
      <c r="R126" s="2" t="s">
        <v>100</v>
      </c>
      <c r="S126" s="2" t="s">
        <v>841</v>
      </c>
      <c r="T126" s="2" t="s">
        <v>220</v>
      </c>
      <c r="U126" s="2" t="s">
        <v>196</v>
      </c>
      <c r="V126" s="2" t="s">
        <v>244</v>
      </c>
      <c r="W126" s="2" t="s">
        <v>150</v>
      </c>
      <c r="X126" s="2" t="s">
        <v>222</v>
      </c>
      <c r="Y126" s="2" t="s">
        <v>323</v>
      </c>
      <c r="Z126" s="4">
        <v>128</v>
      </c>
      <c r="AA126" s="4">
        <f>=ROUNDDOWN(12.8,0)</f>
      </c>
      <c r="AB126" s="5">
        <v>10</v>
      </c>
      <c r="AC126" s="2" t="s">
        <v>100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7</v>
      </c>
      <c r="AQ126" s="8">
        <v>152.88</v>
      </c>
      <c r="AR126" s="4"/>
      <c r="AS126" s="8"/>
      <c r="AT126" s="7"/>
      <c r="AU126" s="7"/>
      <c r="AV126" s="4">
        <v>7</v>
      </c>
      <c r="AW126" s="8">
        <v>152.88</v>
      </c>
      <c r="AX126" s="4"/>
      <c r="AY126" s="8"/>
      <c r="AZ126" s="7"/>
      <c r="BA126" s="7"/>
      <c r="BB126" s="7">
        <v>1</v>
      </c>
      <c r="BC126" s="4">
        <v>7</v>
      </c>
      <c r="BD126" s="8">
        <v>152.88</v>
      </c>
      <c r="BE126" s="4"/>
      <c r="BF126" s="8"/>
      <c r="BG126" s="7"/>
      <c r="BH126" s="7"/>
      <c r="BI126" s="7">
        <v>1</v>
      </c>
      <c r="BJ126" s="4">
        <v>157</v>
      </c>
      <c r="BK126" s="8">
        <v>3317.28</v>
      </c>
      <c r="BL126" s="2" t="s">
        <v>842</v>
      </c>
      <c r="BM126" s="7">
        <v>0.0446</v>
      </c>
      <c r="BN126" s="7">
        <v>0.0461</v>
      </c>
      <c r="BO126" s="4">
        <v>7</v>
      </c>
      <c r="BP126" s="8">
        <v>152.88</v>
      </c>
      <c r="BQ126" s="4"/>
      <c r="BR126" s="8"/>
      <c r="BS126" s="7"/>
      <c r="BT126" s="7"/>
      <c r="BU126" s="2" t="s">
        <v>106</v>
      </c>
      <c r="BV126" s="2" t="s">
        <v>97</v>
      </c>
      <c r="BW126" s="2" t="s">
        <v>351</v>
      </c>
      <c r="BX126" s="2" t="s">
        <v>843</v>
      </c>
      <c r="BY126" s="2" t="s">
        <v>109</v>
      </c>
      <c r="BZ126" s="2" t="s">
        <v>110</v>
      </c>
    </row>
    <row r="127">
      <c r="A127" s="2" t="s">
        <v>844</v>
      </c>
      <c r="B127" s="2" t="s">
        <v>87</v>
      </c>
      <c r="C127" s="2" t="s">
        <v>835</v>
      </c>
      <c r="D127" s="2" t="s">
        <v>89</v>
      </c>
      <c r="E127" s="2" t="s">
        <v>90</v>
      </c>
      <c r="F127" s="2" t="s">
        <v>845</v>
      </c>
      <c r="G127" s="2" t="s">
        <v>846</v>
      </c>
      <c r="H127" s="2" t="s">
        <v>847</v>
      </c>
      <c r="I127" s="2" t="s">
        <v>848</v>
      </c>
      <c r="J127" s="2" t="s">
        <v>840</v>
      </c>
      <c r="K127" s="2" t="s">
        <v>641</v>
      </c>
      <c r="L127" s="3">
        <v>19.8</v>
      </c>
      <c r="M127" s="3">
        <v>20.79</v>
      </c>
      <c r="N127" s="3">
        <v>44.99</v>
      </c>
      <c r="O127" s="2" t="s">
        <v>97</v>
      </c>
      <c r="P127" s="2" t="s">
        <v>126</v>
      </c>
      <c r="Q127" s="2" t="s">
        <v>99</v>
      </c>
      <c r="R127" s="2" t="s">
        <v>100</v>
      </c>
      <c r="S127" s="2" t="s">
        <v>849</v>
      </c>
      <c r="T127" s="2" t="s">
        <v>220</v>
      </c>
      <c r="U127" s="2" t="s">
        <v>196</v>
      </c>
      <c r="V127" s="2" t="s">
        <v>221</v>
      </c>
      <c r="W127" s="2" t="s">
        <v>222</v>
      </c>
      <c r="X127" s="2" t="s">
        <v>388</v>
      </c>
      <c r="Y127" s="2" t="s">
        <v>850</v>
      </c>
      <c r="Z127" s="4">
        <v>3</v>
      </c>
      <c r="AA127" s="4">
        <f>=ROUNDDOWN(0.212765957446809,0)</f>
      </c>
      <c r="AB127" s="5">
        <v>14.1</v>
      </c>
      <c r="AC127" s="2" t="s">
        <v>253</v>
      </c>
      <c r="AD127" s="4">
        <v>240</v>
      </c>
      <c r="AE127" s="4">
        <v>600</v>
      </c>
      <c r="AF127" s="6">
        <v>66</v>
      </c>
      <c r="AG127" s="6"/>
      <c r="AH127" s="7">
        <v>0.5877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5</v>
      </c>
      <c r="AQ127" s="8">
        <v>103.95</v>
      </c>
      <c r="AR127" s="4"/>
      <c r="AS127" s="8"/>
      <c r="AT127" s="7"/>
      <c r="AU127" s="7"/>
      <c r="AV127" s="4">
        <v>5</v>
      </c>
      <c r="AW127" s="8">
        <v>103.95</v>
      </c>
      <c r="AX127" s="4"/>
      <c r="AY127" s="8"/>
      <c r="AZ127" s="7"/>
      <c r="BA127" s="7"/>
      <c r="BB127" s="7">
        <v>1</v>
      </c>
      <c r="BC127" s="4">
        <v>7</v>
      </c>
      <c r="BD127" s="8">
        <v>145.53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0.7143</v>
      </c>
      <c r="BJ127" s="4">
        <v>177</v>
      </c>
      <c r="BK127" s="8">
        <v>3917.24</v>
      </c>
      <c r="BL127" s="2" t="s">
        <v>851</v>
      </c>
      <c r="BM127" s="7">
        <v>0.0282</v>
      </c>
      <c r="BN127" s="7">
        <v>0.0265</v>
      </c>
      <c r="BO127" s="4">
        <v>5</v>
      </c>
      <c r="BP127" s="8">
        <v>103.95</v>
      </c>
      <c r="BQ127" s="4"/>
      <c r="BR127" s="8"/>
      <c r="BS127" s="7"/>
      <c r="BT127" s="7"/>
      <c r="BU127" s="2" t="s">
        <v>106</v>
      </c>
      <c r="BV127" s="2" t="s">
        <v>97</v>
      </c>
      <c r="BW127" s="2" t="s">
        <v>818</v>
      </c>
      <c r="BX127" s="2" t="s">
        <v>852</v>
      </c>
      <c r="BY127" s="2" t="s">
        <v>109</v>
      </c>
      <c r="BZ127" s="2" t="s">
        <v>110</v>
      </c>
    </row>
    <row r="128">
      <c r="A128" s="2" t="s">
        <v>853</v>
      </c>
      <c r="B128" s="2" t="s">
        <v>87</v>
      </c>
      <c r="C128" s="2" t="s">
        <v>835</v>
      </c>
      <c r="D128" s="2" t="s">
        <v>89</v>
      </c>
      <c r="E128" s="2" t="s">
        <v>90</v>
      </c>
      <c r="F128" s="2" t="s">
        <v>845</v>
      </c>
      <c r="G128" s="2" t="s">
        <v>846</v>
      </c>
      <c r="H128" s="2" t="s">
        <v>847</v>
      </c>
      <c r="I128" s="2" t="s">
        <v>854</v>
      </c>
      <c r="J128" s="2" t="s">
        <v>840</v>
      </c>
      <c r="K128" s="2" t="s">
        <v>855</v>
      </c>
      <c r="L128" s="3">
        <v>19.8</v>
      </c>
      <c r="M128" s="3">
        <v>20.79</v>
      </c>
      <c r="N128" s="3">
        <v>44.99</v>
      </c>
      <c r="O128" s="2" t="s">
        <v>97</v>
      </c>
      <c r="P128" s="2" t="s">
        <v>126</v>
      </c>
      <c r="Q128" s="2" t="s">
        <v>99</v>
      </c>
      <c r="R128" s="2" t="s">
        <v>100</v>
      </c>
      <c r="S128" s="2" t="s">
        <v>856</v>
      </c>
      <c r="T128" s="2" t="s">
        <v>100</v>
      </c>
      <c r="U128" s="2" t="s">
        <v>196</v>
      </c>
      <c r="V128" s="2" t="s">
        <v>221</v>
      </c>
      <c r="W128" s="2" t="s">
        <v>222</v>
      </c>
      <c r="X128" s="2" t="s">
        <v>388</v>
      </c>
      <c r="Y128" s="2" t="s">
        <v>857</v>
      </c>
      <c r="Z128" s="4">
        <v>3</v>
      </c>
      <c r="AA128" s="4">
        <f>=ROUNDDOWN(0.333333333333333,0)</f>
      </c>
      <c r="AB128" s="5">
        <v>9</v>
      </c>
      <c r="AC128" s="2" t="s">
        <v>253</v>
      </c>
      <c r="AD128" s="4">
        <v>200</v>
      </c>
      <c r="AE128" s="4">
        <v>440</v>
      </c>
      <c r="AF128" s="6">
        <v>66</v>
      </c>
      <c r="AG128" s="6"/>
      <c r="AH128" s="7">
        <v>0.3509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2</v>
      </c>
      <c r="AQ128" s="8">
        <v>41.58</v>
      </c>
      <c r="AR128" s="4"/>
      <c r="AS128" s="8"/>
      <c r="AT128" s="7"/>
      <c r="AU128" s="7"/>
      <c r="AV128" s="4">
        <v>2</v>
      </c>
      <c r="AW128" s="8">
        <v>41.58</v>
      </c>
      <c r="AX128" s="4"/>
      <c r="AY128" s="8"/>
      <c r="AZ128" s="7"/>
      <c r="BA128" s="7"/>
      <c r="BB128" s="7">
        <v>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0.2857</v>
      </c>
      <c r="BJ128" s="4">
        <v>60</v>
      </c>
      <c r="BK128" s="8">
        <v>1356.69</v>
      </c>
      <c r="BL128" s="2" t="s">
        <v>858</v>
      </c>
      <c r="BM128" s="7">
        <v>0.0333</v>
      </c>
      <c r="BN128" s="7">
        <v>0.0306</v>
      </c>
      <c r="BO128" s="4">
        <v>2</v>
      </c>
      <c r="BP128" s="8">
        <v>41.58</v>
      </c>
      <c r="BQ128" s="4"/>
      <c r="BR128" s="8"/>
      <c r="BS128" s="7"/>
      <c r="BT128" s="7"/>
      <c r="BU128" s="2" t="s">
        <v>106</v>
      </c>
      <c r="BV128" s="2" t="s">
        <v>97</v>
      </c>
      <c r="BW128" s="2" t="s">
        <v>225</v>
      </c>
      <c r="BX128" s="2" t="s">
        <v>859</v>
      </c>
      <c r="BY128" s="2" t="s">
        <v>109</v>
      </c>
      <c r="BZ128" s="2" t="s">
        <v>110</v>
      </c>
    </row>
    <row r="129">
      <c r="A129" s="2" t="s">
        <v>860</v>
      </c>
      <c r="B129" s="2" t="s">
        <v>87</v>
      </c>
      <c r="C129" s="2" t="s">
        <v>835</v>
      </c>
      <c r="D129" s="2" t="s">
        <v>89</v>
      </c>
      <c r="E129" s="2" t="s">
        <v>90</v>
      </c>
      <c r="F129" s="2" t="s">
        <v>861</v>
      </c>
      <c r="G129" s="2" t="s">
        <v>862</v>
      </c>
      <c r="H129" s="2" t="s">
        <v>863</v>
      </c>
      <c r="I129" s="2" t="s">
        <v>864</v>
      </c>
      <c r="J129" s="2" t="s">
        <v>95</v>
      </c>
      <c r="K129" s="2" t="s">
        <v>320</v>
      </c>
      <c r="L129" s="3">
        <v>19.3</v>
      </c>
      <c r="M129" s="3">
        <v>20.27</v>
      </c>
      <c r="N129" s="3">
        <v>39.99</v>
      </c>
      <c r="O129" s="2" t="s">
        <v>97</v>
      </c>
      <c r="P129" s="2" t="s">
        <v>134</v>
      </c>
      <c r="Q129" s="2" t="s">
        <v>99</v>
      </c>
      <c r="R129" s="2" t="s">
        <v>100</v>
      </c>
      <c r="S129" s="2" t="s">
        <v>865</v>
      </c>
      <c r="T129" s="2" t="s">
        <v>220</v>
      </c>
      <c r="U129" s="2" t="s">
        <v>196</v>
      </c>
      <c r="V129" s="2" t="s">
        <v>102</v>
      </c>
      <c r="W129" s="2" t="s">
        <v>388</v>
      </c>
      <c r="X129" s="2" t="s">
        <v>866</v>
      </c>
      <c r="Y129" s="2" t="s">
        <v>395</v>
      </c>
      <c r="Z129" s="4"/>
      <c r="AA129" s="4">
        <f>=ROUNDDOWN({0},0)</f>
      </c>
      <c r="AB129" s="5">
        <v>4.8</v>
      </c>
      <c r="AC129" s="2" t="s">
        <v>100</v>
      </c>
      <c r="AD129" s="4"/>
      <c r="AE129" s="4"/>
      <c r="AF129" s="6">
        <v>65</v>
      </c>
      <c r="AG129" s="6"/>
      <c r="AH129" s="7">
        <v>0.7895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66</v>
      </c>
      <c r="BK129" s="8">
        <v>1425.23</v>
      </c>
      <c r="BL129" s="2" t="s">
        <v>867</v>
      </c>
      <c r="BM129" s="7"/>
      <c r="BN129" s="7"/>
      <c r="BO129" s="4"/>
      <c r="BP129" s="8"/>
      <c r="BQ129" s="4"/>
      <c r="BR129" s="8"/>
      <c r="BS129" s="7"/>
      <c r="BT129" s="7"/>
      <c r="BU129" s="2" t="s">
        <v>200</v>
      </c>
      <c r="BV129" s="2" t="s">
        <v>97</v>
      </c>
      <c r="BW129" s="2" t="s">
        <v>100</v>
      </c>
      <c r="BX129" s="2" t="s">
        <v>100</v>
      </c>
      <c r="BY129" s="2" t="s">
        <v>109</v>
      </c>
      <c r="BZ129" s="2" t="s">
        <v>110</v>
      </c>
    </row>
    <row r="130">
      <c r="A130" s="2" t="s">
        <v>868</v>
      </c>
      <c r="B130" s="2" t="s">
        <v>87</v>
      </c>
      <c r="C130" s="2" t="s">
        <v>869</v>
      </c>
      <c r="D130" s="2" t="s">
        <v>549</v>
      </c>
      <c r="E130" s="2" t="s">
        <v>550</v>
      </c>
      <c r="F130" s="2" t="s">
        <v>870</v>
      </c>
      <c r="G130" s="2" t="s">
        <v>870</v>
      </c>
      <c r="H130" s="2" t="s">
        <v>870</v>
      </c>
      <c r="I130" s="2" t="s">
        <v>550</v>
      </c>
      <c r="J130" s="2" t="s">
        <v>555</v>
      </c>
      <c r="K130" s="2" t="s">
        <v>243</v>
      </c>
      <c r="L130" s="3">
        <v>21.6</v>
      </c>
      <c r="M130" s="3">
        <v>22.68</v>
      </c>
      <c r="N130" s="3">
        <v>44.99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871</v>
      </c>
      <c r="T130" s="2" t="s">
        <v>100</v>
      </c>
      <c r="U130" s="2" t="s">
        <v>100</v>
      </c>
      <c r="V130" s="2" t="s">
        <v>221</v>
      </c>
      <c r="W130" s="2" t="s">
        <v>872</v>
      </c>
      <c r="X130" s="2" t="s">
        <v>100</v>
      </c>
      <c r="Y130" s="2" t="s">
        <v>104</v>
      </c>
      <c r="Z130" s="4">
        <v>1127</v>
      </c>
      <c r="AA130" s="4">
        <f>=ROUNDDOWN(28.8974358974359,0)</f>
      </c>
      <c r="AB130" s="5">
        <v>39</v>
      </c>
      <c r="AC130" s="2" t="s">
        <v>349</v>
      </c>
      <c r="AD130" s="4">
        <v>210</v>
      </c>
      <c r="AE130" s="4">
        <v>960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3</v>
      </c>
      <c r="AQ130" s="8">
        <v>69.3</v>
      </c>
      <c r="AR130" s="4"/>
      <c r="AS130" s="8"/>
      <c r="AT130" s="7"/>
      <c r="AU130" s="7"/>
      <c r="AV130" s="4">
        <v>6</v>
      </c>
      <c r="AW130" s="8">
        <v>112.59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0.6155</v>
      </c>
      <c r="BC130" s="4">
        <v>11</v>
      </c>
      <c r="BD130" s="8">
        <v>202.08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0.5572</v>
      </c>
      <c r="BJ130" s="4">
        <v>730</v>
      </c>
      <c r="BK130" s="8">
        <v>16977.91</v>
      </c>
      <c r="BL130" s="2" t="s">
        <v>873</v>
      </c>
      <c r="BM130" s="7">
        <v>0.0041</v>
      </c>
      <c r="BN130" s="7">
        <v>0.0041</v>
      </c>
      <c r="BO130" s="4">
        <v>3</v>
      </c>
      <c r="BP130" s="8">
        <v>69.3</v>
      </c>
      <c r="BQ130" s="4"/>
      <c r="BR130" s="8"/>
      <c r="BS130" s="7"/>
      <c r="BT130" s="7"/>
      <c r="BU130" s="2" t="s">
        <v>106</v>
      </c>
      <c r="BV130" s="2" t="s">
        <v>97</v>
      </c>
      <c r="BW130" s="2" t="s">
        <v>561</v>
      </c>
      <c r="BX130" s="2" t="s">
        <v>874</v>
      </c>
      <c r="BY130" s="2" t="s">
        <v>109</v>
      </c>
      <c r="BZ130" s="2" t="s">
        <v>100</v>
      </c>
    </row>
    <row r="131">
      <c r="A131" s="2" t="s">
        <v>875</v>
      </c>
      <c r="B131" s="2" t="s">
        <v>87</v>
      </c>
      <c r="C131" s="2" t="s">
        <v>869</v>
      </c>
      <c r="D131" s="2" t="s">
        <v>549</v>
      </c>
      <c r="E131" s="2" t="s">
        <v>550</v>
      </c>
      <c r="F131" s="2" t="s">
        <v>870</v>
      </c>
      <c r="G131" s="2" t="s">
        <v>870</v>
      </c>
      <c r="H131" s="2" t="s">
        <v>870</v>
      </c>
      <c r="I131" s="2" t="s">
        <v>550</v>
      </c>
      <c r="J131" s="2" t="s">
        <v>876</v>
      </c>
      <c r="K131" s="2" t="s">
        <v>243</v>
      </c>
      <c r="L131" s="3">
        <v>13.8</v>
      </c>
      <c r="M131" s="3">
        <v>14.49</v>
      </c>
      <c r="N131" s="3">
        <v>29.99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871</v>
      </c>
      <c r="T131" s="2" t="s">
        <v>100</v>
      </c>
      <c r="U131" s="2" t="s">
        <v>100</v>
      </c>
      <c r="V131" s="2" t="s">
        <v>221</v>
      </c>
      <c r="W131" s="2" t="s">
        <v>872</v>
      </c>
      <c r="X131" s="2" t="s">
        <v>100</v>
      </c>
      <c r="Y131" s="2" t="s">
        <v>104</v>
      </c>
      <c r="Z131" s="4">
        <v>909</v>
      </c>
      <c r="AA131" s="4">
        <f>=ROUNDDOWN(22.1707317073171,0)</f>
      </c>
      <c r="AB131" s="5">
        <v>41</v>
      </c>
      <c r="AC131" s="2" t="s">
        <v>349</v>
      </c>
      <c r="AD131" s="4">
        <v>170</v>
      </c>
      <c r="AE131" s="4">
        <v>1090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3</v>
      </c>
      <c r="AQ131" s="8">
        <v>43.29</v>
      </c>
      <c r="AR131" s="4"/>
      <c r="AS131" s="8"/>
      <c r="AT131" s="7"/>
      <c r="AU131" s="7"/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>
        <v>0.3845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 t="s">
        <v>100</v>
      </c>
      <c r="BJ131" s="4">
        <v>695</v>
      </c>
      <c r="BK131" s="8">
        <v>10399.44</v>
      </c>
      <c r="BL131" s="2" t="s">
        <v>877</v>
      </c>
      <c r="BM131" s="7">
        <v>0.0043</v>
      </c>
      <c r="BN131" s="7">
        <v>0.0042</v>
      </c>
      <c r="BO131" s="4">
        <v>3</v>
      </c>
      <c r="BP131" s="8">
        <v>43.29</v>
      </c>
      <c r="BQ131" s="4"/>
      <c r="BR131" s="8"/>
      <c r="BS131" s="7"/>
      <c r="BT131" s="7"/>
      <c r="BU131" s="2" t="s">
        <v>106</v>
      </c>
      <c r="BV131" s="2" t="s">
        <v>97</v>
      </c>
      <c r="BW131" s="2" t="s">
        <v>561</v>
      </c>
      <c r="BX131" s="2" t="s">
        <v>878</v>
      </c>
      <c r="BY131" s="2" t="s">
        <v>109</v>
      </c>
      <c r="BZ131" s="2" t="s">
        <v>100</v>
      </c>
    </row>
    <row r="132">
      <c r="A132" s="2" t="s">
        <v>879</v>
      </c>
      <c r="B132" s="2" t="s">
        <v>87</v>
      </c>
      <c r="C132" s="2" t="s">
        <v>869</v>
      </c>
      <c r="D132" s="2" t="s">
        <v>549</v>
      </c>
      <c r="E132" s="2" t="s">
        <v>550</v>
      </c>
      <c r="F132" s="2" t="s">
        <v>870</v>
      </c>
      <c r="G132" s="2" t="s">
        <v>870</v>
      </c>
      <c r="H132" s="2" t="s">
        <v>870</v>
      </c>
      <c r="I132" s="2" t="s">
        <v>550</v>
      </c>
      <c r="J132" s="2" t="s">
        <v>570</v>
      </c>
      <c r="K132" s="2" t="s">
        <v>260</v>
      </c>
      <c r="L132" s="3">
        <v>13.8</v>
      </c>
      <c r="M132" s="3">
        <v>14.49</v>
      </c>
      <c r="N132" s="3">
        <v>29.99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880</v>
      </c>
      <c r="T132" s="2" t="s">
        <v>100</v>
      </c>
      <c r="U132" s="2" t="s">
        <v>196</v>
      </c>
      <c r="V132" s="2" t="s">
        <v>221</v>
      </c>
      <c r="W132" s="2" t="s">
        <v>536</v>
      </c>
      <c r="X132" s="2" t="s">
        <v>100</v>
      </c>
      <c r="Y132" s="2" t="s">
        <v>881</v>
      </c>
      <c r="Z132" s="4">
        <v>1049</v>
      </c>
      <c r="AA132" s="4">
        <f>=ROUNDDOWN(17.1967213114754,0)</f>
      </c>
      <c r="AB132" s="5">
        <v>61</v>
      </c>
      <c r="AC132" s="2" t="s">
        <v>349</v>
      </c>
      <c r="AD132" s="4">
        <v>60</v>
      </c>
      <c r="AE132" s="4">
        <v>1870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3</v>
      </c>
      <c r="AQ132" s="8">
        <v>43.29</v>
      </c>
      <c r="AR132" s="4"/>
      <c r="AS132" s="8"/>
      <c r="AT132" s="7"/>
      <c r="AU132" s="7"/>
      <c r="AV132" s="4">
        <v>5</v>
      </c>
      <c r="AW132" s="8">
        <v>89.49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>
        <v>0.4837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0.4428</v>
      </c>
      <c r="BJ132" s="4">
        <v>1029</v>
      </c>
      <c r="BK132" s="8">
        <v>15579.56</v>
      </c>
      <c r="BL132" s="2" t="s">
        <v>882</v>
      </c>
      <c r="BM132" s="7">
        <v>0.0029</v>
      </c>
      <c r="BN132" s="7">
        <v>0.0028</v>
      </c>
      <c r="BO132" s="4">
        <v>3</v>
      </c>
      <c r="BP132" s="8">
        <v>43.29</v>
      </c>
      <c r="BQ132" s="4"/>
      <c r="BR132" s="8"/>
      <c r="BS132" s="7"/>
      <c r="BT132" s="7"/>
      <c r="BU132" s="2" t="s">
        <v>106</v>
      </c>
      <c r="BV132" s="2" t="s">
        <v>97</v>
      </c>
      <c r="BW132" s="2" t="s">
        <v>574</v>
      </c>
      <c r="BX132" s="2" t="s">
        <v>883</v>
      </c>
      <c r="BY132" s="2" t="s">
        <v>109</v>
      </c>
      <c r="BZ132" s="2" t="s">
        <v>100</v>
      </c>
    </row>
    <row r="133">
      <c r="A133" s="2" t="s">
        <v>884</v>
      </c>
      <c r="B133" s="2" t="s">
        <v>87</v>
      </c>
      <c r="C133" s="2" t="s">
        <v>869</v>
      </c>
      <c r="D133" s="2" t="s">
        <v>549</v>
      </c>
      <c r="E133" s="2" t="s">
        <v>550</v>
      </c>
      <c r="F133" s="2" t="s">
        <v>870</v>
      </c>
      <c r="G133" s="2" t="s">
        <v>870</v>
      </c>
      <c r="H133" s="2" t="s">
        <v>870</v>
      </c>
      <c r="I133" s="2" t="s">
        <v>550</v>
      </c>
      <c r="J133" s="2" t="s">
        <v>555</v>
      </c>
      <c r="K133" s="2" t="s">
        <v>260</v>
      </c>
      <c r="L133" s="3">
        <v>21.6</v>
      </c>
      <c r="M133" s="3">
        <v>22.68</v>
      </c>
      <c r="N133" s="3">
        <v>44.99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880</v>
      </c>
      <c r="T133" s="2" t="s">
        <v>100</v>
      </c>
      <c r="U133" s="2" t="s">
        <v>196</v>
      </c>
      <c r="V133" s="2" t="s">
        <v>221</v>
      </c>
      <c r="W133" s="2" t="s">
        <v>536</v>
      </c>
      <c r="X133" s="2" t="s">
        <v>100</v>
      </c>
      <c r="Y133" s="2" t="s">
        <v>881</v>
      </c>
      <c r="Z133" s="4">
        <v>730</v>
      </c>
      <c r="AA133" s="4">
        <f>=ROUNDDOWN(13.2727272727273,0)</f>
      </c>
      <c r="AB133" s="5">
        <v>55</v>
      </c>
      <c r="AC133" s="2" t="s">
        <v>349</v>
      </c>
      <c r="AD133" s="4">
        <v>160</v>
      </c>
      <c r="AE133" s="4">
        <v>1860</v>
      </c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2</v>
      </c>
      <c r="AQ133" s="8">
        <v>46.2</v>
      </c>
      <c r="AR133" s="4"/>
      <c r="AS133" s="8"/>
      <c r="AT133" s="7"/>
      <c r="AU133" s="7"/>
      <c r="AV133" s="4" t="s">
        <v>100</v>
      </c>
      <c r="AW133" s="8" t="s">
        <v>100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0.5163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 t="s">
        <v>100</v>
      </c>
      <c r="BJ133" s="4">
        <v>866</v>
      </c>
      <c r="BK133" s="8">
        <v>20373.35</v>
      </c>
      <c r="BL133" s="2" t="s">
        <v>566</v>
      </c>
      <c r="BM133" s="7">
        <v>0.0023</v>
      </c>
      <c r="BN133" s="7">
        <v>0.0023</v>
      </c>
      <c r="BO133" s="4">
        <v>2</v>
      </c>
      <c r="BP133" s="8">
        <v>46.2</v>
      </c>
      <c r="BQ133" s="4"/>
      <c r="BR133" s="8"/>
      <c r="BS133" s="7"/>
      <c r="BT133" s="7"/>
      <c r="BU133" s="2" t="s">
        <v>106</v>
      </c>
      <c r="BV133" s="2" t="s">
        <v>97</v>
      </c>
      <c r="BW133" s="2" t="s">
        <v>574</v>
      </c>
      <c r="BX133" s="2" t="s">
        <v>883</v>
      </c>
      <c r="BY133" s="2" t="s">
        <v>109</v>
      </c>
      <c r="BZ133" s="2" t="s">
        <v>100</v>
      </c>
    </row>
    <row r="134">
      <c r="A134" s="2" t="s">
        <v>885</v>
      </c>
      <c r="B134" s="2" t="s">
        <v>87</v>
      </c>
      <c r="C134" s="2" t="s">
        <v>869</v>
      </c>
      <c r="D134" s="2" t="s">
        <v>549</v>
      </c>
      <c r="E134" s="2" t="s">
        <v>550</v>
      </c>
      <c r="F134" s="2" t="s">
        <v>870</v>
      </c>
      <c r="G134" s="2" t="s">
        <v>870</v>
      </c>
      <c r="H134" s="2" t="s">
        <v>870</v>
      </c>
      <c r="I134" s="2" t="s">
        <v>550</v>
      </c>
      <c r="J134" s="2" t="s">
        <v>565</v>
      </c>
      <c r="K134" s="2" t="s">
        <v>260</v>
      </c>
      <c r="L134" s="3">
        <v>31.2</v>
      </c>
      <c r="M134" s="3">
        <v>32.76</v>
      </c>
      <c r="N134" s="3">
        <v>64.99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880</v>
      </c>
      <c r="T134" s="2" t="s">
        <v>100</v>
      </c>
      <c r="U134" s="2" t="s">
        <v>196</v>
      </c>
      <c r="V134" s="2" t="s">
        <v>221</v>
      </c>
      <c r="W134" s="2" t="s">
        <v>536</v>
      </c>
      <c r="X134" s="2" t="s">
        <v>100</v>
      </c>
      <c r="Y134" s="2" t="s">
        <v>881</v>
      </c>
      <c r="Z134" s="4">
        <v>428</v>
      </c>
      <c r="AA134" s="4">
        <f>=ROUNDDOWN(11.2631578947368,0)</f>
      </c>
      <c r="AB134" s="5">
        <v>38</v>
      </c>
      <c r="AC134" s="2" t="s">
        <v>349</v>
      </c>
      <c r="AD134" s="4">
        <v>120</v>
      </c>
      <c r="AE134" s="4">
        <v>1250</v>
      </c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634</v>
      </c>
      <c r="BK134" s="8">
        <v>22035.2</v>
      </c>
      <c r="BL134" s="2" t="s">
        <v>886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97</v>
      </c>
      <c r="BW134" s="2" t="s">
        <v>574</v>
      </c>
      <c r="BX134" s="2" t="s">
        <v>883</v>
      </c>
      <c r="BY134" s="2" t="s">
        <v>109</v>
      </c>
      <c r="BZ134" s="2" t="s">
        <v>100</v>
      </c>
    </row>
    <row r="135">
      <c r="A135" s="2" t="s">
        <v>887</v>
      </c>
      <c r="B135" s="2" t="s">
        <v>87</v>
      </c>
      <c r="C135" s="2" t="s">
        <v>869</v>
      </c>
      <c r="D135" s="2" t="s">
        <v>549</v>
      </c>
      <c r="E135" s="2" t="s">
        <v>550</v>
      </c>
      <c r="F135" s="2" t="s">
        <v>870</v>
      </c>
      <c r="G135" s="2" t="s">
        <v>870</v>
      </c>
      <c r="H135" s="2" t="s">
        <v>870</v>
      </c>
      <c r="I135" s="2" t="s">
        <v>550</v>
      </c>
      <c r="J135" s="2" t="s">
        <v>876</v>
      </c>
      <c r="K135" s="2" t="s">
        <v>260</v>
      </c>
      <c r="L135" s="3">
        <v>13.8</v>
      </c>
      <c r="M135" s="3">
        <v>14.49</v>
      </c>
      <c r="N135" s="3">
        <v>29.99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880</v>
      </c>
      <c r="T135" s="2" t="s">
        <v>100</v>
      </c>
      <c r="U135" s="2" t="s">
        <v>196</v>
      </c>
      <c r="V135" s="2" t="s">
        <v>221</v>
      </c>
      <c r="W135" s="2" t="s">
        <v>536</v>
      </c>
      <c r="X135" s="2" t="s">
        <v>100</v>
      </c>
      <c r="Y135" s="2" t="s">
        <v>881</v>
      </c>
      <c r="Z135" s="4">
        <v>586</v>
      </c>
      <c r="AA135" s="4">
        <f>=ROUNDDOWN(12.2083333333333,0)</f>
      </c>
      <c r="AB135" s="5">
        <v>48</v>
      </c>
      <c r="AC135" s="2" t="s">
        <v>349</v>
      </c>
      <c r="AD135" s="4">
        <v>150</v>
      </c>
      <c r="AE135" s="4">
        <v>1550</v>
      </c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 t="s">
        <v>100</v>
      </c>
      <c r="BJ135" s="4">
        <v>768</v>
      </c>
      <c r="BK135" s="8">
        <v>11616.85</v>
      </c>
      <c r="BL135" s="2" t="s">
        <v>888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97</v>
      </c>
      <c r="BW135" s="2" t="s">
        <v>574</v>
      </c>
      <c r="BX135" s="2" t="s">
        <v>889</v>
      </c>
      <c r="BY135" s="2" t="s">
        <v>109</v>
      </c>
      <c r="BZ135" s="2" t="s">
        <v>110</v>
      </c>
    </row>
    <row r="136">
      <c r="A136" s="2" t="s">
        <v>890</v>
      </c>
      <c r="B136" s="2" t="s">
        <v>87</v>
      </c>
      <c r="C136" s="2" t="s">
        <v>869</v>
      </c>
      <c r="D136" s="2" t="s">
        <v>549</v>
      </c>
      <c r="E136" s="2" t="s">
        <v>550</v>
      </c>
      <c r="F136" s="2" t="s">
        <v>870</v>
      </c>
      <c r="G136" s="2" t="s">
        <v>870</v>
      </c>
      <c r="H136" s="2" t="s">
        <v>870</v>
      </c>
      <c r="I136" s="2" t="s">
        <v>550</v>
      </c>
      <c r="J136" s="2" t="s">
        <v>570</v>
      </c>
      <c r="K136" s="2" t="s">
        <v>133</v>
      </c>
      <c r="L136" s="3">
        <v>13.8</v>
      </c>
      <c r="M136" s="3">
        <v>14.49</v>
      </c>
      <c r="N136" s="3">
        <v>29.99</v>
      </c>
      <c r="O136" s="2" t="s">
        <v>97</v>
      </c>
      <c r="P136" s="2" t="s">
        <v>113</v>
      </c>
      <c r="Q136" s="2" t="s">
        <v>99</v>
      </c>
      <c r="R136" s="2" t="s">
        <v>100</v>
      </c>
      <c r="S136" s="2" t="s">
        <v>891</v>
      </c>
      <c r="T136" s="2" t="s">
        <v>100</v>
      </c>
      <c r="U136" s="2" t="s">
        <v>196</v>
      </c>
      <c r="V136" s="2" t="s">
        <v>221</v>
      </c>
      <c r="W136" s="2" t="s">
        <v>536</v>
      </c>
      <c r="X136" s="2" t="s">
        <v>100</v>
      </c>
      <c r="Y136" s="2" t="s">
        <v>892</v>
      </c>
      <c r="Z136" s="4">
        <v>751</v>
      </c>
      <c r="AA136" s="4">
        <f>=ROUNDDOWN(22.7575757575758,0)</f>
      </c>
      <c r="AB136" s="5">
        <v>33</v>
      </c>
      <c r="AC136" s="2" t="s">
        <v>349</v>
      </c>
      <c r="AD136" s="4">
        <v>110</v>
      </c>
      <c r="AE136" s="4">
        <v>840</v>
      </c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>
        <v>586</v>
      </c>
      <c r="BK136" s="8">
        <v>8902.13</v>
      </c>
      <c r="BL136" s="2" t="s">
        <v>893</v>
      </c>
      <c r="BM136" s="7"/>
      <c r="BN136" s="7"/>
      <c r="BO136" s="4"/>
      <c r="BP136" s="8"/>
      <c r="BQ136" s="4"/>
      <c r="BR136" s="8"/>
      <c r="BS136" s="7"/>
      <c r="BT136" s="7"/>
      <c r="BU136" s="2" t="s">
        <v>200</v>
      </c>
      <c r="BV136" s="2" t="s">
        <v>97</v>
      </c>
      <c r="BW136" s="2" t="s">
        <v>100</v>
      </c>
      <c r="BX136" s="2" t="s">
        <v>100</v>
      </c>
      <c r="BY136" s="2" t="s">
        <v>109</v>
      </c>
      <c r="BZ136" s="2" t="s">
        <v>110</v>
      </c>
    </row>
    <row r="137">
      <c r="A137" s="2" t="s">
        <v>894</v>
      </c>
      <c r="B137" s="2" t="s">
        <v>87</v>
      </c>
      <c r="C137" s="2" t="s">
        <v>869</v>
      </c>
      <c r="D137" s="2" t="s">
        <v>549</v>
      </c>
      <c r="E137" s="2" t="s">
        <v>550</v>
      </c>
      <c r="F137" s="2" t="s">
        <v>870</v>
      </c>
      <c r="G137" s="2" t="s">
        <v>870</v>
      </c>
      <c r="H137" s="2" t="s">
        <v>870</v>
      </c>
      <c r="I137" s="2" t="s">
        <v>550</v>
      </c>
      <c r="J137" s="2" t="s">
        <v>555</v>
      </c>
      <c r="K137" s="2" t="s">
        <v>133</v>
      </c>
      <c r="L137" s="3">
        <v>21.6</v>
      </c>
      <c r="M137" s="3">
        <v>22.68</v>
      </c>
      <c r="N137" s="3">
        <v>44.99</v>
      </c>
      <c r="O137" s="2" t="s">
        <v>97</v>
      </c>
      <c r="P137" s="2" t="s">
        <v>113</v>
      </c>
      <c r="Q137" s="2" t="s">
        <v>99</v>
      </c>
      <c r="R137" s="2" t="s">
        <v>100</v>
      </c>
      <c r="S137" s="2" t="s">
        <v>891</v>
      </c>
      <c r="T137" s="2" t="s">
        <v>100</v>
      </c>
      <c r="U137" s="2" t="s">
        <v>196</v>
      </c>
      <c r="V137" s="2" t="s">
        <v>221</v>
      </c>
      <c r="W137" s="2" t="s">
        <v>536</v>
      </c>
      <c r="X137" s="2" t="s">
        <v>100</v>
      </c>
      <c r="Y137" s="2" t="s">
        <v>892</v>
      </c>
      <c r="Z137" s="4">
        <v>669</v>
      </c>
      <c r="AA137" s="4">
        <f>=ROUNDDOWN(27.875,0)</f>
      </c>
      <c r="AB137" s="5">
        <v>24</v>
      </c>
      <c r="AC137" s="2" t="s">
        <v>349</v>
      </c>
      <c r="AD137" s="4">
        <v>140</v>
      </c>
      <c r="AE137" s="4">
        <v>700</v>
      </c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 t="s">
        <v>100</v>
      </c>
      <c r="BJ137" s="4">
        <v>412</v>
      </c>
      <c r="BK137" s="8">
        <v>9659.01</v>
      </c>
      <c r="BL137" s="2" t="s">
        <v>895</v>
      </c>
      <c r="BM137" s="7"/>
      <c r="BN137" s="7"/>
      <c r="BO137" s="4"/>
      <c r="BP137" s="8"/>
      <c r="BQ137" s="4"/>
      <c r="BR137" s="8"/>
      <c r="BS137" s="7"/>
      <c r="BT137" s="7"/>
      <c r="BU137" s="2" t="s">
        <v>200</v>
      </c>
      <c r="BV137" s="2" t="s">
        <v>97</v>
      </c>
      <c r="BW137" s="2" t="s">
        <v>100</v>
      </c>
      <c r="BX137" s="2" t="s">
        <v>100</v>
      </c>
      <c r="BY137" s="2" t="s">
        <v>109</v>
      </c>
      <c r="BZ137" s="2" t="s">
        <v>100</v>
      </c>
    </row>
    <row r="138">
      <c r="A138" s="2" t="s">
        <v>896</v>
      </c>
      <c r="B138" s="2" t="s">
        <v>87</v>
      </c>
      <c r="C138" s="2" t="s">
        <v>869</v>
      </c>
      <c r="D138" s="2" t="s">
        <v>549</v>
      </c>
      <c r="E138" s="2" t="s">
        <v>550</v>
      </c>
      <c r="F138" s="2" t="s">
        <v>870</v>
      </c>
      <c r="G138" s="2" t="s">
        <v>870</v>
      </c>
      <c r="H138" s="2" t="s">
        <v>870</v>
      </c>
      <c r="I138" s="2" t="s">
        <v>550</v>
      </c>
      <c r="J138" s="2" t="s">
        <v>565</v>
      </c>
      <c r="K138" s="2" t="s">
        <v>133</v>
      </c>
      <c r="L138" s="3">
        <v>31.2</v>
      </c>
      <c r="M138" s="3">
        <v>32.76</v>
      </c>
      <c r="N138" s="3">
        <v>64.99</v>
      </c>
      <c r="O138" s="2" t="s">
        <v>97</v>
      </c>
      <c r="P138" s="2" t="s">
        <v>113</v>
      </c>
      <c r="Q138" s="2" t="s">
        <v>99</v>
      </c>
      <c r="R138" s="2" t="s">
        <v>100</v>
      </c>
      <c r="S138" s="2" t="s">
        <v>891</v>
      </c>
      <c r="T138" s="2" t="s">
        <v>100</v>
      </c>
      <c r="U138" s="2" t="s">
        <v>196</v>
      </c>
      <c r="V138" s="2" t="s">
        <v>221</v>
      </c>
      <c r="W138" s="2" t="s">
        <v>536</v>
      </c>
      <c r="X138" s="2" t="s">
        <v>100</v>
      </c>
      <c r="Y138" s="2" t="s">
        <v>892</v>
      </c>
      <c r="Z138" s="4">
        <v>429</v>
      </c>
      <c r="AA138" s="4">
        <f>=ROUNDDOWN(21.45,0)</f>
      </c>
      <c r="AB138" s="5">
        <v>20</v>
      </c>
      <c r="AC138" s="2" t="s">
        <v>349</v>
      </c>
      <c r="AD138" s="4">
        <v>80</v>
      </c>
      <c r="AE138" s="4">
        <v>370</v>
      </c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 t="s">
        <v>100</v>
      </c>
      <c r="BJ138" s="4">
        <v>316</v>
      </c>
      <c r="BK138" s="8">
        <v>10881.81</v>
      </c>
      <c r="BL138" s="2" t="s">
        <v>897</v>
      </c>
      <c r="BM138" s="7"/>
      <c r="BN138" s="7"/>
      <c r="BO138" s="4"/>
      <c r="BP138" s="8"/>
      <c r="BQ138" s="4"/>
      <c r="BR138" s="8"/>
      <c r="BS138" s="7"/>
      <c r="BT138" s="7"/>
      <c r="BU138" s="2" t="s">
        <v>200</v>
      </c>
      <c r="BV138" s="2" t="s">
        <v>97</v>
      </c>
      <c r="BW138" s="2" t="s">
        <v>100</v>
      </c>
      <c r="BX138" s="2" t="s">
        <v>100</v>
      </c>
      <c r="BY138" s="2" t="s">
        <v>109</v>
      </c>
      <c r="BZ138" s="2" t="s">
        <v>100</v>
      </c>
    </row>
    <row r="139">
      <c r="A139" s="2" t="s">
        <v>898</v>
      </c>
      <c r="B139" s="2" t="s">
        <v>87</v>
      </c>
      <c r="C139" s="2" t="s">
        <v>869</v>
      </c>
      <c r="D139" s="2" t="s">
        <v>549</v>
      </c>
      <c r="E139" s="2" t="s">
        <v>550</v>
      </c>
      <c r="F139" s="2" t="s">
        <v>870</v>
      </c>
      <c r="G139" s="2" t="s">
        <v>870</v>
      </c>
      <c r="H139" s="2" t="s">
        <v>870</v>
      </c>
      <c r="I139" s="2" t="s">
        <v>550</v>
      </c>
      <c r="J139" s="2" t="s">
        <v>876</v>
      </c>
      <c r="K139" s="2" t="s">
        <v>133</v>
      </c>
      <c r="L139" s="3">
        <v>13.8</v>
      </c>
      <c r="M139" s="3">
        <v>14.49</v>
      </c>
      <c r="N139" s="3">
        <v>29.99</v>
      </c>
      <c r="O139" s="2" t="s">
        <v>97</v>
      </c>
      <c r="P139" s="2" t="s">
        <v>113</v>
      </c>
      <c r="Q139" s="2" t="s">
        <v>99</v>
      </c>
      <c r="R139" s="2" t="s">
        <v>100</v>
      </c>
      <c r="S139" s="2" t="s">
        <v>891</v>
      </c>
      <c r="T139" s="2" t="s">
        <v>100</v>
      </c>
      <c r="U139" s="2" t="s">
        <v>196</v>
      </c>
      <c r="V139" s="2" t="s">
        <v>221</v>
      </c>
      <c r="W139" s="2" t="s">
        <v>536</v>
      </c>
      <c r="X139" s="2" t="s">
        <v>100</v>
      </c>
      <c r="Y139" s="2" t="s">
        <v>892</v>
      </c>
      <c r="Z139" s="4">
        <v>508</v>
      </c>
      <c r="AA139" s="4">
        <f>=ROUNDDOWN(18.1428571428571,0)</f>
      </c>
      <c r="AB139" s="5">
        <v>28</v>
      </c>
      <c r="AC139" s="2" t="s">
        <v>349</v>
      </c>
      <c r="AD139" s="4">
        <v>70</v>
      </c>
      <c r="AE139" s="4">
        <v>570</v>
      </c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100</v>
      </c>
      <c r="AW139" s="8" t="s">
        <v>100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/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 t="s">
        <v>100</v>
      </c>
      <c r="BJ139" s="4">
        <v>437</v>
      </c>
      <c r="BK139" s="8">
        <v>6613.62</v>
      </c>
      <c r="BL139" s="2" t="s">
        <v>899</v>
      </c>
      <c r="BM139" s="7"/>
      <c r="BN139" s="7"/>
      <c r="BO139" s="4"/>
      <c r="BP139" s="8"/>
      <c r="BQ139" s="4"/>
      <c r="BR139" s="8"/>
      <c r="BS139" s="7"/>
      <c r="BT139" s="7"/>
      <c r="BU139" s="2" t="s">
        <v>200</v>
      </c>
      <c r="BV139" s="2" t="s">
        <v>97</v>
      </c>
      <c r="BW139" s="2" t="s">
        <v>100</v>
      </c>
      <c r="BX139" s="2" t="s">
        <v>100</v>
      </c>
      <c r="BY139" s="2" t="s">
        <v>109</v>
      </c>
      <c r="BZ139" s="2" t="s">
        <v>110</v>
      </c>
    </row>
    <row r="140">
      <c r="A140" s="2" t="s">
        <v>900</v>
      </c>
      <c r="B140" s="2" t="s">
        <v>87</v>
      </c>
      <c r="C140" s="2" t="s">
        <v>869</v>
      </c>
      <c r="D140" s="2" t="s">
        <v>549</v>
      </c>
      <c r="E140" s="2" t="s">
        <v>550</v>
      </c>
      <c r="F140" s="2" t="s">
        <v>870</v>
      </c>
      <c r="G140" s="2" t="s">
        <v>870</v>
      </c>
      <c r="H140" s="2" t="s">
        <v>870</v>
      </c>
      <c r="I140" s="2" t="s">
        <v>550</v>
      </c>
      <c r="J140" s="2" t="s">
        <v>570</v>
      </c>
      <c r="K140" s="2" t="s">
        <v>267</v>
      </c>
      <c r="L140" s="3">
        <v>13.8</v>
      </c>
      <c r="M140" s="3">
        <v>14.49</v>
      </c>
      <c r="N140" s="3">
        <v>29.99</v>
      </c>
      <c r="O140" s="2" t="s">
        <v>97</v>
      </c>
      <c r="P140" s="2" t="s">
        <v>113</v>
      </c>
      <c r="Q140" s="2" t="s">
        <v>99</v>
      </c>
      <c r="R140" s="2" t="s">
        <v>100</v>
      </c>
      <c r="S140" s="2" t="s">
        <v>901</v>
      </c>
      <c r="T140" s="2" t="s">
        <v>100</v>
      </c>
      <c r="U140" s="2" t="s">
        <v>100</v>
      </c>
      <c r="V140" s="2" t="s">
        <v>221</v>
      </c>
      <c r="W140" s="2" t="s">
        <v>872</v>
      </c>
      <c r="X140" s="2" t="s">
        <v>100</v>
      </c>
      <c r="Y140" s="2" t="s">
        <v>104</v>
      </c>
      <c r="Z140" s="4">
        <v>599</v>
      </c>
      <c r="AA140" s="4">
        <f>=ROUNDDOWN(15.7631578947368,0)</f>
      </c>
      <c r="AB140" s="5">
        <v>38</v>
      </c>
      <c r="AC140" s="2" t="s">
        <v>349</v>
      </c>
      <c r="AD140" s="4">
        <v>90</v>
      </c>
      <c r="AE140" s="4">
        <v>1200</v>
      </c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/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592</v>
      </c>
      <c r="BK140" s="8">
        <v>8977.34</v>
      </c>
      <c r="BL140" s="2" t="s">
        <v>902</v>
      </c>
      <c r="BM140" s="7"/>
      <c r="BN140" s="7"/>
      <c r="BO140" s="4"/>
      <c r="BP140" s="8"/>
      <c r="BQ140" s="4"/>
      <c r="BR140" s="8"/>
      <c r="BS140" s="7"/>
      <c r="BT140" s="7"/>
      <c r="BU140" s="2" t="s">
        <v>106</v>
      </c>
      <c r="BV140" s="2" t="s">
        <v>97</v>
      </c>
      <c r="BW140" s="2" t="s">
        <v>561</v>
      </c>
      <c r="BX140" s="2" t="s">
        <v>903</v>
      </c>
      <c r="BY140" s="2" t="s">
        <v>109</v>
      </c>
      <c r="BZ140" s="2" t="s">
        <v>100</v>
      </c>
    </row>
    <row r="141">
      <c r="A141" s="2" t="s">
        <v>904</v>
      </c>
      <c r="B141" s="2" t="s">
        <v>87</v>
      </c>
      <c r="C141" s="2" t="s">
        <v>869</v>
      </c>
      <c r="D141" s="2" t="s">
        <v>549</v>
      </c>
      <c r="E141" s="2" t="s">
        <v>550</v>
      </c>
      <c r="F141" s="2" t="s">
        <v>870</v>
      </c>
      <c r="G141" s="2" t="s">
        <v>870</v>
      </c>
      <c r="H141" s="2" t="s">
        <v>870</v>
      </c>
      <c r="I141" s="2" t="s">
        <v>550</v>
      </c>
      <c r="J141" s="2" t="s">
        <v>555</v>
      </c>
      <c r="K141" s="2" t="s">
        <v>267</v>
      </c>
      <c r="L141" s="3">
        <v>21.6</v>
      </c>
      <c r="M141" s="3">
        <v>22.68</v>
      </c>
      <c r="N141" s="3">
        <v>44.99</v>
      </c>
      <c r="O141" s="2" t="s">
        <v>97</v>
      </c>
      <c r="P141" s="2" t="s">
        <v>113</v>
      </c>
      <c r="Q141" s="2" t="s">
        <v>99</v>
      </c>
      <c r="R141" s="2" t="s">
        <v>100</v>
      </c>
      <c r="S141" s="2" t="s">
        <v>901</v>
      </c>
      <c r="T141" s="2" t="s">
        <v>100</v>
      </c>
      <c r="U141" s="2" t="s">
        <v>100</v>
      </c>
      <c r="V141" s="2" t="s">
        <v>221</v>
      </c>
      <c r="W141" s="2" t="s">
        <v>872</v>
      </c>
      <c r="X141" s="2" t="s">
        <v>100</v>
      </c>
      <c r="Y141" s="2" t="s">
        <v>104</v>
      </c>
      <c r="Z141" s="4">
        <v>650</v>
      </c>
      <c r="AA141" s="4">
        <f>=ROUNDDOWN(19.1176470588235,0)</f>
      </c>
      <c r="AB141" s="5">
        <v>34</v>
      </c>
      <c r="AC141" s="2" t="s">
        <v>349</v>
      </c>
      <c r="AD141" s="4">
        <v>110</v>
      </c>
      <c r="AE141" s="4">
        <v>1030</v>
      </c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100</v>
      </c>
      <c r="AW141" s="8" t="s">
        <v>100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 t="s">
        <v>100</v>
      </c>
      <c r="BJ141" s="4">
        <v>553</v>
      </c>
      <c r="BK141" s="8">
        <v>12949.95</v>
      </c>
      <c r="BL141" s="2" t="s">
        <v>905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97</v>
      </c>
      <c r="BW141" s="2" t="s">
        <v>561</v>
      </c>
      <c r="BX141" s="2" t="s">
        <v>906</v>
      </c>
      <c r="BY141" s="2" t="s">
        <v>109</v>
      </c>
      <c r="BZ141" s="2" t="s">
        <v>100</v>
      </c>
    </row>
    <row r="142">
      <c r="A142" s="2" t="s">
        <v>907</v>
      </c>
      <c r="B142" s="2" t="s">
        <v>87</v>
      </c>
      <c r="C142" s="2" t="s">
        <v>869</v>
      </c>
      <c r="D142" s="2" t="s">
        <v>549</v>
      </c>
      <c r="E142" s="2" t="s">
        <v>550</v>
      </c>
      <c r="F142" s="2" t="s">
        <v>870</v>
      </c>
      <c r="G142" s="2" t="s">
        <v>870</v>
      </c>
      <c r="H142" s="2" t="s">
        <v>870</v>
      </c>
      <c r="I142" s="2" t="s">
        <v>550</v>
      </c>
      <c r="J142" s="2" t="s">
        <v>565</v>
      </c>
      <c r="K142" s="2" t="s">
        <v>267</v>
      </c>
      <c r="L142" s="3">
        <v>31.2</v>
      </c>
      <c r="M142" s="3">
        <v>32.76</v>
      </c>
      <c r="N142" s="3">
        <v>64.99</v>
      </c>
      <c r="O142" s="2" t="s">
        <v>97</v>
      </c>
      <c r="P142" s="2" t="s">
        <v>113</v>
      </c>
      <c r="Q142" s="2" t="s">
        <v>99</v>
      </c>
      <c r="R142" s="2" t="s">
        <v>100</v>
      </c>
      <c r="S142" s="2" t="s">
        <v>901</v>
      </c>
      <c r="T142" s="2" t="s">
        <v>100</v>
      </c>
      <c r="U142" s="2" t="s">
        <v>100</v>
      </c>
      <c r="V142" s="2" t="s">
        <v>221</v>
      </c>
      <c r="W142" s="2" t="s">
        <v>872</v>
      </c>
      <c r="X142" s="2" t="s">
        <v>100</v>
      </c>
      <c r="Y142" s="2" t="s">
        <v>104</v>
      </c>
      <c r="Z142" s="4">
        <v>477</v>
      </c>
      <c r="AA142" s="4">
        <f>=ROUNDDOWN(22.7142857142857,0)</f>
      </c>
      <c r="AB142" s="5">
        <v>21</v>
      </c>
      <c r="AC142" s="2" t="s">
        <v>908</v>
      </c>
      <c r="AD142" s="4">
        <v>40</v>
      </c>
      <c r="AE142" s="4">
        <v>510</v>
      </c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311</v>
      </c>
      <c r="BK142" s="8">
        <v>10880.55</v>
      </c>
      <c r="BL142" s="2" t="s">
        <v>909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97</v>
      </c>
      <c r="BW142" s="2" t="s">
        <v>561</v>
      </c>
      <c r="BX142" s="2" t="s">
        <v>910</v>
      </c>
      <c r="BY142" s="2" t="s">
        <v>109</v>
      </c>
      <c r="BZ142" s="2" t="s">
        <v>100</v>
      </c>
    </row>
    <row r="143">
      <c r="A143" s="2" t="s">
        <v>911</v>
      </c>
      <c r="B143" s="2" t="s">
        <v>87</v>
      </c>
      <c r="C143" s="2" t="s">
        <v>869</v>
      </c>
      <c r="D143" s="2" t="s">
        <v>549</v>
      </c>
      <c r="E143" s="2" t="s">
        <v>550</v>
      </c>
      <c r="F143" s="2" t="s">
        <v>870</v>
      </c>
      <c r="G143" s="2" t="s">
        <v>870</v>
      </c>
      <c r="H143" s="2" t="s">
        <v>870</v>
      </c>
      <c r="I143" s="2" t="s">
        <v>550</v>
      </c>
      <c r="J143" s="2" t="s">
        <v>876</v>
      </c>
      <c r="K143" s="2" t="s">
        <v>267</v>
      </c>
      <c r="L143" s="3">
        <v>13.8</v>
      </c>
      <c r="M143" s="3">
        <v>14.49</v>
      </c>
      <c r="N143" s="3">
        <v>29.99</v>
      </c>
      <c r="O143" s="2" t="s">
        <v>97</v>
      </c>
      <c r="P143" s="2" t="s">
        <v>113</v>
      </c>
      <c r="Q143" s="2" t="s">
        <v>99</v>
      </c>
      <c r="R143" s="2" t="s">
        <v>100</v>
      </c>
      <c r="S143" s="2" t="s">
        <v>901</v>
      </c>
      <c r="T143" s="2" t="s">
        <v>100</v>
      </c>
      <c r="U143" s="2" t="s">
        <v>100</v>
      </c>
      <c r="V143" s="2" t="s">
        <v>221</v>
      </c>
      <c r="W143" s="2" t="s">
        <v>872</v>
      </c>
      <c r="X143" s="2" t="s">
        <v>100</v>
      </c>
      <c r="Y143" s="2" t="s">
        <v>104</v>
      </c>
      <c r="Z143" s="4">
        <v>386</v>
      </c>
      <c r="AA143" s="4">
        <f>=ROUNDDOWN(13.7857142857143,0)</f>
      </c>
      <c r="AB143" s="5">
        <v>28</v>
      </c>
      <c r="AC143" s="2" t="s">
        <v>349</v>
      </c>
      <c r="AD143" s="4">
        <v>90</v>
      </c>
      <c r="AE143" s="4">
        <v>890</v>
      </c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 t="s">
        <v>100</v>
      </c>
      <c r="BJ143" s="4">
        <v>416</v>
      </c>
      <c r="BK143" s="8">
        <v>6261.58</v>
      </c>
      <c r="BL143" s="2" t="s">
        <v>912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97</v>
      </c>
      <c r="BW143" s="2" t="s">
        <v>561</v>
      </c>
      <c r="BX143" s="2" t="s">
        <v>913</v>
      </c>
      <c r="BY143" s="2" t="s">
        <v>109</v>
      </c>
      <c r="BZ143" s="2" t="s">
        <v>100</v>
      </c>
    </row>
    <row r="144">
      <c r="A144" s="2" t="s">
        <v>914</v>
      </c>
      <c r="B144" s="2" t="s">
        <v>87</v>
      </c>
      <c r="C144" s="2" t="s">
        <v>869</v>
      </c>
      <c r="D144" s="2" t="s">
        <v>549</v>
      </c>
      <c r="E144" s="2" t="s">
        <v>550</v>
      </c>
      <c r="F144" s="2" t="s">
        <v>870</v>
      </c>
      <c r="G144" s="2" t="s">
        <v>870</v>
      </c>
      <c r="H144" s="2" t="s">
        <v>870</v>
      </c>
      <c r="I144" s="2" t="s">
        <v>550</v>
      </c>
      <c r="J144" s="2" t="s">
        <v>570</v>
      </c>
      <c r="K144" s="2" t="s">
        <v>218</v>
      </c>
      <c r="L144" s="3">
        <v>13.8</v>
      </c>
      <c r="M144" s="3">
        <v>14.49</v>
      </c>
      <c r="N144" s="3">
        <v>29.99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915</v>
      </c>
      <c r="T144" s="2" t="s">
        <v>100</v>
      </c>
      <c r="U144" s="2" t="s">
        <v>100</v>
      </c>
      <c r="V144" s="2" t="s">
        <v>221</v>
      </c>
      <c r="W144" s="2" t="s">
        <v>872</v>
      </c>
      <c r="X144" s="2" t="s">
        <v>100</v>
      </c>
      <c r="Y144" s="2" t="s">
        <v>104</v>
      </c>
      <c r="Z144" s="4">
        <v>1470</v>
      </c>
      <c r="AA144" s="4">
        <f>=ROUNDDOWN(25.3448275862069,0)</f>
      </c>
      <c r="AB144" s="5">
        <v>58</v>
      </c>
      <c r="AC144" s="2" t="s">
        <v>349</v>
      </c>
      <c r="AD144" s="4">
        <v>350</v>
      </c>
      <c r="AE144" s="4">
        <v>1540</v>
      </c>
      <c r="AF144" s="6">
        <v>65</v>
      </c>
      <c r="AG144" s="6">
        <v>73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>
        <v>933</v>
      </c>
      <c r="BK144" s="8">
        <v>13819.2</v>
      </c>
      <c r="BL144" s="2" t="s">
        <v>916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97</v>
      </c>
      <c r="BW144" s="2" t="s">
        <v>561</v>
      </c>
      <c r="BX144" s="2" t="s">
        <v>917</v>
      </c>
      <c r="BY144" s="2" t="s">
        <v>109</v>
      </c>
      <c r="BZ144" s="2" t="s">
        <v>100</v>
      </c>
    </row>
    <row r="145">
      <c r="A145" s="2" t="s">
        <v>918</v>
      </c>
      <c r="B145" s="2" t="s">
        <v>87</v>
      </c>
      <c r="C145" s="2" t="s">
        <v>869</v>
      </c>
      <c r="D145" s="2" t="s">
        <v>549</v>
      </c>
      <c r="E145" s="2" t="s">
        <v>550</v>
      </c>
      <c r="F145" s="2" t="s">
        <v>870</v>
      </c>
      <c r="G145" s="2" t="s">
        <v>870</v>
      </c>
      <c r="H145" s="2" t="s">
        <v>870</v>
      </c>
      <c r="I145" s="2" t="s">
        <v>550</v>
      </c>
      <c r="J145" s="2" t="s">
        <v>555</v>
      </c>
      <c r="K145" s="2" t="s">
        <v>218</v>
      </c>
      <c r="L145" s="3">
        <v>21.6</v>
      </c>
      <c r="M145" s="3">
        <v>22.68</v>
      </c>
      <c r="N145" s="3">
        <v>44.99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915</v>
      </c>
      <c r="T145" s="2" t="s">
        <v>100</v>
      </c>
      <c r="U145" s="2" t="s">
        <v>100</v>
      </c>
      <c r="V145" s="2" t="s">
        <v>221</v>
      </c>
      <c r="W145" s="2" t="s">
        <v>872</v>
      </c>
      <c r="X145" s="2" t="s">
        <v>100</v>
      </c>
      <c r="Y145" s="2" t="s">
        <v>104</v>
      </c>
      <c r="Z145" s="4">
        <v>1217</v>
      </c>
      <c r="AA145" s="4">
        <f>=ROUNDDOWN(31.2051282051282,0)</f>
      </c>
      <c r="AB145" s="5">
        <v>39</v>
      </c>
      <c r="AC145" s="2" t="s">
        <v>349</v>
      </c>
      <c r="AD145" s="4">
        <v>100</v>
      </c>
      <c r="AE145" s="4">
        <v>760</v>
      </c>
      <c r="AF145" s="6">
        <v>65</v>
      </c>
      <c r="AG145" s="6">
        <v>73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100</v>
      </c>
      <c r="AW145" s="8" t="s">
        <v>100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/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 t="s">
        <v>100</v>
      </c>
      <c r="BJ145" s="4">
        <v>639</v>
      </c>
      <c r="BK145" s="8">
        <v>14844.39</v>
      </c>
      <c r="BL145" s="2" t="s">
        <v>919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97</v>
      </c>
      <c r="BW145" s="2" t="s">
        <v>561</v>
      </c>
      <c r="BX145" s="2" t="s">
        <v>920</v>
      </c>
      <c r="BY145" s="2" t="s">
        <v>109</v>
      </c>
      <c r="BZ145" s="2" t="s">
        <v>100</v>
      </c>
    </row>
    <row r="146">
      <c r="A146" s="2" t="s">
        <v>921</v>
      </c>
      <c r="B146" s="2" t="s">
        <v>87</v>
      </c>
      <c r="C146" s="2" t="s">
        <v>869</v>
      </c>
      <c r="D146" s="2" t="s">
        <v>549</v>
      </c>
      <c r="E146" s="2" t="s">
        <v>550</v>
      </c>
      <c r="F146" s="2" t="s">
        <v>870</v>
      </c>
      <c r="G146" s="2" t="s">
        <v>870</v>
      </c>
      <c r="H146" s="2" t="s">
        <v>870</v>
      </c>
      <c r="I146" s="2" t="s">
        <v>550</v>
      </c>
      <c r="J146" s="2" t="s">
        <v>565</v>
      </c>
      <c r="K146" s="2" t="s">
        <v>218</v>
      </c>
      <c r="L146" s="3">
        <v>31.2</v>
      </c>
      <c r="M146" s="3">
        <v>32.76</v>
      </c>
      <c r="N146" s="3">
        <v>64.99</v>
      </c>
      <c r="O146" s="2" t="s">
        <v>97</v>
      </c>
      <c r="P146" s="2" t="s">
        <v>922</v>
      </c>
      <c r="Q146" s="2" t="s">
        <v>99</v>
      </c>
      <c r="R146" s="2" t="s">
        <v>100</v>
      </c>
      <c r="S146" s="2" t="s">
        <v>915</v>
      </c>
      <c r="T146" s="2" t="s">
        <v>100</v>
      </c>
      <c r="U146" s="2" t="s">
        <v>100</v>
      </c>
      <c r="V146" s="2" t="s">
        <v>221</v>
      </c>
      <c r="W146" s="2" t="s">
        <v>872</v>
      </c>
      <c r="X146" s="2" t="s">
        <v>100</v>
      </c>
      <c r="Y146" s="2" t="s">
        <v>104</v>
      </c>
      <c r="Z146" s="4">
        <v>1062</v>
      </c>
      <c r="AA146" s="4">
        <f>=ROUNDDOWN(28.7027027027027,0)</f>
      </c>
      <c r="AB146" s="5">
        <v>37</v>
      </c>
      <c r="AC146" s="2" t="s">
        <v>349</v>
      </c>
      <c r="AD146" s="4">
        <v>50</v>
      </c>
      <c r="AE146" s="4">
        <v>650</v>
      </c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/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558</v>
      </c>
      <c r="BK146" s="8">
        <v>19413.01</v>
      </c>
      <c r="BL146" s="2" t="s">
        <v>923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97</v>
      </c>
      <c r="BW146" s="2" t="s">
        <v>561</v>
      </c>
      <c r="BX146" s="2" t="s">
        <v>906</v>
      </c>
      <c r="BY146" s="2" t="s">
        <v>109</v>
      </c>
      <c r="BZ146" s="2" t="s">
        <v>100</v>
      </c>
    </row>
    <row r="147">
      <c r="A147" s="2" t="s">
        <v>924</v>
      </c>
      <c r="B147" s="2" t="s">
        <v>87</v>
      </c>
      <c r="C147" s="2" t="s">
        <v>869</v>
      </c>
      <c r="D147" s="2" t="s">
        <v>549</v>
      </c>
      <c r="E147" s="2" t="s">
        <v>550</v>
      </c>
      <c r="F147" s="2" t="s">
        <v>870</v>
      </c>
      <c r="G147" s="2" t="s">
        <v>870</v>
      </c>
      <c r="H147" s="2" t="s">
        <v>870</v>
      </c>
      <c r="I147" s="2" t="s">
        <v>550</v>
      </c>
      <c r="J147" s="2" t="s">
        <v>876</v>
      </c>
      <c r="K147" s="2" t="s">
        <v>218</v>
      </c>
      <c r="L147" s="3">
        <v>13.8</v>
      </c>
      <c r="M147" s="3">
        <v>14.49</v>
      </c>
      <c r="N147" s="3">
        <v>29.99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915</v>
      </c>
      <c r="T147" s="2" t="s">
        <v>100</v>
      </c>
      <c r="U147" s="2" t="s">
        <v>100</v>
      </c>
      <c r="V147" s="2" t="s">
        <v>221</v>
      </c>
      <c r="W147" s="2" t="s">
        <v>872</v>
      </c>
      <c r="X147" s="2" t="s">
        <v>100</v>
      </c>
      <c r="Y147" s="2" t="s">
        <v>104</v>
      </c>
      <c r="Z147" s="4">
        <v>628</v>
      </c>
      <c r="AA147" s="4">
        <f>=ROUNDDOWN(19.030303030303,0)</f>
      </c>
      <c r="AB147" s="5">
        <v>33</v>
      </c>
      <c r="AC147" s="2" t="s">
        <v>349</v>
      </c>
      <c r="AD147" s="4">
        <v>160</v>
      </c>
      <c r="AE147" s="4">
        <v>730</v>
      </c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 t="s">
        <v>100</v>
      </c>
      <c r="BJ147" s="4">
        <v>530</v>
      </c>
      <c r="BK147" s="8">
        <v>7938.39</v>
      </c>
      <c r="BL147" s="2" t="s">
        <v>888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97</v>
      </c>
      <c r="BW147" s="2" t="s">
        <v>561</v>
      </c>
      <c r="BX147" s="2" t="s">
        <v>925</v>
      </c>
      <c r="BY147" s="2" t="s">
        <v>109</v>
      </c>
      <c r="BZ147" s="2" t="s">
        <v>100</v>
      </c>
    </row>
    <row r="148">
      <c r="A148" s="2" t="s">
        <v>926</v>
      </c>
      <c r="B148" s="2" t="s">
        <v>87</v>
      </c>
      <c r="C148" s="2" t="s">
        <v>869</v>
      </c>
      <c r="D148" s="2" t="s">
        <v>549</v>
      </c>
      <c r="E148" s="2" t="s">
        <v>550</v>
      </c>
      <c r="F148" s="2" t="s">
        <v>927</v>
      </c>
      <c r="G148" s="2" t="s">
        <v>927</v>
      </c>
      <c r="H148" s="2" t="s">
        <v>927</v>
      </c>
      <c r="I148" s="2" t="s">
        <v>928</v>
      </c>
      <c r="J148" s="2" t="s">
        <v>763</v>
      </c>
      <c r="K148" s="2" t="s">
        <v>243</v>
      </c>
      <c r="L148" s="3">
        <v>21.6</v>
      </c>
      <c r="M148" s="3">
        <v>22.68</v>
      </c>
      <c r="N148" s="3">
        <v>44.99</v>
      </c>
      <c r="O148" s="2" t="s">
        <v>97</v>
      </c>
      <c r="P148" s="2" t="s">
        <v>929</v>
      </c>
      <c r="Q148" s="2" t="s">
        <v>99</v>
      </c>
      <c r="R148" s="2" t="s">
        <v>100</v>
      </c>
      <c r="S148" s="2" t="s">
        <v>930</v>
      </c>
      <c r="T148" s="2" t="s">
        <v>220</v>
      </c>
      <c r="U148" s="2" t="s">
        <v>931</v>
      </c>
      <c r="V148" s="2" t="s">
        <v>221</v>
      </c>
      <c r="W148" s="2" t="s">
        <v>222</v>
      </c>
      <c r="X148" s="2" t="s">
        <v>932</v>
      </c>
      <c r="Y148" s="2" t="s">
        <v>819</v>
      </c>
      <c r="Z148" s="4">
        <v>8</v>
      </c>
      <c r="AA148" s="4">
        <f>=ROUNDDOWN(1.66666666666667,0)</f>
      </c>
      <c r="AB148" s="5">
        <v>4.8</v>
      </c>
      <c r="AC148" s="2" t="s">
        <v>100</v>
      </c>
      <c r="AD148" s="4"/>
      <c r="AE148" s="4"/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>
        <v>128</v>
      </c>
      <c r="BK148" s="8">
        <v>2856.39</v>
      </c>
      <c r="BL148" s="2" t="s">
        <v>933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97</v>
      </c>
      <c r="BW148" s="2" t="s">
        <v>442</v>
      </c>
      <c r="BX148" s="2" t="s">
        <v>934</v>
      </c>
      <c r="BY148" s="2" t="s">
        <v>109</v>
      </c>
      <c r="BZ148" s="2" t="s">
        <v>100</v>
      </c>
    </row>
    <row r="149">
      <c r="A149" s="2" t="s">
        <v>935</v>
      </c>
      <c r="B149" s="2" t="s">
        <v>87</v>
      </c>
      <c r="C149" s="2" t="s">
        <v>869</v>
      </c>
      <c r="D149" s="2" t="s">
        <v>549</v>
      </c>
      <c r="E149" s="2" t="s">
        <v>550</v>
      </c>
      <c r="F149" s="2" t="s">
        <v>927</v>
      </c>
      <c r="G149" s="2" t="s">
        <v>927</v>
      </c>
      <c r="H149" s="2" t="s">
        <v>927</v>
      </c>
      <c r="I149" s="2" t="s">
        <v>928</v>
      </c>
      <c r="J149" s="2" t="s">
        <v>763</v>
      </c>
      <c r="K149" s="2" t="s">
        <v>218</v>
      </c>
      <c r="L149" s="3">
        <v>21.6</v>
      </c>
      <c r="M149" s="3">
        <v>22.68</v>
      </c>
      <c r="N149" s="3">
        <v>44.99</v>
      </c>
      <c r="O149" s="2" t="s">
        <v>97</v>
      </c>
      <c r="P149" s="2" t="s">
        <v>929</v>
      </c>
      <c r="Q149" s="2" t="s">
        <v>99</v>
      </c>
      <c r="R149" s="2" t="s">
        <v>100</v>
      </c>
      <c r="S149" s="2" t="s">
        <v>930</v>
      </c>
      <c r="T149" s="2" t="s">
        <v>220</v>
      </c>
      <c r="U149" s="2" t="s">
        <v>931</v>
      </c>
      <c r="V149" s="2" t="s">
        <v>221</v>
      </c>
      <c r="W149" s="2" t="s">
        <v>222</v>
      </c>
      <c r="X149" s="2" t="s">
        <v>150</v>
      </c>
      <c r="Y149" s="2" t="s">
        <v>819</v>
      </c>
      <c r="Z149" s="4">
        <v>150</v>
      </c>
      <c r="AA149" s="4">
        <f>=ROUNDDOWN(21.7391304347826,0)</f>
      </c>
      <c r="AB149" s="5">
        <v>6.9</v>
      </c>
      <c r="AC149" s="2" t="s">
        <v>100</v>
      </c>
      <c r="AD149" s="4"/>
      <c r="AE149" s="4"/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/>
      <c r="BJ149" s="4">
        <v>118</v>
      </c>
      <c r="BK149" s="8">
        <v>2489.94</v>
      </c>
      <c r="BL149" s="2" t="s">
        <v>936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97</v>
      </c>
      <c r="BW149" s="2" t="s">
        <v>442</v>
      </c>
      <c r="BX149" s="2" t="s">
        <v>937</v>
      </c>
      <c r="BY149" s="2" t="s">
        <v>109</v>
      </c>
      <c r="BZ149" s="2" t="s">
        <v>100</v>
      </c>
    </row>
    <row r="150">
      <c r="A150" s="2" t="s">
        <v>938</v>
      </c>
      <c r="B150" s="2" t="s">
        <v>87</v>
      </c>
      <c r="C150" s="2" t="s">
        <v>869</v>
      </c>
      <c r="D150" s="2" t="s">
        <v>549</v>
      </c>
      <c r="E150" s="2" t="s">
        <v>550</v>
      </c>
      <c r="F150" s="2" t="s">
        <v>939</v>
      </c>
      <c r="G150" s="2" t="s">
        <v>939</v>
      </c>
      <c r="H150" s="2" t="s">
        <v>939</v>
      </c>
      <c r="I150" s="2" t="s">
        <v>940</v>
      </c>
      <c r="J150" s="2" t="s">
        <v>606</v>
      </c>
      <c r="K150" s="2" t="s">
        <v>133</v>
      </c>
      <c r="L150" s="3">
        <v>16.56</v>
      </c>
      <c r="M150" s="3">
        <v>17.39</v>
      </c>
      <c r="N150" s="3">
        <v>34.99</v>
      </c>
      <c r="O150" s="2" t="s">
        <v>97</v>
      </c>
      <c r="P150" s="2" t="s">
        <v>194</v>
      </c>
      <c r="Q150" s="2" t="s">
        <v>99</v>
      </c>
      <c r="R150" s="2" t="s">
        <v>100</v>
      </c>
      <c r="S150" s="2" t="s">
        <v>941</v>
      </c>
      <c r="T150" s="2" t="s">
        <v>220</v>
      </c>
      <c r="U150" s="2" t="s">
        <v>196</v>
      </c>
      <c r="V150" s="2" t="s">
        <v>221</v>
      </c>
      <c r="W150" s="2" t="s">
        <v>222</v>
      </c>
      <c r="X150" s="2" t="s">
        <v>103</v>
      </c>
      <c r="Y150" s="2" t="s">
        <v>942</v>
      </c>
      <c r="Z150" s="4">
        <v>474</v>
      </c>
      <c r="AA150" s="4">
        <f>=ROUNDDOWN(33.8571428571429,0)</f>
      </c>
      <c r="AB150" s="5">
        <v>14</v>
      </c>
      <c r="AC150" s="2" t="s">
        <v>100</v>
      </c>
      <c r="AD150" s="4"/>
      <c r="AE150" s="4"/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125</v>
      </c>
      <c r="BK150" s="8">
        <v>2344.67</v>
      </c>
      <c r="BL150" s="2" t="s">
        <v>943</v>
      </c>
      <c r="BM150" s="7"/>
      <c r="BN150" s="7"/>
      <c r="BO150" s="4"/>
      <c r="BP150" s="8"/>
      <c r="BQ150" s="4"/>
      <c r="BR150" s="8"/>
      <c r="BS150" s="7"/>
      <c r="BT150" s="7"/>
      <c r="BU150" s="2" t="s">
        <v>200</v>
      </c>
      <c r="BV150" s="2" t="s">
        <v>97</v>
      </c>
      <c r="BW150" s="2" t="s">
        <v>100</v>
      </c>
      <c r="BX150" s="2" t="s">
        <v>100</v>
      </c>
      <c r="BY150" s="2" t="s">
        <v>109</v>
      </c>
      <c r="BZ150" s="2" t="s">
        <v>110</v>
      </c>
    </row>
    <row r="151">
      <c r="A151" s="2" t="s">
        <v>944</v>
      </c>
      <c r="B151" s="2" t="s">
        <v>87</v>
      </c>
      <c r="C151" s="2" t="s">
        <v>869</v>
      </c>
      <c r="D151" s="2" t="s">
        <v>549</v>
      </c>
      <c r="E151" s="2" t="s">
        <v>550</v>
      </c>
      <c r="F151" s="2" t="s">
        <v>939</v>
      </c>
      <c r="G151" s="2" t="s">
        <v>939</v>
      </c>
      <c r="H151" s="2" t="s">
        <v>939</v>
      </c>
      <c r="I151" s="2" t="s">
        <v>940</v>
      </c>
      <c r="J151" s="2" t="s">
        <v>565</v>
      </c>
      <c r="K151" s="2" t="s">
        <v>133</v>
      </c>
      <c r="L151" s="3">
        <v>30.24</v>
      </c>
      <c r="M151" s="3">
        <v>31.75</v>
      </c>
      <c r="N151" s="3">
        <v>64.99</v>
      </c>
      <c r="O151" s="2" t="s">
        <v>97</v>
      </c>
      <c r="P151" s="2" t="s">
        <v>194</v>
      </c>
      <c r="Q151" s="2" t="s">
        <v>99</v>
      </c>
      <c r="R151" s="2" t="s">
        <v>100</v>
      </c>
      <c r="S151" s="2" t="s">
        <v>941</v>
      </c>
      <c r="T151" s="2" t="s">
        <v>220</v>
      </c>
      <c r="U151" s="2" t="s">
        <v>196</v>
      </c>
      <c r="V151" s="2" t="s">
        <v>221</v>
      </c>
      <c r="W151" s="2" t="s">
        <v>222</v>
      </c>
      <c r="X151" s="2" t="s">
        <v>103</v>
      </c>
      <c r="Y151" s="2" t="s">
        <v>942</v>
      </c>
      <c r="Z151" s="4">
        <v>335</v>
      </c>
      <c r="AA151" s="4">
        <f>=ROUNDDOWN(41.875,0)</f>
      </c>
      <c r="AB151" s="5">
        <v>8</v>
      </c>
      <c r="AC151" s="2" t="s">
        <v>100</v>
      </c>
      <c r="AD151" s="4"/>
      <c r="AE151" s="4"/>
      <c r="AF151" s="6">
        <v>69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100</v>
      </c>
      <c r="AW151" s="8" t="s">
        <v>100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46</v>
      </c>
      <c r="BK151" s="8">
        <v>1542.28</v>
      </c>
      <c r="BL151" s="2" t="s">
        <v>945</v>
      </c>
      <c r="BM151" s="7"/>
      <c r="BN151" s="7"/>
      <c r="BO151" s="4"/>
      <c r="BP151" s="8"/>
      <c r="BQ151" s="4"/>
      <c r="BR151" s="8"/>
      <c r="BS151" s="7"/>
      <c r="BT151" s="7"/>
      <c r="BU151" s="2" t="s">
        <v>200</v>
      </c>
      <c r="BV151" s="2" t="s">
        <v>97</v>
      </c>
      <c r="BW151" s="2" t="s">
        <v>100</v>
      </c>
      <c r="BX151" s="2" t="s">
        <v>100</v>
      </c>
      <c r="BY151" s="2" t="s">
        <v>109</v>
      </c>
      <c r="BZ151" s="2" t="s">
        <v>110</v>
      </c>
    </row>
    <row r="152">
      <c r="A152" s="2" t="s">
        <v>946</v>
      </c>
      <c r="B152" s="2" t="s">
        <v>87</v>
      </c>
      <c r="C152" s="2" t="s">
        <v>869</v>
      </c>
      <c r="D152" s="2" t="s">
        <v>549</v>
      </c>
      <c r="E152" s="2" t="s">
        <v>550</v>
      </c>
      <c r="F152" s="2" t="s">
        <v>939</v>
      </c>
      <c r="G152" s="2" t="s">
        <v>939</v>
      </c>
      <c r="H152" s="2" t="s">
        <v>939</v>
      </c>
      <c r="I152" s="2" t="s">
        <v>940</v>
      </c>
      <c r="J152" s="2" t="s">
        <v>606</v>
      </c>
      <c r="K152" s="2" t="s">
        <v>742</v>
      </c>
      <c r="L152" s="3">
        <v>16.56</v>
      </c>
      <c r="M152" s="3">
        <v>17.39</v>
      </c>
      <c r="N152" s="3">
        <v>34.99</v>
      </c>
      <c r="O152" s="2" t="s">
        <v>97</v>
      </c>
      <c r="P152" s="2" t="s">
        <v>194</v>
      </c>
      <c r="Q152" s="2" t="s">
        <v>99</v>
      </c>
      <c r="R152" s="2" t="s">
        <v>100</v>
      </c>
      <c r="S152" s="2" t="s">
        <v>947</v>
      </c>
      <c r="T152" s="2" t="s">
        <v>220</v>
      </c>
      <c r="U152" s="2" t="s">
        <v>196</v>
      </c>
      <c r="V152" s="2" t="s">
        <v>221</v>
      </c>
      <c r="W152" s="2" t="s">
        <v>222</v>
      </c>
      <c r="X152" s="2" t="s">
        <v>103</v>
      </c>
      <c r="Y152" s="2" t="s">
        <v>942</v>
      </c>
      <c r="Z152" s="4">
        <v>359</v>
      </c>
      <c r="AA152" s="4">
        <f>=ROUNDDOWN(12.3793103448276,0)</f>
      </c>
      <c r="AB152" s="5">
        <v>29</v>
      </c>
      <c r="AC152" s="2" t="s">
        <v>948</v>
      </c>
      <c r="AD152" s="4">
        <v>520</v>
      </c>
      <c r="AE152" s="4">
        <v>520</v>
      </c>
      <c r="AF152" s="6">
        <v>69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/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/>
      <c r="BJ152" s="4">
        <v>273</v>
      </c>
      <c r="BK152" s="8">
        <v>5127.91</v>
      </c>
      <c r="BL152" s="2" t="s">
        <v>949</v>
      </c>
      <c r="BM152" s="7"/>
      <c r="BN152" s="7"/>
      <c r="BO152" s="4"/>
      <c r="BP152" s="8"/>
      <c r="BQ152" s="4"/>
      <c r="BR152" s="8"/>
      <c r="BS152" s="7"/>
      <c r="BT152" s="7"/>
      <c r="BU152" s="2" t="s">
        <v>200</v>
      </c>
      <c r="BV152" s="2" t="s">
        <v>97</v>
      </c>
      <c r="BW152" s="2" t="s">
        <v>100</v>
      </c>
      <c r="BX152" s="2" t="s">
        <v>100</v>
      </c>
      <c r="BY152" s="2" t="s">
        <v>109</v>
      </c>
      <c r="BZ152" s="2" t="s">
        <v>110</v>
      </c>
    </row>
    <row r="153">
      <c r="A153" s="2" t="s">
        <v>950</v>
      </c>
      <c r="B153" s="2" t="s">
        <v>87</v>
      </c>
      <c r="C153" s="2" t="s">
        <v>869</v>
      </c>
      <c r="D153" s="2" t="s">
        <v>549</v>
      </c>
      <c r="E153" s="2" t="s">
        <v>550</v>
      </c>
      <c r="F153" s="2" t="s">
        <v>939</v>
      </c>
      <c r="G153" s="2" t="s">
        <v>939</v>
      </c>
      <c r="H153" s="2" t="s">
        <v>939</v>
      </c>
      <c r="I153" s="2" t="s">
        <v>940</v>
      </c>
      <c r="J153" s="2" t="s">
        <v>565</v>
      </c>
      <c r="K153" s="2" t="s">
        <v>742</v>
      </c>
      <c r="L153" s="3">
        <v>30.24</v>
      </c>
      <c r="M153" s="3">
        <v>31.75</v>
      </c>
      <c r="N153" s="3">
        <v>64.99</v>
      </c>
      <c r="O153" s="2" t="s">
        <v>97</v>
      </c>
      <c r="P153" s="2" t="s">
        <v>194</v>
      </c>
      <c r="Q153" s="2" t="s">
        <v>99</v>
      </c>
      <c r="R153" s="2" t="s">
        <v>100</v>
      </c>
      <c r="S153" s="2" t="s">
        <v>947</v>
      </c>
      <c r="T153" s="2" t="s">
        <v>220</v>
      </c>
      <c r="U153" s="2" t="s">
        <v>196</v>
      </c>
      <c r="V153" s="2" t="s">
        <v>221</v>
      </c>
      <c r="W153" s="2" t="s">
        <v>222</v>
      </c>
      <c r="X153" s="2" t="s">
        <v>103</v>
      </c>
      <c r="Y153" s="2" t="s">
        <v>942</v>
      </c>
      <c r="Z153" s="4">
        <v>241</v>
      </c>
      <c r="AA153" s="4">
        <f>=ROUNDDOWN(15.0625,0)</f>
      </c>
      <c r="AB153" s="5">
        <v>16</v>
      </c>
      <c r="AC153" s="2" t="s">
        <v>948</v>
      </c>
      <c r="AD153" s="4">
        <v>340</v>
      </c>
      <c r="AE153" s="4">
        <v>340</v>
      </c>
      <c r="AF153" s="6">
        <v>69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/>
      <c r="BJ153" s="4">
        <v>104</v>
      </c>
      <c r="BK153" s="8">
        <v>3501.19</v>
      </c>
      <c r="BL153" s="2" t="s">
        <v>951</v>
      </c>
      <c r="BM153" s="7"/>
      <c r="BN153" s="7"/>
      <c r="BO153" s="4"/>
      <c r="BP153" s="8"/>
      <c r="BQ153" s="4"/>
      <c r="BR153" s="8"/>
      <c r="BS153" s="7"/>
      <c r="BT153" s="7"/>
      <c r="BU153" s="2" t="s">
        <v>200</v>
      </c>
      <c r="BV153" s="2" t="s">
        <v>97</v>
      </c>
      <c r="BW153" s="2" t="s">
        <v>100</v>
      </c>
      <c r="BX153" s="2" t="s">
        <v>100</v>
      </c>
      <c r="BY153" s="2" t="s">
        <v>109</v>
      </c>
      <c r="BZ153" s="2" t="s">
        <v>110</v>
      </c>
    </row>
    <row r="154">
      <c r="A154" s="2" t="s">
        <v>952</v>
      </c>
      <c r="B154" s="2" t="s">
        <v>87</v>
      </c>
      <c r="C154" s="2" t="s">
        <v>869</v>
      </c>
      <c r="D154" s="2" t="s">
        <v>549</v>
      </c>
      <c r="E154" s="2" t="s">
        <v>550</v>
      </c>
      <c r="F154" s="2" t="s">
        <v>939</v>
      </c>
      <c r="G154" s="2" t="s">
        <v>939</v>
      </c>
      <c r="H154" s="2" t="s">
        <v>939</v>
      </c>
      <c r="I154" s="2" t="s">
        <v>953</v>
      </c>
      <c r="J154" s="2" t="s">
        <v>606</v>
      </c>
      <c r="K154" s="2" t="s">
        <v>243</v>
      </c>
      <c r="L154" s="3">
        <v>16.56</v>
      </c>
      <c r="M154" s="3">
        <v>17.39</v>
      </c>
      <c r="N154" s="3">
        <v>34.99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954</v>
      </c>
      <c r="T154" s="2" t="s">
        <v>220</v>
      </c>
      <c r="U154" s="2" t="s">
        <v>196</v>
      </c>
      <c r="V154" s="2" t="s">
        <v>221</v>
      </c>
      <c r="W154" s="2" t="s">
        <v>222</v>
      </c>
      <c r="X154" s="2" t="s">
        <v>103</v>
      </c>
      <c r="Y154" s="2" t="s">
        <v>955</v>
      </c>
      <c r="Z154" s="4">
        <v>1392</v>
      </c>
      <c r="AA154" s="4">
        <f>=ROUNDDOWN(26.2641509433962,0)</f>
      </c>
      <c r="AB154" s="5">
        <v>53</v>
      </c>
      <c r="AC154" s="2" t="s">
        <v>349</v>
      </c>
      <c r="AD154" s="4">
        <v>272</v>
      </c>
      <c r="AE154" s="4">
        <v>992</v>
      </c>
      <c r="AF154" s="6">
        <v>69</v>
      </c>
      <c r="AG154" s="6">
        <v>77</v>
      </c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>
        <v>909</v>
      </c>
      <c r="BK154" s="8">
        <v>17775.01</v>
      </c>
      <c r="BL154" s="2" t="s">
        <v>956</v>
      </c>
      <c r="BM154" s="7"/>
      <c r="BN154" s="7"/>
      <c r="BO154" s="4"/>
      <c r="BP154" s="8"/>
      <c r="BQ154" s="4"/>
      <c r="BR154" s="8"/>
      <c r="BS154" s="7"/>
      <c r="BT154" s="7"/>
      <c r="BU154" s="2" t="s">
        <v>200</v>
      </c>
      <c r="BV154" s="2" t="s">
        <v>97</v>
      </c>
      <c r="BW154" s="2" t="s">
        <v>100</v>
      </c>
      <c r="BX154" s="2" t="s">
        <v>100</v>
      </c>
      <c r="BY154" s="2" t="s">
        <v>109</v>
      </c>
      <c r="BZ154" s="2" t="s">
        <v>110</v>
      </c>
    </row>
    <row r="155">
      <c r="A155" s="2" t="s">
        <v>957</v>
      </c>
      <c r="B155" s="2" t="s">
        <v>87</v>
      </c>
      <c r="C155" s="2" t="s">
        <v>869</v>
      </c>
      <c r="D155" s="2" t="s">
        <v>549</v>
      </c>
      <c r="E155" s="2" t="s">
        <v>550</v>
      </c>
      <c r="F155" s="2" t="s">
        <v>939</v>
      </c>
      <c r="G155" s="2" t="s">
        <v>939</v>
      </c>
      <c r="H155" s="2" t="s">
        <v>939</v>
      </c>
      <c r="I155" s="2" t="s">
        <v>953</v>
      </c>
      <c r="J155" s="2" t="s">
        <v>565</v>
      </c>
      <c r="K155" s="2" t="s">
        <v>243</v>
      </c>
      <c r="L155" s="3">
        <v>30.24</v>
      </c>
      <c r="M155" s="3">
        <v>31.75</v>
      </c>
      <c r="N155" s="3">
        <v>64.99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954</v>
      </c>
      <c r="T155" s="2" t="s">
        <v>220</v>
      </c>
      <c r="U155" s="2" t="s">
        <v>196</v>
      </c>
      <c r="V155" s="2" t="s">
        <v>221</v>
      </c>
      <c r="W155" s="2" t="s">
        <v>222</v>
      </c>
      <c r="X155" s="2" t="s">
        <v>103</v>
      </c>
      <c r="Y155" s="2" t="s">
        <v>955</v>
      </c>
      <c r="Z155" s="4">
        <v>762</v>
      </c>
      <c r="AA155" s="4">
        <f>=ROUNDDOWN(25.4,0)</f>
      </c>
      <c r="AB155" s="5">
        <v>30</v>
      </c>
      <c r="AC155" s="2" t="s">
        <v>349</v>
      </c>
      <c r="AD155" s="4">
        <v>140</v>
      </c>
      <c r="AE155" s="4">
        <v>612</v>
      </c>
      <c r="AF155" s="6">
        <v>69</v>
      </c>
      <c r="AG155" s="6">
        <v>77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465</v>
      </c>
      <c r="BK155" s="8">
        <v>16554.08</v>
      </c>
      <c r="BL155" s="2" t="s">
        <v>958</v>
      </c>
      <c r="BM155" s="7"/>
      <c r="BN155" s="7"/>
      <c r="BO155" s="4"/>
      <c r="BP155" s="8"/>
      <c r="BQ155" s="4"/>
      <c r="BR155" s="8"/>
      <c r="BS155" s="7"/>
      <c r="BT155" s="7"/>
      <c r="BU155" s="2" t="s">
        <v>200</v>
      </c>
      <c r="BV155" s="2" t="s">
        <v>97</v>
      </c>
      <c r="BW155" s="2" t="s">
        <v>100</v>
      </c>
      <c r="BX155" s="2" t="s">
        <v>100</v>
      </c>
      <c r="BY155" s="2" t="s">
        <v>109</v>
      </c>
      <c r="BZ155" s="2" t="s">
        <v>110</v>
      </c>
    </row>
    <row r="156">
      <c r="A156" s="2" t="s">
        <v>959</v>
      </c>
      <c r="B156" s="2" t="s">
        <v>87</v>
      </c>
      <c r="C156" s="2" t="s">
        <v>960</v>
      </c>
      <c r="D156" s="2" t="s">
        <v>89</v>
      </c>
      <c r="E156" s="2" t="s">
        <v>90</v>
      </c>
      <c r="F156" s="2" t="s">
        <v>961</v>
      </c>
      <c r="G156" s="2" t="s">
        <v>962</v>
      </c>
      <c r="H156" s="2" t="s">
        <v>963</v>
      </c>
      <c r="I156" s="2" t="s">
        <v>964</v>
      </c>
      <c r="J156" s="2" t="s">
        <v>95</v>
      </c>
      <c r="K156" s="2" t="s">
        <v>297</v>
      </c>
      <c r="L156" s="3">
        <v>13.2</v>
      </c>
      <c r="M156" s="3">
        <v>13.86</v>
      </c>
      <c r="N156" s="3">
        <v>29.99</v>
      </c>
      <c r="O156" s="2" t="s">
        <v>97</v>
      </c>
      <c r="P156" s="2" t="s">
        <v>126</v>
      </c>
      <c r="Q156" s="2" t="s">
        <v>99</v>
      </c>
      <c r="R156" s="2" t="s">
        <v>100</v>
      </c>
      <c r="S156" s="2" t="s">
        <v>965</v>
      </c>
      <c r="T156" s="2" t="s">
        <v>100</v>
      </c>
      <c r="U156" s="2" t="s">
        <v>100</v>
      </c>
      <c r="V156" s="2" t="s">
        <v>270</v>
      </c>
      <c r="W156" s="2" t="s">
        <v>150</v>
      </c>
      <c r="X156" s="2" t="s">
        <v>100</v>
      </c>
      <c r="Y156" s="2" t="s">
        <v>966</v>
      </c>
      <c r="Z156" s="4">
        <v>459</v>
      </c>
      <c r="AA156" s="4">
        <f>=ROUNDDOWN(14.34375,0)</f>
      </c>
      <c r="AB156" s="5">
        <v>32</v>
      </c>
      <c r="AC156" s="2" t="s">
        <v>396</v>
      </c>
      <c r="AD156" s="4">
        <v>200</v>
      </c>
      <c r="AE156" s="4">
        <v>600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4</v>
      </c>
      <c r="AQ156" s="8">
        <v>57.72</v>
      </c>
      <c r="AR156" s="4"/>
      <c r="AS156" s="8"/>
      <c r="AT156" s="7"/>
      <c r="AU156" s="7"/>
      <c r="AV156" s="4">
        <v>4</v>
      </c>
      <c r="AW156" s="8">
        <v>57.72</v>
      </c>
      <c r="AX156" s="4"/>
      <c r="AY156" s="8"/>
      <c r="AZ156" s="7"/>
      <c r="BA156" s="7"/>
      <c r="BB156" s="7">
        <v>1</v>
      </c>
      <c r="BC156" s="4">
        <v>6</v>
      </c>
      <c r="BD156" s="8">
        <v>86.58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0.6667</v>
      </c>
      <c r="BJ156" s="4">
        <v>465</v>
      </c>
      <c r="BK156" s="8">
        <v>6604.21</v>
      </c>
      <c r="BL156" s="2" t="s">
        <v>817</v>
      </c>
      <c r="BM156" s="7">
        <v>0.0086</v>
      </c>
      <c r="BN156" s="7">
        <v>0.0087</v>
      </c>
      <c r="BO156" s="4">
        <v>4</v>
      </c>
      <c r="BP156" s="8">
        <v>57.72</v>
      </c>
      <c r="BQ156" s="4"/>
      <c r="BR156" s="8"/>
      <c r="BS156" s="7"/>
      <c r="BT156" s="7"/>
      <c r="BU156" s="2" t="s">
        <v>106</v>
      </c>
      <c r="BV156" s="2" t="s">
        <v>97</v>
      </c>
      <c r="BW156" s="2" t="s">
        <v>249</v>
      </c>
      <c r="BX156" s="2" t="s">
        <v>967</v>
      </c>
      <c r="BY156" s="2" t="s">
        <v>109</v>
      </c>
      <c r="BZ156" s="2" t="s">
        <v>110</v>
      </c>
    </row>
    <row r="157">
      <c r="A157" s="2" t="s">
        <v>968</v>
      </c>
      <c r="B157" s="2" t="s">
        <v>87</v>
      </c>
      <c r="C157" s="2" t="s">
        <v>960</v>
      </c>
      <c r="D157" s="2" t="s">
        <v>89</v>
      </c>
      <c r="E157" s="2" t="s">
        <v>90</v>
      </c>
      <c r="F157" s="2" t="s">
        <v>961</v>
      </c>
      <c r="G157" s="2" t="s">
        <v>962</v>
      </c>
      <c r="H157" s="2" t="s">
        <v>963</v>
      </c>
      <c r="I157" s="2" t="s">
        <v>964</v>
      </c>
      <c r="J157" s="2" t="s">
        <v>95</v>
      </c>
      <c r="K157" s="2" t="s">
        <v>969</v>
      </c>
      <c r="L157" s="3">
        <v>13.2</v>
      </c>
      <c r="M157" s="3">
        <v>13.86</v>
      </c>
      <c r="N157" s="3">
        <v>29.99</v>
      </c>
      <c r="O157" s="2" t="s">
        <v>97</v>
      </c>
      <c r="P157" s="2" t="s">
        <v>126</v>
      </c>
      <c r="Q157" s="2" t="s">
        <v>99</v>
      </c>
      <c r="R157" s="2" t="s">
        <v>100</v>
      </c>
      <c r="S157" s="2" t="s">
        <v>970</v>
      </c>
      <c r="T157" s="2" t="s">
        <v>100</v>
      </c>
      <c r="U157" s="2" t="s">
        <v>100</v>
      </c>
      <c r="V157" s="2" t="s">
        <v>270</v>
      </c>
      <c r="W157" s="2" t="s">
        <v>150</v>
      </c>
      <c r="X157" s="2" t="s">
        <v>100</v>
      </c>
      <c r="Y157" s="2" t="s">
        <v>966</v>
      </c>
      <c r="Z157" s="4">
        <v>198</v>
      </c>
      <c r="AA157" s="4">
        <f>=ROUNDDOWN(6.1875,0)</f>
      </c>
      <c r="AB157" s="5">
        <v>32</v>
      </c>
      <c r="AC157" s="2" t="s">
        <v>396</v>
      </c>
      <c r="AD157" s="4">
        <v>300</v>
      </c>
      <c r="AE157" s="4">
        <v>900</v>
      </c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2</v>
      </c>
      <c r="AQ157" s="8">
        <v>28.86</v>
      </c>
      <c r="AR157" s="4"/>
      <c r="AS157" s="8"/>
      <c r="AT157" s="7"/>
      <c r="AU157" s="7"/>
      <c r="AV157" s="4">
        <v>2</v>
      </c>
      <c r="AW157" s="8">
        <v>28.86</v>
      </c>
      <c r="AX157" s="4"/>
      <c r="AY157" s="8"/>
      <c r="AZ157" s="7"/>
      <c r="BA157" s="7"/>
      <c r="BB157" s="7">
        <v>1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>
        <v>0.3333</v>
      </c>
      <c r="BJ157" s="4">
        <v>473</v>
      </c>
      <c r="BK157" s="8">
        <v>6884.95</v>
      </c>
      <c r="BL157" s="2" t="s">
        <v>971</v>
      </c>
      <c r="BM157" s="7">
        <v>0.0042</v>
      </c>
      <c r="BN157" s="7">
        <v>0.0042</v>
      </c>
      <c r="BO157" s="4">
        <v>2</v>
      </c>
      <c r="BP157" s="8">
        <v>28.86</v>
      </c>
      <c r="BQ157" s="4"/>
      <c r="BR157" s="8"/>
      <c r="BS157" s="7"/>
      <c r="BT157" s="7"/>
      <c r="BU157" s="2" t="s">
        <v>106</v>
      </c>
      <c r="BV157" s="2" t="s">
        <v>97</v>
      </c>
      <c r="BW157" s="2" t="s">
        <v>249</v>
      </c>
      <c r="BX157" s="2" t="s">
        <v>972</v>
      </c>
      <c r="BY157" s="2" t="s">
        <v>109</v>
      </c>
      <c r="BZ157" s="2" t="s">
        <v>110</v>
      </c>
    </row>
    <row r="158">
      <c r="A158" s="2" t="s">
        <v>973</v>
      </c>
      <c r="B158" s="2" t="s">
        <v>87</v>
      </c>
      <c r="C158" s="2" t="s">
        <v>960</v>
      </c>
      <c r="D158" s="2" t="s">
        <v>89</v>
      </c>
      <c r="E158" s="2" t="s">
        <v>90</v>
      </c>
      <c r="F158" s="2" t="s">
        <v>974</v>
      </c>
      <c r="G158" s="2" t="s">
        <v>975</v>
      </c>
      <c r="H158" s="2" t="s">
        <v>976</v>
      </c>
      <c r="I158" s="2" t="s">
        <v>977</v>
      </c>
      <c r="J158" s="2" t="s">
        <v>95</v>
      </c>
      <c r="K158" s="2" t="s">
        <v>969</v>
      </c>
      <c r="L158" s="3">
        <v>13.2</v>
      </c>
      <c r="M158" s="3">
        <v>13.86</v>
      </c>
      <c r="N158" s="3">
        <v>29.99</v>
      </c>
      <c r="O158" s="2" t="s">
        <v>97</v>
      </c>
      <c r="P158" s="2" t="s">
        <v>134</v>
      </c>
      <c r="Q158" s="2" t="s">
        <v>99</v>
      </c>
      <c r="R158" s="2" t="s">
        <v>100</v>
      </c>
      <c r="S158" s="2" t="s">
        <v>978</v>
      </c>
      <c r="T158" s="2" t="s">
        <v>100</v>
      </c>
      <c r="U158" s="2" t="s">
        <v>100</v>
      </c>
      <c r="V158" s="2" t="s">
        <v>270</v>
      </c>
      <c r="W158" s="2" t="s">
        <v>222</v>
      </c>
      <c r="X158" s="2" t="s">
        <v>100</v>
      </c>
      <c r="Y158" s="2" t="s">
        <v>979</v>
      </c>
      <c r="Z158" s="4">
        <v>877</v>
      </c>
      <c r="AA158" s="4">
        <f>=ROUNDDOWN(67.4615384615385,0)</f>
      </c>
      <c r="AB158" s="5">
        <v>13</v>
      </c>
      <c r="AC158" s="2" t="s">
        <v>100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1</v>
      </c>
      <c r="AQ158" s="8">
        <v>14.55</v>
      </c>
      <c r="AR158" s="4"/>
      <c r="AS158" s="8"/>
      <c r="AT158" s="7"/>
      <c r="AU158" s="7"/>
      <c r="AV158" s="4">
        <v>1</v>
      </c>
      <c r="AW158" s="8">
        <v>14.55</v>
      </c>
      <c r="AX158" s="4"/>
      <c r="AY158" s="8"/>
      <c r="AZ158" s="7"/>
      <c r="BA158" s="7"/>
      <c r="BB158" s="7">
        <v>1</v>
      </c>
      <c r="BC158" s="4">
        <v>1</v>
      </c>
      <c r="BD158" s="8">
        <v>14.55</v>
      </c>
      <c r="BE158" s="4"/>
      <c r="BF158" s="8"/>
      <c r="BG158" s="7"/>
      <c r="BH158" s="7"/>
      <c r="BI158" s="7">
        <v>1</v>
      </c>
      <c r="BJ158" s="4">
        <v>173</v>
      </c>
      <c r="BK158" s="8">
        <v>2430.2</v>
      </c>
      <c r="BL158" s="2" t="s">
        <v>980</v>
      </c>
      <c r="BM158" s="7">
        <v>0.0058</v>
      </c>
      <c r="BN158" s="7">
        <v>0.006</v>
      </c>
      <c r="BO158" s="4">
        <v>1</v>
      </c>
      <c r="BP158" s="8">
        <v>14.55</v>
      </c>
      <c r="BQ158" s="4"/>
      <c r="BR158" s="8"/>
      <c r="BS158" s="7"/>
      <c r="BT158" s="7"/>
      <c r="BU158" s="2" t="s">
        <v>106</v>
      </c>
      <c r="BV158" s="2" t="s">
        <v>97</v>
      </c>
      <c r="BW158" s="2" t="s">
        <v>284</v>
      </c>
      <c r="BX158" s="2" t="s">
        <v>981</v>
      </c>
      <c r="BY158" s="2" t="s">
        <v>109</v>
      </c>
      <c r="BZ158" s="2" t="s">
        <v>110</v>
      </c>
    </row>
    <row r="159">
      <c r="A159" s="2" t="s">
        <v>982</v>
      </c>
      <c r="B159" s="2" t="s">
        <v>87</v>
      </c>
      <c r="C159" s="2" t="s">
        <v>960</v>
      </c>
      <c r="D159" s="2" t="s">
        <v>775</v>
      </c>
      <c r="E159" s="2" t="s">
        <v>776</v>
      </c>
      <c r="F159" s="2" t="s">
        <v>983</v>
      </c>
      <c r="G159" s="2" t="s">
        <v>984</v>
      </c>
      <c r="H159" s="2" t="s">
        <v>985</v>
      </c>
      <c r="I159" s="2" t="s">
        <v>986</v>
      </c>
      <c r="J159" s="2" t="s">
        <v>763</v>
      </c>
      <c r="K159" s="2" t="s">
        <v>243</v>
      </c>
      <c r="L159" s="3">
        <v>25.61</v>
      </c>
      <c r="M159" s="3">
        <v>26.89</v>
      </c>
      <c r="N159" s="3">
        <v>52.99</v>
      </c>
      <c r="O159" s="2" t="s">
        <v>97</v>
      </c>
      <c r="P159" s="2" t="s">
        <v>134</v>
      </c>
      <c r="Q159" s="2" t="s">
        <v>99</v>
      </c>
      <c r="R159" s="2" t="s">
        <v>100</v>
      </c>
      <c r="S159" s="2" t="s">
        <v>987</v>
      </c>
      <c r="T159" s="2" t="s">
        <v>100</v>
      </c>
      <c r="U159" s="2" t="s">
        <v>100</v>
      </c>
      <c r="V159" s="2" t="s">
        <v>270</v>
      </c>
      <c r="W159" s="2" t="s">
        <v>222</v>
      </c>
      <c r="X159" s="2" t="s">
        <v>100</v>
      </c>
      <c r="Y159" s="2" t="s">
        <v>729</v>
      </c>
      <c r="Z159" s="4">
        <v>68</v>
      </c>
      <c r="AA159" s="4">
        <f>=ROUNDDOWN(4,0)</f>
      </c>
      <c r="AB159" s="5">
        <v>17</v>
      </c>
      <c r="AC159" s="2" t="s">
        <v>349</v>
      </c>
      <c r="AD159" s="4">
        <v>410</v>
      </c>
      <c r="AE159" s="4">
        <v>410</v>
      </c>
      <c r="AF159" s="6">
        <v>69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302</v>
      </c>
      <c r="BK159" s="8">
        <v>8479.43</v>
      </c>
      <c r="BL159" s="2" t="s">
        <v>988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97</v>
      </c>
      <c r="BW159" s="2" t="s">
        <v>122</v>
      </c>
      <c r="BX159" s="2" t="s">
        <v>989</v>
      </c>
      <c r="BY159" s="2" t="s">
        <v>109</v>
      </c>
      <c r="BZ159" s="2" t="s">
        <v>100</v>
      </c>
    </row>
    <row r="160">
      <c r="A160" s="2" t="s">
        <v>990</v>
      </c>
      <c r="B160" s="2" t="s">
        <v>87</v>
      </c>
      <c r="C160" s="2" t="s">
        <v>960</v>
      </c>
      <c r="D160" s="2" t="s">
        <v>775</v>
      </c>
      <c r="E160" s="2" t="s">
        <v>776</v>
      </c>
      <c r="F160" s="2" t="s">
        <v>991</v>
      </c>
      <c r="G160" s="2" t="s">
        <v>992</v>
      </c>
      <c r="H160" s="2" t="s">
        <v>993</v>
      </c>
      <c r="I160" s="2" t="s">
        <v>986</v>
      </c>
      <c r="J160" s="2" t="s">
        <v>763</v>
      </c>
      <c r="K160" s="2" t="s">
        <v>243</v>
      </c>
      <c r="L160" s="3">
        <v>26.4</v>
      </c>
      <c r="M160" s="3">
        <v>27.72</v>
      </c>
      <c r="N160" s="3">
        <v>54.99</v>
      </c>
      <c r="O160" s="2" t="s">
        <v>97</v>
      </c>
      <c r="P160" s="2" t="s">
        <v>175</v>
      </c>
      <c r="Q160" s="2" t="s">
        <v>99</v>
      </c>
      <c r="R160" s="2" t="s">
        <v>100</v>
      </c>
      <c r="S160" s="2" t="s">
        <v>994</v>
      </c>
      <c r="T160" s="2" t="s">
        <v>100</v>
      </c>
      <c r="U160" s="2" t="s">
        <v>100</v>
      </c>
      <c r="V160" s="2" t="s">
        <v>995</v>
      </c>
      <c r="W160" s="2" t="s">
        <v>222</v>
      </c>
      <c r="X160" s="2" t="s">
        <v>100</v>
      </c>
      <c r="Y160" s="2" t="s">
        <v>104</v>
      </c>
      <c r="Z160" s="4">
        <v>171</v>
      </c>
      <c r="AA160" s="4">
        <f>=ROUNDDOWN(12.2142857142857,0)</f>
      </c>
      <c r="AB160" s="5">
        <v>14</v>
      </c>
      <c r="AC160" s="2" t="s">
        <v>996</v>
      </c>
      <c r="AD160" s="4">
        <v>500</v>
      </c>
      <c r="AE160" s="4">
        <v>500</v>
      </c>
      <c r="AF160" s="6">
        <v>69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189</v>
      </c>
      <c r="BK160" s="8">
        <v>5494.28</v>
      </c>
      <c r="BL160" s="2" t="s">
        <v>997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97</v>
      </c>
      <c r="BW160" s="2" t="s">
        <v>122</v>
      </c>
      <c r="BX160" s="2" t="s">
        <v>998</v>
      </c>
      <c r="BY160" s="2" t="s">
        <v>109</v>
      </c>
      <c r="BZ160" s="2" t="s">
        <v>100</v>
      </c>
    </row>
    <row r="161">
      <c r="A161" s="2" t="s">
        <v>999</v>
      </c>
      <c r="B161" s="2" t="s">
        <v>87</v>
      </c>
      <c r="C161" s="2" t="s">
        <v>1000</v>
      </c>
      <c r="D161" s="2" t="s">
        <v>89</v>
      </c>
      <c r="E161" s="2" t="s">
        <v>90</v>
      </c>
      <c r="F161" s="2" t="s">
        <v>1001</v>
      </c>
      <c r="G161" s="2" t="s">
        <v>1001</v>
      </c>
      <c r="H161" s="2" t="s">
        <v>1001</v>
      </c>
      <c r="I161" s="2" t="s">
        <v>1002</v>
      </c>
      <c r="J161" s="2" t="s">
        <v>95</v>
      </c>
      <c r="K161" s="2" t="s">
        <v>1003</v>
      </c>
      <c r="L161" s="3">
        <v>20.5</v>
      </c>
      <c r="M161" s="3">
        <v>21.52</v>
      </c>
      <c r="N161" s="3">
        <v>42.99</v>
      </c>
      <c r="O161" s="2" t="s">
        <v>97</v>
      </c>
      <c r="P161" s="2" t="s">
        <v>126</v>
      </c>
      <c r="Q161" s="2" t="s">
        <v>99</v>
      </c>
      <c r="R161" s="2" t="s">
        <v>100</v>
      </c>
      <c r="S161" s="2" t="s">
        <v>1004</v>
      </c>
      <c r="T161" s="2" t="s">
        <v>100</v>
      </c>
      <c r="U161" s="2" t="s">
        <v>100</v>
      </c>
      <c r="V161" s="2" t="s">
        <v>545</v>
      </c>
      <c r="W161" s="2" t="s">
        <v>1005</v>
      </c>
      <c r="X161" s="2" t="s">
        <v>100</v>
      </c>
      <c r="Y161" s="2" t="s">
        <v>104</v>
      </c>
      <c r="Z161" s="4">
        <v>150</v>
      </c>
      <c r="AA161" s="4">
        <f>=ROUNDDOWN(7.89473684210526,0)</f>
      </c>
      <c r="AB161" s="5">
        <v>19</v>
      </c>
      <c r="AC161" s="2" t="s">
        <v>235</v>
      </c>
      <c r="AD161" s="4">
        <v>212</v>
      </c>
      <c r="AE161" s="4">
        <v>704</v>
      </c>
      <c r="AF161" s="6">
        <v>69</v>
      </c>
      <c r="AG161" s="6"/>
      <c r="AH161" s="7">
        <v>0.5614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2</v>
      </c>
      <c r="AQ161" s="8">
        <v>45.4</v>
      </c>
      <c r="AR161" s="4"/>
      <c r="AS161" s="8"/>
      <c r="AT161" s="7"/>
      <c r="AU161" s="7"/>
      <c r="AV161" s="4">
        <v>2</v>
      </c>
      <c r="AW161" s="8">
        <v>45.4</v>
      </c>
      <c r="AX161" s="4"/>
      <c r="AY161" s="8"/>
      <c r="AZ161" s="7"/>
      <c r="BA161" s="7"/>
      <c r="BB161" s="7">
        <v>1</v>
      </c>
      <c r="BC161" s="4">
        <v>2</v>
      </c>
      <c r="BD161" s="8">
        <v>45.4</v>
      </c>
      <c r="BE161" s="4"/>
      <c r="BF161" s="8"/>
      <c r="BG161" s="7"/>
      <c r="BH161" s="7"/>
      <c r="BI161" s="7">
        <v>1</v>
      </c>
      <c r="BJ161" s="4">
        <v>187</v>
      </c>
      <c r="BK161" s="8">
        <v>4072.32</v>
      </c>
      <c r="BL161" s="2" t="s">
        <v>211</v>
      </c>
      <c r="BM161" s="7">
        <v>0.0107</v>
      </c>
      <c r="BN161" s="7">
        <v>0.0111</v>
      </c>
      <c r="BO161" s="4">
        <v>2</v>
      </c>
      <c r="BP161" s="8">
        <v>45.4</v>
      </c>
      <c r="BQ161" s="4"/>
      <c r="BR161" s="8"/>
      <c r="BS161" s="7"/>
      <c r="BT161" s="7"/>
      <c r="BU161" s="2" t="s">
        <v>106</v>
      </c>
      <c r="BV161" s="2" t="s">
        <v>97</v>
      </c>
      <c r="BW161" s="2" t="s">
        <v>1006</v>
      </c>
      <c r="BX161" s="2" t="s">
        <v>1007</v>
      </c>
      <c r="BY161" s="2" t="s">
        <v>109</v>
      </c>
      <c r="BZ161" s="2" t="s">
        <v>100</v>
      </c>
    </row>
    <row r="162">
      <c r="A162" s="2" t="s">
        <v>1008</v>
      </c>
      <c r="B162" s="2" t="s">
        <v>87</v>
      </c>
      <c r="C162" s="2" t="s">
        <v>1000</v>
      </c>
      <c r="D162" s="2" t="s">
        <v>89</v>
      </c>
      <c r="E162" s="2" t="s">
        <v>90</v>
      </c>
      <c r="F162" s="2" t="s">
        <v>1009</v>
      </c>
      <c r="G162" s="2" t="s">
        <v>1009</v>
      </c>
      <c r="H162" s="2" t="s">
        <v>1009</v>
      </c>
      <c r="I162" s="2" t="s">
        <v>1010</v>
      </c>
      <c r="J162" s="2" t="s">
        <v>95</v>
      </c>
      <c r="K162" s="2" t="s">
        <v>112</v>
      </c>
      <c r="L162" s="3">
        <v>20.5</v>
      </c>
      <c r="M162" s="3">
        <v>21.53</v>
      </c>
      <c r="N162" s="3">
        <v>42.99</v>
      </c>
      <c r="O162" s="2" t="s">
        <v>97</v>
      </c>
      <c r="P162" s="2" t="s">
        <v>126</v>
      </c>
      <c r="Q162" s="2" t="s">
        <v>99</v>
      </c>
      <c r="R162" s="2" t="s">
        <v>100</v>
      </c>
      <c r="S162" s="2" t="s">
        <v>1011</v>
      </c>
      <c r="T162" s="2" t="s">
        <v>220</v>
      </c>
      <c r="U162" s="2" t="s">
        <v>196</v>
      </c>
      <c r="V162" s="2" t="s">
        <v>1012</v>
      </c>
      <c r="W162" s="2" t="s">
        <v>1005</v>
      </c>
      <c r="X162" s="2" t="s">
        <v>311</v>
      </c>
      <c r="Y162" s="2" t="s">
        <v>1013</v>
      </c>
      <c r="Z162" s="4">
        <v>133</v>
      </c>
      <c r="AA162" s="4">
        <f>=ROUNDDOWN(16.625,0)</f>
      </c>
      <c r="AB162" s="5">
        <v>8</v>
      </c>
      <c r="AC162" s="2" t="s">
        <v>559</v>
      </c>
      <c r="AD162" s="4">
        <v>240</v>
      </c>
      <c r="AE162" s="4">
        <v>350</v>
      </c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143</v>
      </c>
      <c r="BK162" s="8">
        <v>3334.2</v>
      </c>
      <c r="BL162" s="2" t="s">
        <v>1014</v>
      </c>
      <c r="BM162" s="7"/>
      <c r="BN162" s="7"/>
      <c r="BO162" s="4"/>
      <c r="BP162" s="8"/>
      <c r="BQ162" s="4"/>
      <c r="BR162" s="8"/>
      <c r="BS162" s="7"/>
      <c r="BT162" s="7"/>
      <c r="BU162" s="2" t="s">
        <v>200</v>
      </c>
      <c r="BV162" s="2" t="s">
        <v>97</v>
      </c>
      <c r="BW162" s="2" t="s">
        <v>100</v>
      </c>
      <c r="BX162" s="2" t="s">
        <v>100</v>
      </c>
      <c r="BY162" s="2" t="s">
        <v>109</v>
      </c>
      <c r="BZ162" s="2" t="s">
        <v>100</v>
      </c>
    </row>
    <row r="163">
      <c r="A163" s="2" t="s">
        <v>1015</v>
      </c>
      <c r="B163" s="2" t="s">
        <v>87</v>
      </c>
      <c r="C163" s="2" t="s">
        <v>1000</v>
      </c>
      <c r="D163" s="2" t="s">
        <v>89</v>
      </c>
      <c r="E163" s="2" t="s">
        <v>90</v>
      </c>
      <c r="F163" s="2" t="s">
        <v>1016</v>
      </c>
      <c r="G163" s="2" t="s">
        <v>1016</v>
      </c>
      <c r="H163" s="2" t="s">
        <v>1016</v>
      </c>
      <c r="I163" s="2" t="s">
        <v>1002</v>
      </c>
      <c r="J163" s="2" t="s">
        <v>95</v>
      </c>
      <c r="K163" s="2" t="s">
        <v>96</v>
      </c>
      <c r="L163" s="3">
        <v>20.5</v>
      </c>
      <c r="M163" s="3">
        <v>21.52</v>
      </c>
      <c r="N163" s="3">
        <v>42.99</v>
      </c>
      <c r="O163" s="2" t="s">
        <v>97</v>
      </c>
      <c r="P163" s="2" t="s">
        <v>1017</v>
      </c>
      <c r="Q163" s="2" t="s">
        <v>99</v>
      </c>
      <c r="R163" s="2" t="s">
        <v>100</v>
      </c>
      <c r="S163" s="2" t="s">
        <v>1004</v>
      </c>
      <c r="T163" s="2" t="s">
        <v>100</v>
      </c>
      <c r="U163" s="2" t="s">
        <v>100</v>
      </c>
      <c r="V163" s="2" t="s">
        <v>545</v>
      </c>
      <c r="W163" s="2" t="s">
        <v>1005</v>
      </c>
      <c r="X163" s="2" t="s">
        <v>100</v>
      </c>
      <c r="Y163" s="2" t="s">
        <v>104</v>
      </c>
      <c r="Z163" s="4">
        <v>213</v>
      </c>
      <c r="AA163" s="4">
        <f>=ROUNDDOWN(35.5,0)</f>
      </c>
      <c r="AB163" s="5">
        <v>6</v>
      </c>
      <c r="AC163" s="2" t="s">
        <v>1018</v>
      </c>
      <c r="AD163" s="4">
        <v>132</v>
      </c>
      <c r="AE163" s="4">
        <v>414</v>
      </c>
      <c r="AF163" s="6">
        <v>69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111</v>
      </c>
      <c r="BK163" s="8">
        <v>2404.1</v>
      </c>
      <c r="BL163" s="2" t="s">
        <v>663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97</v>
      </c>
      <c r="BW163" s="2" t="s">
        <v>1006</v>
      </c>
      <c r="BX163" s="2" t="s">
        <v>1019</v>
      </c>
      <c r="BY163" s="2" t="s">
        <v>109</v>
      </c>
      <c r="BZ163" s="2" t="s">
        <v>100</v>
      </c>
    </row>
    <row r="164">
      <c r="A164" s="2" t="s">
        <v>1020</v>
      </c>
      <c r="B164" s="2" t="s">
        <v>87</v>
      </c>
      <c r="C164" s="2" t="s">
        <v>1021</v>
      </c>
      <c r="D164" s="2" t="s">
        <v>89</v>
      </c>
      <c r="E164" s="2" t="s">
        <v>90</v>
      </c>
      <c r="F164" s="2" t="s">
        <v>1022</v>
      </c>
      <c r="G164" s="2" t="s">
        <v>1023</v>
      </c>
      <c r="H164" s="2" t="s">
        <v>1024</v>
      </c>
      <c r="I164" s="2" t="s">
        <v>1025</v>
      </c>
      <c r="J164" s="2" t="s">
        <v>95</v>
      </c>
      <c r="K164" s="2" t="s">
        <v>1026</v>
      </c>
      <c r="L164" s="3">
        <v>13.2</v>
      </c>
      <c r="M164" s="3">
        <v>13.86</v>
      </c>
      <c r="N164" s="3">
        <v>29.99</v>
      </c>
      <c r="O164" s="2" t="s">
        <v>97</v>
      </c>
      <c r="P164" s="2" t="s">
        <v>126</v>
      </c>
      <c r="Q164" s="2" t="s">
        <v>99</v>
      </c>
      <c r="R164" s="2" t="s">
        <v>100</v>
      </c>
      <c r="S164" s="2" t="s">
        <v>1027</v>
      </c>
      <c r="T164" s="2" t="s">
        <v>450</v>
      </c>
      <c r="U164" s="2" t="s">
        <v>196</v>
      </c>
      <c r="V164" s="2" t="s">
        <v>102</v>
      </c>
      <c r="W164" s="2" t="s">
        <v>103</v>
      </c>
      <c r="X164" s="2" t="s">
        <v>100</v>
      </c>
      <c r="Y164" s="2" t="s">
        <v>781</v>
      </c>
      <c r="Z164" s="4">
        <v>413</v>
      </c>
      <c r="AA164" s="4">
        <f>=ROUNDDOWN(31.7692307692308,0)</f>
      </c>
      <c r="AB164" s="5">
        <v>13</v>
      </c>
      <c r="AC164" s="2" t="s">
        <v>100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198</v>
      </c>
      <c r="BK164" s="8">
        <v>3055.37</v>
      </c>
      <c r="BL164" s="2" t="s">
        <v>726</v>
      </c>
      <c r="BM164" s="7"/>
      <c r="BN164" s="7"/>
      <c r="BO164" s="4"/>
      <c r="BP164" s="8"/>
      <c r="BQ164" s="4"/>
      <c r="BR164" s="8"/>
      <c r="BS164" s="7"/>
      <c r="BT164" s="7"/>
      <c r="BU164" s="2" t="s">
        <v>200</v>
      </c>
      <c r="BV164" s="2" t="s">
        <v>97</v>
      </c>
      <c r="BW164" s="2" t="s">
        <v>100</v>
      </c>
      <c r="BX164" s="2" t="s">
        <v>100</v>
      </c>
      <c r="BY164" s="2" t="s">
        <v>109</v>
      </c>
      <c r="BZ164" s="2" t="s">
        <v>110</v>
      </c>
    </row>
    <row r="165">
      <c r="A165" s="2" t="s">
        <v>1028</v>
      </c>
      <c r="B165" s="2" t="s">
        <v>87</v>
      </c>
      <c r="C165" s="2" t="s">
        <v>1021</v>
      </c>
      <c r="D165" s="2" t="s">
        <v>89</v>
      </c>
      <c r="E165" s="2" t="s">
        <v>90</v>
      </c>
      <c r="F165" s="2" t="s">
        <v>230</v>
      </c>
      <c r="G165" s="2" t="s">
        <v>1029</v>
      </c>
      <c r="H165" s="2" t="s">
        <v>1030</v>
      </c>
      <c r="I165" s="2" t="s">
        <v>1031</v>
      </c>
      <c r="J165" s="2" t="s">
        <v>95</v>
      </c>
      <c r="K165" s="2" t="s">
        <v>133</v>
      </c>
      <c r="L165" s="3">
        <v>11.76</v>
      </c>
      <c r="M165" s="3">
        <v>12.35</v>
      </c>
      <c r="N165" s="3">
        <v>27.99</v>
      </c>
      <c r="O165" s="2" t="s">
        <v>97</v>
      </c>
      <c r="P165" s="2" t="s">
        <v>134</v>
      </c>
      <c r="Q165" s="2" t="s">
        <v>99</v>
      </c>
      <c r="R165" s="2" t="s">
        <v>100</v>
      </c>
      <c r="S165" s="2" t="s">
        <v>1032</v>
      </c>
      <c r="T165" s="2" t="s">
        <v>450</v>
      </c>
      <c r="U165" s="2" t="s">
        <v>196</v>
      </c>
      <c r="V165" s="2" t="s">
        <v>102</v>
      </c>
      <c r="W165" s="2" t="s">
        <v>178</v>
      </c>
      <c r="X165" s="2" t="s">
        <v>100</v>
      </c>
      <c r="Y165" s="2" t="s">
        <v>1033</v>
      </c>
      <c r="Z165" s="4">
        <v>194</v>
      </c>
      <c r="AA165" s="4">
        <f>=ROUNDDOWN(24.25,0)</f>
      </c>
      <c r="AB165" s="5">
        <v>8</v>
      </c>
      <c r="AC165" s="2" t="s">
        <v>100</v>
      </c>
      <c r="AD165" s="4"/>
      <c r="AE165" s="4"/>
      <c r="AF165" s="6">
        <v>65</v>
      </c>
      <c r="AG165" s="6"/>
      <c r="AH165" s="7">
        <v>0.7895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>
        <v>66</v>
      </c>
      <c r="BK165" s="8">
        <v>892.03</v>
      </c>
      <c r="BL165" s="2" t="s">
        <v>1034</v>
      </c>
      <c r="BM165" s="7"/>
      <c r="BN165" s="7"/>
      <c r="BO165" s="4"/>
      <c r="BP165" s="8"/>
      <c r="BQ165" s="4"/>
      <c r="BR165" s="8"/>
      <c r="BS165" s="7"/>
      <c r="BT165" s="7"/>
      <c r="BU165" s="2" t="s">
        <v>200</v>
      </c>
      <c r="BV165" s="2" t="s">
        <v>97</v>
      </c>
      <c r="BW165" s="2" t="s">
        <v>100</v>
      </c>
      <c r="BX165" s="2" t="s">
        <v>100</v>
      </c>
      <c r="BY165" s="2" t="s">
        <v>109</v>
      </c>
      <c r="BZ165" s="2" t="s">
        <v>110</v>
      </c>
    </row>
    <row r="166">
      <c r="A166" s="2" t="s">
        <v>1035</v>
      </c>
      <c r="B166" s="2" t="s">
        <v>87</v>
      </c>
      <c r="C166" s="2" t="s">
        <v>1021</v>
      </c>
      <c r="D166" s="2" t="s">
        <v>89</v>
      </c>
      <c r="E166" s="2" t="s">
        <v>90</v>
      </c>
      <c r="F166" s="2" t="s">
        <v>230</v>
      </c>
      <c r="G166" s="2" t="s">
        <v>1029</v>
      </c>
      <c r="H166" s="2" t="s">
        <v>1030</v>
      </c>
      <c r="I166" s="2" t="s">
        <v>1031</v>
      </c>
      <c r="J166" s="2" t="s">
        <v>95</v>
      </c>
      <c r="K166" s="2" t="s">
        <v>243</v>
      </c>
      <c r="L166" s="3">
        <v>11.76</v>
      </c>
      <c r="M166" s="3">
        <v>12.35</v>
      </c>
      <c r="N166" s="3">
        <v>27.99</v>
      </c>
      <c r="O166" s="2" t="s">
        <v>97</v>
      </c>
      <c r="P166" s="2" t="s">
        <v>134</v>
      </c>
      <c r="Q166" s="2" t="s">
        <v>99</v>
      </c>
      <c r="R166" s="2" t="s">
        <v>100</v>
      </c>
      <c r="S166" s="2" t="s">
        <v>1036</v>
      </c>
      <c r="T166" s="2" t="s">
        <v>450</v>
      </c>
      <c r="U166" s="2" t="s">
        <v>196</v>
      </c>
      <c r="V166" s="2" t="s">
        <v>102</v>
      </c>
      <c r="W166" s="2" t="s">
        <v>178</v>
      </c>
      <c r="X166" s="2" t="s">
        <v>100</v>
      </c>
      <c r="Y166" s="2" t="s">
        <v>1037</v>
      </c>
      <c r="Z166" s="4">
        <v>312</v>
      </c>
      <c r="AA166" s="4">
        <f>=ROUNDDOWN(16.4210526315789,0)</f>
      </c>
      <c r="AB166" s="5">
        <v>19</v>
      </c>
      <c r="AC166" s="2" t="s">
        <v>100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321</v>
      </c>
      <c r="BK166" s="8">
        <v>3960.34</v>
      </c>
      <c r="BL166" s="2" t="s">
        <v>459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97</v>
      </c>
      <c r="BW166" s="2" t="s">
        <v>225</v>
      </c>
      <c r="BX166" s="2" t="s">
        <v>1038</v>
      </c>
      <c r="BY166" s="2" t="s">
        <v>109</v>
      </c>
      <c r="BZ166" s="2" t="s">
        <v>110</v>
      </c>
    </row>
    <row r="167">
      <c r="A167" s="2" t="s">
        <v>1039</v>
      </c>
      <c r="B167" s="2" t="s">
        <v>87</v>
      </c>
      <c r="C167" s="2" t="s">
        <v>1021</v>
      </c>
      <c r="D167" s="2" t="s">
        <v>89</v>
      </c>
      <c r="E167" s="2" t="s">
        <v>90</v>
      </c>
      <c r="F167" s="2" t="s">
        <v>1040</v>
      </c>
      <c r="G167" s="2" t="s">
        <v>1041</v>
      </c>
      <c r="H167" s="2" t="s">
        <v>1042</v>
      </c>
      <c r="I167" s="2" t="s">
        <v>1031</v>
      </c>
      <c r="J167" s="2" t="s">
        <v>95</v>
      </c>
      <c r="K167" s="2" t="s">
        <v>133</v>
      </c>
      <c r="L167" s="3">
        <v>11.17</v>
      </c>
      <c r="M167" s="3">
        <v>11.73</v>
      </c>
      <c r="N167" s="3">
        <v>24.99</v>
      </c>
      <c r="O167" s="2" t="s">
        <v>97</v>
      </c>
      <c r="P167" s="2" t="s">
        <v>126</v>
      </c>
      <c r="Q167" s="2" t="s">
        <v>99</v>
      </c>
      <c r="R167" s="2" t="s">
        <v>100</v>
      </c>
      <c r="S167" s="2" t="s">
        <v>1043</v>
      </c>
      <c r="T167" s="2" t="s">
        <v>450</v>
      </c>
      <c r="U167" s="2" t="s">
        <v>196</v>
      </c>
      <c r="V167" s="2" t="s">
        <v>102</v>
      </c>
      <c r="W167" s="2" t="s">
        <v>178</v>
      </c>
      <c r="X167" s="2" t="s">
        <v>100</v>
      </c>
      <c r="Y167" s="2" t="s">
        <v>790</v>
      </c>
      <c r="Z167" s="4">
        <v>642</v>
      </c>
      <c r="AA167" s="4">
        <f>=ROUNDDOWN(33.7894736842105,0)</f>
      </c>
      <c r="AB167" s="5">
        <v>19</v>
      </c>
      <c r="AC167" s="2" t="s">
        <v>100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/>
      <c r="BJ167" s="4">
        <v>260</v>
      </c>
      <c r="BK167" s="8">
        <v>3176.91</v>
      </c>
      <c r="BL167" s="2" t="s">
        <v>783</v>
      </c>
      <c r="BM167" s="7"/>
      <c r="BN167" s="7"/>
      <c r="BO167" s="4"/>
      <c r="BP167" s="8"/>
      <c r="BQ167" s="4"/>
      <c r="BR167" s="8"/>
      <c r="BS167" s="7"/>
      <c r="BT167" s="7"/>
      <c r="BU167" s="2" t="s">
        <v>200</v>
      </c>
      <c r="BV167" s="2" t="s">
        <v>97</v>
      </c>
      <c r="BW167" s="2" t="s">
        <v>100</v>
      </c>
      <c r="BX167" s="2" t="s">
        <v>100</v>
      </c>
      <c r="BY167" s="2" t="s">
        <v>109</v>
      </c>
      <c r="BZ167" s="2" t="s">
        <v>110</v>
      </c>
    </row>
    <row r="168">
      <c r="A168" s="2" t="s">
        <v>1044</v>
      </c>
      <c r="B168" s="2" t="s">
        <v>87</v>
      </c>
      <c r="C168" s="2" t="s">
        <v>1021</v>
      </c>
      <c r="D168" s="2" t="s">
        <v>89</v>
      </c>
      <c r="E168" s="2" t="s">
        <v>90</v>
      </c>
      <c r="F168" s="2" t="s">
        <v>1040</v>
      </c>
      <c r="G168" s="2" t="s">
        <v>1041</v>
      </c>
      <c r="H168" s="2" t="s">
        <v>1042</v>
      </c>
      <c r="I168" s="2" t="s">
        <v>1031</v>
      </c>
      <c r="J168" s="2" t="s">
        <v>95</v>
      </c>
      <c r="K168" s="2" t="s">
        <v>320</v>
      </c>
      <c r="L168" s="3">
        <v>11.17</v>
      </c>
      <c r="M168" s="3">
        <v>11.73</v>
      </c>
      <c r="N168" s="3">
        <v>24.99</v>
      </c>
      <c r="O168" s="2" t="s">
        <v>97</v>
      </c>
      <c r="P168" s="2" t="s">
        <v>113</v>
      </c>
      <c r="Q168" s="2" t="s">
        <v>99</v>
      </c>
      <c r="R168" s="2" t="s">
        <v>100</v>
      </c>
      <c r="S168" s="2" t="s">
        <v>1045</v>
      </c>
      <c r="T168" s="2" t="s">
        <v>450</v>
      </c>
      <c r="U168" s="2" t="s">
        <v>196</v>
      </c>
      <c r="V168" s="2" t="s">
        <v>102</v>
      </c>
      <c r="W168" s="2" t="s">
        <v>178</v>
      </c>
      <c r="X168" s="2" t="s">
        <v>100</v>
      </c>
      <c r="Y168" s="2" t="s">
        <v>1046</v>
      </c>
      <c r="Z168" s="4">
        <v>1221</v>
      </c>
      <c r="AA168" s="4">
        <f>=ROUNDDOWN(19.3809523809524,0)</f>
      </c>
      <c r="AB168" s="5">
        <v>63</v>
      </c>
      <c r="AC168" s="2" t="s">
        <v>120</v>
      </c>
      <c r="AD168" s="4">
        <v>700</v>
      </c>
      <c r="AE168" s="4">
        <v>1500</v>
      </c>
      <c r="AF168" s="6">
        <v>69</v>
      </c>
      <c r="AG168" s="6">
        <v>77</v>
      </c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>
        <v>1036</v>
      </c>
      <c r="BK168" s="8">
        <v>12370.43</v>
      </c>
      <c r="BL168" s="2" t="s">
        <v>1047</v>
      </c>
      <c r="BM168" s="7"/>
      <c r="BN168" s="7"/>
      <c r="BO168" s="4"/>
      <c r="BP168" s="8"/>
      <c r="BQ168" s="4"/>
      <c r="BR168" s="8"/>
      <c r="BS168" s="7"/>
      <c r="BT168" s="7"/>
      <c r="BU168" s="2" t="s">
        <v>106</v>
      </c>
      <c r="BV168" s="2" t="s">
        <v>97</v>
      </c>
      <c r="BW168" s="2" t="s">
        <v>506</v>
      </c>
      <c r="BX168" s="2" t="s">
        <v>1048</v>
      </c>
      <c r="BY168" s="2" t="s">
        <v>109</v>
      </c>
      <c r="BZ168" s="2" t="s">
        <v>110</v>
      </c>
    </row>
    <row r="169">
      <c r="A169" s="2" t="s">
        <v>1049</v>
      </c>
      <c r="B169" s="2" t="s">
        <v>87</v>
      </c>
      <c r="C169" s="2" t="s">
        <v>1050</v>
      </c>
      <c r="D169" s="2" t="s">
        <v>549</v>
      </c>
      <c r="E169" s="2" t="s">
        <v>550</v>
      </c>
      <c r="F169" s="2" t="s">
        <v>1051</v>
      </c>
      <c r="G169" s="2" t="s">
        <v>1051</v>
      </c>
      <c r="H169" s="2" t="s">
        <v>1051</v>
      </c>
      <c r="I169" s="2" t="s">
        <v>1052</v>
      </c>
      <c r="J169" s="2" t="s">
        <v>606</v>
      </c>
      <c r="K169" s="2" t="s">
        <v>243</v>
      </c>
      <c r="L169" s="3">
        <v>17.5</v>
      </c>
      <c r="M169" s="3">
        <v>18.38</v>
      </c>
      <c r="N169" s="3">
        <v>34.99</v>
      </c>
      <c r="O169" s="2" t="s">
        <v>97</v>
      </c>
      <c r="P169" s="2" t="s">
        <v>126</v>
      </c>
      <c r="Q169" s="2" t="s">
        <v>99</v>
      </c>
      <c r="R169" s="2" t="s">
        <v>100</v>
      </c>
      <c r="S169" s="2" t="s">
        <v>1053</v>
      </c>
      <c r="T169" s="2" t="s">
        <v>220</v>
      </c>
      <c r="U169" s="2" t="s">
        <v>196</v>
      </c>
      <c r="V169" s="2" t="s">
        <v>221</v>
      </c>
      <c r="W169" s="2" t="s">
        <v>103</v>
      </c>
      <c r="X169" s="2" t="s">
        <v>100</v>
      </c>
      <c r="Y169" s="2" t="s">
        <v>1054</v>
      </c>
      <c r="Z169" s="4">
        <v>277</v>
      </c>
      <c r="AA169" s="4">
        <f>=ROUNDDOWN(27.7,0)</f>
      </c>
      <c r="AB169" s="5">
        <v>10</v>
      </c>
      <c r="AC169" s="2" t="s">
        <v>908</v>
      </c>
      <c r="AD169" s="4">
        <v>108</v>
      </c>
      <c r="AE169" s="4">
        <v>270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/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/>
      <c r="BJ169" s="4">
        <v>160</v>
      </c>
      <c r="BK169" s="8">
        <v>3136.46</v>
      </c>
      <c r="BL169" s="2" t="s">
        <v>1055</v>
      </c>
      <c r="BM169" s="7"/>
      <c r="BN169" s="7"/>
      <c r="BO169" s="4"/>
      <c r="BP169" s="8"/>
      <c r="BQ169" s="4"/>
      <c r="BR169" s="8"/>
      <c r="BS169" s="7"/>
      <c r="BT169" s="7"/>
      <c r="BU169" s="2" t="s">
        <v>200</v>
      </c>
      <c r="BV169" s="2" t="s">
        <v>97</v>
      </c>
      <c r="BW169" s="2" t="s">
        <v>100</v>
      </c>
      <c r="BX169" s="2" t="s">
        <v>100</v>
      </c>
      <c r="BY169" s="2" t="s">
        <v>109</v>
      </c>
      <c r="BZ169" s="2" t="s">
        <v>100</v>
      </c>
    </row>
    <row r="170">
      <c r="A170" s="2" t="s">
        <v>1056</v>
      </c>
      <c r="B170" s="2" t="s">
        <v>87</v>
      </c>
      <c r="C170" s="2" t="s">
        <v>1050</v>
      </c>
      <c r="D170" s="2" t="s">
        <v>549</v>
      </c>
      <c r="E170" s="2" t="s">
        <v>550</v>
      </c>
      <c r="F170" s="2" t="s">
        <v>1051</v>
      </c>
      <c r="G170" s="2" t="s">
        <v>1051</v>
      </c>
      <c r="H170" s="2" t="s">
        <v>1051</v>
      </c>
      <c r="I170" s="2" t="s">
        <v>1052</v>
      </c>
      <c r="J170" s="2" t="s">
        <v>555</v>
      </c>
      <c r="K170" s="2" t="s">
        <v>243</v>
      </c>
      <c r="L170" s="3">
        <v>21.5</v>
      </c>
      <c r="M170" s="3">
        <v>22.58</v>
      </c>
      <c r="N170" s="3">
        <v>44.99</v>
      </c>
      <c r="O170" s="2" t="s">
        <v>97</v>
      </c>
      <c r="P170" s="2" t="s">
        <v>126</v>
      </c>
      <c r="Q170" s="2" t="s">
        <v>99</v>
      </c>
      <c r="R170" s="2" t="s">
        <v>100</v>
      </c>
      <c r="S170" s="2" t="s">
        <v>1053</v>
      </c>
      <c r="T170" s="2" t="s">
        <v>220</v>
      </c>
      <c r="U170" s="2" t="s">
        <v>196</v>
      </c>
      <c r="V170" s="2" t="s">
        <v>221</v>
      </c>
      <c r="W170" s="2" t="s">
        <v>103</v>
      </c>
      <c r="X170" s="2" t="s">
        <v>100</v>
      </c>
      <c r="Y170" s="2" t="s">
        <v>1054</v>
      </c>
      <c r="Z170" s="4">
        <v>203</v>
      </c>
      <c r="AA170" s="4">
        <f>=ROUNDDOWN(22.5555555555556,0)</f>
      </c>
      <c r="AB170" s="5">
        <v>9</v>
      </c>
      <c r="AC170" s="2" t="s">
        <v>908</v>
      </c>
      <c r="AD170" s="4">
        <v>90</v>
      </c>
      <c r="AE170" s="4">
        <v>390</v>
      </c>
      <c r="AF170" s="6">
        <v>67</v>
      </c>
      <c r="AG170" s="6"/>
      <c r="AH170" s="7">
        <v>0.9649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/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/>
      <c r="BJ170" s="4">
        <v>156</v>
      </c>
      <c r="BK170" s="8">
        <v>3791.5</v>
      </c>
      <c r="BL170" s="2" t="s">
        <v>1057</v>
      </c>
      <c r="BM170" s="7"/>
      <c r="BN170" s="7"/>
      <c r="BO170" s="4"/>
      <c r="BP170" s="8"/>
      <c r="BQ170" s="4"/>
      <c r="BR170" s="8"/>
      <c r="BS170" s="7"/>
      <c r="BT170" s="7"/>
      <c r="BU170" s="2" t="s">
        <v>200</v>
      </c>
      <c r="BV170" s="2" t="s">
        <v>97</v>
      </c>
      <c r="BW170" s="2" t="s">
        <v>100</v>
      </c>
      <c r="BX170" s="2" t="s">
        <v>100</v>
      </c>
      <c r="BY170" s="2" t="s">
        <v>109</v>
      </c>
      <c r="BZ170" s="2" t="s">
        <v>100</v>
      </c>
    </row>
    <row r="171">
      <c r="A171" s="2" t="s">
        <v>1058</v>
      </c>
      <c r="B171" s="2" t="s">
        <v>87</v>
      </c>
      <c r="C171" s="2" t="s">
        <v>1050</v>
      </c>
      <c r="D171" s="2" t="s">
        <v>549</v>
      </c>
      <c r="E171" s="2" t="s">
        <v>550</v>
      </c>
      <c r="F171" s="2" t="s">
        <v>1051</v>
      </c>
      <c r="G171" s="2" t="s">
        <v>1051</v>
      </c>
      <c r="H171" s="2" t="s">
        <v>1051</v>
      </c>
      <c r="I171" s="2" t="s">
        <v>1052</v>
      </c>
      <c r="J171" s="2" t="s">
        <v>565</v>
      </c>
      <c r="K171" s="2" t="s">
        <v>243</v>
      </c>
      <c r="L171" s="3">
        <v>35</v>
      </c>
      <c r="M171" s="3">
        <v>36.75</v>
      </c>
      <c r="N171" s="3">
        <v>74.99</v>
      </c>
      <c r="O171" s="2" t="s">
        <v>97</v>
      </c>
      <c r="P171" s="2" t="s">
        <v>126</v>
      </c>
      <c r="Q171" s="2" t="s">
        <v>99</v>
      </c>
      <c r="R171" s="2" t="s">
        <v>100</v>
      </c>
      <c r="S171" s="2" t="s">
        <v>1053</v>
      </c>
      <c r="T171" s="2" t="s">
        <v>220</v>
      </c>
      <c r="U171" s="2" t="s">
        <v>196</v>
      </c>
      <c r="V171" s="2" t="s">
        <v>221</v>
      </c>
      <c r="W171" s="2" t="s">
        <v>103</v>
      </c>
      <c r="X171" s="2" t="s">
        <v>100</v>
      </c>
      <c r="Y171" s="2" t="s">
        <v>1054</v>
      </c>
      <c r="Z171" s="4">
        <v>192</v>
      </c>
      <c r="AA171" s="4">
        <f>=ROUNDDOWN(24,0)</f>
      </c>
      <c r="AB171" s="5">
        <v>8</v>
      </c>
      <c r="AC171" s="2" t="s">
        <v>908</v>
      </c>
      <c r="AD171" s="4">
        <v>78</v>
      </c>
      <c r="AE171" s="4">
        <v>132</v>
      </c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>
        <v>104</v>
      </c>
      <c r="BK171" s="8">
        <v>4128.91</v>
      </c>
      <c r="BL171" s="2" t="s">
        <v>1059</v>
      </c>
      <c r="BM171" s="7"/>
      <c r="BN171" s="7"/>
      <c r="BO171" s="4"/>
      <c r="BP171" s="8"/>
      <c r="BQ171" s="4"/>
      <c r="BR171" s="8"/>
      <c r="BS171" s="7"/>
      <c r="BT171" s="7"/>
      <c r="BU171" s="2" t="s">
        <v>200</v>
      </c>
      <c r="BV171" s="2" t="s">
        <v>97</v>
      </c>
      <c r="BW171" s="2" t="s">
        <v>100</v>
      </c>
      <c r="BX171" s="2" t="s">
        <v>100</v>
      </c>
      <c r="BY171" s="2" t="s">
        <v>109</v>
      </c>
      <c r="BZ171" s="2" t="s">
        <v>100</v>
      </c>
    </row>
    <row r="172">
      <c r="A172" s="2" t="s">
        <v>1060</v>
      </c>
      <c r="B172" s="2" t="s">
        <v>87</v>
      </c>
      <c r="C172" s="2" t="s">
        <v>1050</v>
      </c>
      <c r="D172" s="2" t="s">
        <v>549</v>
      </c>
      <c r="E172" s="2" t="s">
        <v>550</v>
      </c>
      <c r="F172" s="2" t="s">
        <v>1051</v>
      </c>
      <c r="G172" s="2" t="s">
        <v>1051</v>
      </c>
      <c r="H172" s="2" t="s">
        <v>1051</v>
      </c>
      <c r="I172" s="2" t="s">
        <v>1052</v>
      </c>
      <c r="J172" s="2" t="s">
        <v>606</v>
      </c>
      <c r="K172" s="2" t="s">
        <v>267</v>
      </c>
      <c r="L172" s="3">
        <v>17.5</v>
      </c>
      <c r="M172" s="3">
        <v>18.38</v>
      </c>
      <c r="N172" s="3">
        <v>34.99</v>
      </c>
      <c r="O172" s="2" t="s">
        <v>97</v>
      </c>
      <c r="P172" s="2" t="s">
        <v>126</v>
      </c>
      <c r="Q172" s="2" t="s">
        <v>99</v>
      </c>
      <c r="R172" s="2" t="s">
        <v>100</v>
      </c>
      <c r="S172" s="2" t="s">
        <v>1061</v>
      </c>
      <c r="T172" s="2" t="s">
        <v>220</v>
      </c>
      <c r="U172" s="2" t="s">
        <v>196</v>
      </c>
      <c r="V172" s="2" t="s">
        <v>221</v>
      </c>
      <c r="W172" s="2" t="s">
        <v>103</v>
      </c>
      <c r="X172" s="2" t="s">
        <v>100</v>
      </c>
      <c r="Y172" s="2" t="s">
        <v>1054</v>
      </c>
      <c r="Z172" s="4">
        <v>268</v>
      </c>
      <c r="AA172" s="4">
        <f>=ROUNDDOWN(26.8,0)</f>
      </c>
      <c r="AB172" s="5">
        <v>10</v>
      </c>
      <c r="AC172" s="2" t="s">
        <v>715</v>
      </c>
      <c r="AD172" s="4">
        <v>240</v>
      </c>
      <c r="AE172" s="4">
        <v>240</v>
      </c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>
        <v>143</v>
      </c>
      <c r="BK172" s="8">
        <v>2810.65</v>
      </c>
      <c r="BL172" s="2" t="s">
        <v>1057</v>
      </c>
      <c r="BM172" s="7"/>
      <c r="BN172" s="7"/>
      <c r="BO172" s="4"/>
      <c r="BP172" s="8"/>
      <c r="BQ172" s="4"/>
      <c r="BR172" s="8"/>
      <c r="BS172" s="7"/>
      <c r="BT172" s="7"/>
      <c r="BU172" s="2" t="s">
        <v>200</v>
      </c>
      <c r="BV172" s="2" t="s">
        <v>97</v>
      </c>
      <c r="BW172" s="2" t="s">
        <v>100</v>
      </c>
      <c r="BX172" s="2" t="s">
        <v>100</v>
      </c>
      <c r="BY172" s="2" t="s">
        <v>109</v>
      </c>
      <c r="BZ172" s="2" t="s">
        <v>100</v>
      </c>
    </row>
    <row r="173">
      <c r="A173" s="2" t="s">
        <v>1062</v>
      </c>
      <c r="B173" s="2" t="s">
        <v>87</v>
      </c>
      <c r="C173" s="2" t="s">
        <v>1050</v>
      </c>
      <c r="D173" s="2" t="s">
        <v>549</v>
      </c>
      <c r="E173" s="2" t="s">
        <v>550</v>
      </c>
      <c r="F173" s="2" t="s">
        <v>1051</v>
      </c>
      <c r="G173" s="2" t="s">
        <v>1051</v>
      </c>
      <c r="H173" s="2" t="s">
        <v>1051</v>
      </c>
      <c r="I173" s="2" t="s">
        <v>1052</v>
      </c>
      <c r="J173" s="2" t="s">
        <v>555</v>
      </c>
      <c r="K173" s="2" t="s">
        <v>267</v>
      </c>
      <c r="L173" s="3">
        <v>21.5</v>
      </c>
      <c r="M173" s="3">
        <v>22.58</v>
      </c>
      <c r="N173" s="3">
        <v>44.99</v>
      </c>
      <c r="O173" s="2" t="s">
        <v>97</v>
      </c>
      <c r="P173" s="2" t="s">
        <v>126</v>
      </c>
      <c r="Q173" s="2" t="s">
        <v>99</v>
      </c>
      <c r="R173" s="2" t="s">
        <v>100</v>
      </c>
      <c r="S173" s="2" t="s">
        <v>1061</v>
      </c>
      <c r="T173" s="2" t="s">
        <v>220</v>
      </c>
      <c r="U173" s="2" t="s">
        <v>196</v>
      </c>
      <c r="V173" s="2" t="s">
        <v>221</v>
      </c>
      <c r="W173" s="2" t="s">
        <v>103</v>
      </c>
      <c r="X173" s="2" t="s">
        <v>100</v>
      </c>
      <c r="Y173" s="2" t="s">
        <v>1054</v>
      </c>
      <c r="Z173" s="4">
        <v>173</v>
      </c>
      <c r="AA173" s="4">
        <f>=ROUNDDOWN(21.625,0)</f>
      </c>
      <c r="AB173" s="5">
        <v>8</v>
      </c>
      <c r="AC173" s="2" t="s">
        <v>715</v>
      </c>
      <c r="AD173" s="4">
        <v>216</v>
      </c>
      <c r="AE173" s="4">
        <v>216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/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/>
      <c r="BJ173" s="4">
        <v>128</v>
      </c>
      <c r="BK173" s="8">
        <v>3091.05</v>
      </c>
      <c r="BL173" s="2" t="s">
        <v>1055</v>
      </c>
      <c r="BM173" s="7"/>
      <c r="BN173" s="7"/>
      <c r="BO173" s="4"/>
      <c r="BP173" s="8"/>
      <c r="BQ173" s="4"/>
      <c r="BR173" s="8"/>
      <c r="BS173" s="7"/>
      <c r="BT173" s="7"/>
      <c r="BU173" s="2" t="s">
        <v>200</v>
      </c>
      <c r="BV173" s="2" t="s">
        <v>97</v>
      </c>
      <c r="BW173" s="2" t="s">
        <v>100</v>
      </c>
      <c r="BX173" s="2" t="s">
        <v>100</v>
      </c>
      <c r="BY173" s="2" t="s">
        <v>109</v>
      </c>
      <c r="BZ173" s="2" t="s">
        <v>100</v>
      </c>
    </row>
    <row r="174">
      <c r="A174" s="2" t="s">
        <v>1063</v>
      </c>
      <c r="B174" s="2" t="s">
        <v>87</v>
      </c>
      <c r="C174" s="2" t="s">
        <v>1050</v>
      </c>
      <c r="D174" s="2" t="s">
        <v>549</v>
      </c>
      <c r="E174" s="2" t="s">
        <v>550</v>
      </c>
      <c r="F174" s="2" t="s">
        <v>1051</v>
      </c>
      <c r="G174" s="2" t="s">
        <v>1051</v>
      </c>
      <c r="H174" s="2" t="s">
        <v>1051</v>
      </c>
      <c r="I174" s="2" t="s">
        <v>1052</v>
      </c>
      <c r="J174" s="2" t="s">
        <v>565</v>
      </c>
      <c r="K174" s="2" t="s">
        <v>267</v>
      </c>
      <c r="L174" s="3">
        <v>35</v>
      </c>
      <c r="M174" s="3">
        <v>36.75</v>
      </c>
      <c r="N174" s="3">
        <v>74.99</v>
      </c>
      <c r="O174" s="2" t="s">
        <v>97</v>
      </c>
      <c r="P174" s="2" t="s">
        <v>126</v>
      </c>
      <c r="Q174" s="2" t="s">
        <v>99</v>
      </c>
      <c r="R174" s="2" t="s">
        <v>100</v>
      </c>
      <c r="S174" s="2" t="s">
        <v>1061</v>
      </c>
      <c r="T174" s="2" t="s">
        <v>220</v>
      </c>
      <c r="U174" s="2" t="s">
        <v>196</v>
      </c>
      <c r="V174" s="2" t="s">
        <v>221</v>
      </c>
      <c r="W174" s="2" t="s">
        <v>103</v>
      </c>
      <c r="X174" s="2" t="s">
        <v>100</v>
      </c>
      <c r="Y174" s="2" t="s">
        <v>1054</v>
      </c>
      <c r="Z174" s="4">
        <v>267</v>
      </c>
      <c r="AA174" s="4">
        <f>=ROUNDDOWN(44.5,0)</f>
      </c>
      <c r="AB174" s="5">
        <v>6</v>
      </c>
      <c r="AC174" s="2" t="s">
        <v>715</v>
      </c>
      <c r="AD174" s="4">
        <v>60</v>
      </c>
      <c r="AE174" s="4">
        <v>60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/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/>
      <c r="BJ174" s="4">
        <v>84</v>
      </c>
      <c r="BK174" s="8">
        <v>3335.93</v>
      </c>
      <c r="BL174" s="2" t="s">
        <v>1064</v>
      </c>
      <c r="BM174" s="7"/>
      <c r="BN174" s="7"/>
      <c r="BO174" s="4"/>
      <c r="BP174" s="8"/>
      <c r="BQ174" s="4"/>
      <c r="BR174" s="8"/>
      <c r="BS174" s="7"/>
      <c r="BT174" s="7"/>
      <c r="BU174" s="2" t="s">
        <v>200</v>
      </c>
      <c r="BV174" s="2" t="s">
        <v>97</v>
      </c>
      <c r="BW174" s="2" t="s">
        <v>100</v>
      </c>
      <c r="BX174" s="2" t="s">
        <v>100</v>
      </c>
      <c r="BY174" s="2" t="s">
        <v>109</v>
      </c>
      <c r="BZ174" s="2" t="s">
        <v>100</v>
      </c>
    </row>
    <row r="175">
      <c r="A175" s="2" t="s">
        <v>1065</v>
      </c>
      <c r="B175" s="2" t="s">
        <v>87</v>
      </c>
      <c r="C175" s="2" t="s">
        <v>1050</v>
      </c>
      <c r="D175" s="2" t="s">
        <v>549</v>
      </c>
      <c r="E175" s="2" t="s">
        <v>550</v>
      </c>
      <c r="F175" s="2" t="s">
        <v>1051</v>
      </c>
      <c r="G175" s="2" t="s">
        <v>1051</v>
      </c>
      <c r="H175" s="2" t="s">
        <v>1051</v>
      </c>
      <c r="I175" s="2" t="s">
        <v>1052</v>
      </c>
      <c r="J175" s="2" t="s">
        <v>606</v>
      </c>
      <c r="K175" s="2" t="s">
        <v>218</v>
      </c>
      <c r="L175" s="3">
        <v>17.5</v>
      </c>
      <c r="M175" s="3">
        <v>18.38</v>
      </c>
      <c r="N175" s="3">
        <v>34.99</v>
      </c>
      <c r="O175" s="2" t="s">
        <v>97</v>
      </c>
      <c r="P175" s="2" t="s">
        <v>126</v>
      </c>
      <c r="Q175" s="2" t="s">
        <v>99</v>
      </c>
      <c r="R175" s="2" t="s">
        <v>100</v>
      </c>
      <c r="S175" s="2" t="s">
        <v>1066</v>
      </c>
      <c r="T175" s="2" t="s">
        <v>220</v>
      </c>
      <c r="U175" s="2" t="s">
        <v>196</v>
      </c>
      <c r="V175" s="2" t="s">
        <v>221</v>
      </c>
      <c r="W175" s="2" t="s">
        <v>103</v>
      </c>
      <c r="X175" s="2" t="s">
        <v>100</v>
      </c>
      <c r="Y175" s="2" t="s">
        <v>1054</v>
      </c>
      <c r="Z175" s="4">
        <v>277</v>
      </c>
      <c r="AA175" s="4">
        <f>=ROUNDDOWN(25.1818181818182,0)</f>
      </c>
      <c r="AB175" s="5">
        <v>11</v>
      </c>
      <c r="AC175" s="2" t="s">
        <v>908</v>
      </c>
      <c r="AD175" s="4">
        <v>102</v>
      </c>
      <c r="AE175" s="4">
        <v>102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/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/>
      <c r="BJ175" s="4">
        <v>146</v>
      </c>
      <c r="BK175" s="8">
        <v>2854.53</v>
      </c>
      <c r="BL175" s="2" t="s">
        <v>1057</v>
      </c>
      <c r="BM175" s="7"/>
      <c r="BN175" s="7"/>
      <c r="BO175" s="4"/>
      <c r="BP175" s="8"/>
      <c r="BQ175" s="4"/>
      <c r="BR175" s="8"/>
      <c r="BS175" s="7"/>
      <c r="BT175" s="7"/>
      <c r="BU175" s="2" t="s">
        <v>200</v>
      </c>
      <c r="BV175" s="2" t="s">
        <v>97</v>
      </c>
      <c r="BW175" s="2" t="s">
        <v>100</v>
      </c>
      <c r="BX175" s="2" t="s">
        <v>100</v>
      </c>
      <c r="BY175" s="2" t="s">
        <v>109</v>
      </c>
      <c r="BZ175" s="2" t="s">
        <v>100</v>
      </c>
    </row>
    <row r="176">
      <c r="A176" s="2" t="s">
        <v>1067</v>
      </c>
      <c r="B176" s="2" t="s">
        <v>87</v>
      </c>
      <c r="C176" s="2" t="s">
        <v>1050</v>
      </c>
      <c r="D176" s="2" t="s">
        <v>549</v>
      </c>
      <c r="E176" s="2" t="s">
        <v>550</v>
      </c>
      <c r="F176" s="2" t="s">
        <v>1051</v>
      </c>
      <c r="G176" s="2" t="s">
        <v>1051</v>
      </c>
      <c r="H176" s="2" t="s">
        <v>1051</v>
      </c>
      <c r="I176" s="2" t="s">
        <v>1052</v>
      </c>
      <c r="J176" s="2" t="s">
        <v>555</v>
      </c>
      <c r="K176" s="2" t="s">
        <v>218</v>
      </c>
      <c r="L176" s="3">
        <v>21.5</v>
      </c>
      <c r="M176" s="3">
        <v>22.58</v>
      </c>
      <c r="N176" s="3">
        <v>44.99</v>
      </c>
      <c r="O176" s="2" t="s">
        <v>97</v>
      </c>
      <c r="P176" s="2" t="s">
        <v>126</v>
      </c>
      <c r="Q176" s="2" t="s">
        <v>99</v>
      </c>
      <c r="R176" s="2" t="s">
        <v>100</v>
      </c>
      <c r="S176" s="2" t="s">
        <v>1066</v>
      </c>
      <c r="T176" s="2" t="s">
        <v>220</v>
      </c>
      <c r="U176" s="2" t="s">
        <v>196</v>
      </c>
      <c r="V176" s="2" t="s">
        <v>221</v>
      </c>
      <c r="W176" s="2" t="s">
        <v>103</v>
      </c>
      <c r="X176" s="2" t="s">
        <v>100</v>
      </c>
      <c r="Y176" s="2" t="s">
        <v>1054</v>
      </c>
      <c r="Z176" s="4">
        <v>260</v>
      </c>
      <c r="AA176" s="4">
        <f>=ROUNDDOWN(26,0)</f>
      </c>
      <c r="AB176" s="5">
        <v>10</v>
      </c>
      <c r="AC176" s="2" t="s">
        <v>908</v>
      </c>
      <c r="AD176" s="4">
        <v>96</v>
      </c>
      <c r="AE176" s="4">
        <v>96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100</v>
      </c>
      <c r="AW176" s="8" t="s">
        <v>100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/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/>
      <c r="BJ176" s="4">
        <v>123</v>
      </c>
      <c r="BK176" s="8">
        <v>2979.27</v>
      </c>
      <c r="BL176" s="2" t="s">
        <v>704</v>
      </c>
      <c r="BM176" s="7"/>
      <c r="BN176" s="7"/>
      <c r="BO176" s="4"/>
      <c r="BP176" s="8"/>
      <c r="BQ176" s="4"/>
      <c r="BR176" s="8"/>
      <c r="BS176" s="7"/>
      <c r="BT176" s="7"/>
      <c r="BU176" s="2" t="s">
        <v>200</v>
      </c>
      <c r="BV176" s="2" t="s">
        <v>97</v>
      </c>
      <c r="BW176" s="2" t="s">
        <v>100</v>
      </c>
      <c r="BX176" s="2" t="s">
        <v>100</v>
      </c>
      <c r="BY176" s="2" t="s">
        <v>109</v>
      </c>
      <c r="BZ176" s="2" t="s">
        <v>100</v>
      </c>
    </row>
    <row r="177">
      <c r="A177" s="2" t="s">
        <v>1068</v>
      </c>
      <c r="B177" s="2" t="s">
        <v>87</v>
      </c>
      <c r="C177" s="2" t="s">
        <v>1050</v>
      </c>
      <c r="D177" s="2" t="s">
        <v>549</v>
      </c>
      <c r="E177" s="2" t="s">
        <v>550</v>
      </c>
      <c r="F177" s="2" t="s">
        <v>1051</v>
      </c>
      <c r="G177" s="2" t="s">
        <v>1051</v>
      </c>
      <c r="H177" s="2" t="s">
        <v>1051</v>
      </c>
      <c r="I177" s="2" t="s">
        <v>1052</v>
      </c>
      <c r="J177" s="2" t="s">
        <v>565</v>
      </c>
      <c r="K177" s="2" t="s">
        <v>218</v>
      </c>
      <c r="L177" s="3">
        <v>35</v>
      </c>
      <c r="M177" s="3">
        <v>36.75</v>
      </c>
      <c r="N177" s="3">
        <v>74.99</v>
      </c>
      <c r="O177" s="2" t="s">
        <v>97</v>
      </c>
      <c r="P177" s="2" t="s">
        <v>126</v>
      </c>
      <c r="Q177" s="2" t="s">
        <v>99</v>
      </c>
      <c r="R177" s="2" t="s">
        <v>100</v>
      </c>
      <c r="S177" s="2" t="s">
        <v>1066</v>
      </c>
      <c r="T177" s="2" t="s">
        <v>220</v>
      </c>
      <c r="U177" s="2" t="s">
        <v>196</v>
      </c>
      <c r="V177" s="2" t="s">
        <v>221</v>
      </c>
      <c r="W177" s="2" t="s">
        <v>103</v>
      </c>
      <c r="X177" s="2" t="s">
        <v>100</v>
      </c>
      <c r="Y177" s="2" t="s">
        <v>1054</v>
      </c>
      <c r="Z177" s="4">
        <v>250</v>
      </c>
      <c r="AA177" s="4">
        <f>=ROUNDDOWN(27.7777777777778,0)</f>
      </c>
      <c r="AB177" s="5">
        <v>9</v>
      </c>
      <c r="AC177" s="2" t="s">
        <v>908</v>
      </c>
      <c r="AD177" s="4">
        <v>90</v>
      </c>
      <c r="AE177" s="4">
        <v>90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>
        <v>122</v>
      </c>
      <c r="BK177" s="8">
        <v>4683.31</v>
      </c>
      <c r="BL177" s="2" t="s">
        <v>1057</v>
      </c>
      <c r="BM177" s="7"/>
      <c r="BN177" s="7"/>
      <c r="BO177" s="4"/>
      <c r="BP177" s="8"/>
      <c r="BQ177" s="4"/>
      <c r="BR177" s="8"/>
      <c r="BS177" s="7"/>
      <c r="BT177" s="7"/>
      <c r="BU177" s="2" t="s">
        <v>200</v>
      </c>
      <c r="BV177" s="2" t="s">
        <v>97</v>
      </c>
      <c r="BW177" s="2" t="s">
        <v>100</v>
      </c>
      <c r="BX177" s="2" t="s">
        <v>100</v>
      </c>
      <c r="BY177" s="2" t="s">
        <v>109</v>
      </c>
      <c r="BZ177" s="2" t="s">
        <v>100</v>
      </c>
    </row>
    <row r="178">
      <c r="A178" s="2" t="s">
        <v>1069</v>
      </c>
      <c r="B178" s="2" t="s">
        <v>87</v>
      </c>
      <c r="C178" s="2" t="s">
        <v>1070</v>
      </c>
      <c r="D178" s="2" t="s">
        <v>89</v>
      </c>
      <c r="E178" s="2" t="s">
        <v>90</v>
      </c>
      <c r="F178" s="2" t="s">
        <v>1071</v>
      </c>
      <c r="G178" s="2" t="s">
        <v>1071</v>
      </c>
      <c r="H178" s="2" t="s">
        <v>1071</v>
      </c>
      <c r="I178" s="2" t="s">
        <v>1072</v>
      </c>
      <c r="J178" s="2" t="s">
        <v>95</v>
      </c>
      <c r="K178" s="2" t="s">
        <v>160</v>
      </c>
      <c r="L178" s="3">
        <v>4.63</v>
      </c>
      <c r="M178" s="3">
        <v>4.86</v>
      </c>
      <c r="N178" s="3">
        <v>21.99</v>
      </c>
      <c r="O178" s="2" t="s">
        <v>438</v>
      </c>
      <c r="P178" s="2" t="s">
        <v>1073</v>
      </c>
      <c r="Q178" s="2" t="s">
        <v>99</v>
      </c>
      <c r="R178" s="2" t="s">
        <v>1074</v>
      </c>
      <c r="S178" s="2" t="s">
        <v>100</v>
      </c>
      <c r="T178" s="2" t="s">
        <v>100</v>
      </c>
      <c r="U178" s="2" t="s">
        <v>100</v>
      </c>
      <c r="V178" s="2" t="s">
        <v>1075</v>
      </c>
      <c r="W178" s="2" t="s">
        <v>100</v>
      </c>
      <c r="X178" s="2" t="s">
        <v>100</v>
      </c>
      <c r="Y178" s="2" t="s">
        <v>683</v>
      </c>
      <c r="Z178" s="4"/>
      <c r="AA178" s="4">
        <f>=ROUNDDOWN({0},0)</f>
      </c>
      <c r="AB178" s="5"/>
      <c r="AC178" s="2" t="s">
        <v>100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100</v>
      </c>
      <c r="BM178" s="7"/>
      <c r="BN178" s="7"/>
      <c r="BO178" s="4"/>
      <c r="BP178" s="8"/>
      <c r="BQ178" s="4"/>
      <c r="BR178" s="8"/>
      <c r="BS178" s="7"/>
      <c r="BT178" s="7"/>
      <c r="BU178" s="2" t="s">
        <v>1076</v>
      </c>
      <c r="BV178" s="2" t="s">
        <v>97</v>
      </c>
      <c r="BW178" s="2" t="s">
        <v>100</v>
      </c>
      <c r="BX178" s="2" t="s">
        <v>100</v>
      </c>
      <c r="BY178" s="2" t="s">
        <v>109</v>
      </c>
      <c r="BZ178" s="2" t="s">
        <v>100</v>
      </c>
    </row>
    <row r="179">
      <c r="A179" s="2" t="s">
        <v>1077</v>
      </c>
      <c r="B179" s="2" t="s">
        <v>87</v>
      </c>
      <c r="C179" s="2" t="s">
        <v>1070</v>
      </c>
      <c r="D179" s="2" t="s">
        <v>89</v>
      </c>
      <c r="E179" s="2" t="s">
        <v>90</v>
      </c>
      <c r="F179" s="2" t="s">
        <v>1078</v>
      </c>
      <c r="G179" s="2" t="s">
        <v>100</v>
      </c>
      <c r="H179" s="2" t="s">
        <v>100</v>
      </c>
      <c r="I179" s="2" t="s">
        <v>1079</v>
      </c>
      <c r="J179" s="2" t="s">
        <v>95</v>
      </c>
      <c r="K179" s="2" t="s">
        <v>1080</v>
      </c>
      <c r="L179" s="3">
        <v>3.5</v>
      </c>
      <c r="M179" s="3">
        <v>3.68</v>
      </c>
      <c r="N179" s="3">
        <v>21.99</v>
      </c>
      <c r="O179" s="2" t="s">
        <v>438</v>
      </c>
      <c r="P179" s="2" t="s">
        <v>1073</v>
      </c>
      <c r="Q179" s="2" t="s">
        <v>99</v>
      </c>
      <c r="R179" s="2" t="s">
        <v>1074</v>
      </c>
      <c r="S179" s="2" t="s">
        <v>100</v>
      </c>
      <c r="T179" s="2" t="s">
        <v>100</v>
      </c>
      <c r="U179" s="2" t="s">
        <v>100</v>
      </c>
      <c r="V179" s="2" t="s">
        <v>1075</v>
      </c>
      <c r="W179" s="2" t="s">
        <v>100</v>
      </c>
      <c r="X179" s="2" t="s">
        <v>100</v>
      </c>
      <c r="Y179" s="2" t="s">
        <v>683</v>
      </c>
      <c r="Z179" s="4"/>
      <c r="AA179" s="4">
        <f>=ROUNDDOWN({0},0)</f>
      </c>
      <c r="AB179" s="5"/>
      <c r="AC179" s="2" t="s">
        <v>100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100</v>
      </c>
      <c r="BM179" s="7"/>
      <c r="BN179" s="7"/>
      <c r="BO179" s="4"/>
      <c r="BP179" s="8"/>
      <c r="BQ179" s="4"/>
      <c r="BR179" s="8"/>
      <c r="BS179" s="7"/>
      <c r="BT179" s="7"/>
      <c r="BU179" s="2" t="s">
        <v>1076</v>
      </c>
      <c r="BV179" s="2" t="s">
        <v>97</v>
      </c>
      <c r="BW179" s="2" t="s">
        <v>100</v>
      </c>
      <c r="BX179" s="2" t="s">
        <v>100</v>
      </c>
      <c r="BY179" s="2" t="s">
        <v>109</v>
      </c>
      <c r="BZ179" s="2" t="s">
        <v>100</v>
      </c>
    </row>
    <row r="180">
      <c r="A180" s="2" t="s">
        <v>1081</v>
      </c>
      <c r="B180" s="2" t="s">
        <v>87</v>
      </c>
      <c r="C180" s="2" t="s">
        <v>1082</v>
      </c>
      <c r="D180" s="2" t="s">
        <v>549</v>
      </c>
      <c r="E180" s="2" t="s">
        <v>550</v>
      </c>
      <c r="F180" s="2" t="s">
        <v>1083</v>
      </c>
      <c r="G180" s="2" t="s">
        <v>1083</v>
      </c>
      <c r="H180" s="2" t="s">
        <v>1083</v>
      </c>
      <c r="I180" s="2" t="s">
        <v>1084</v>
      </c>
      <c r="J180" s="2" t="s">
        <v>1085</v>
      </c>
      <c r="K180" s="2" t="s">
        <v>1086</v>
      </c>
      <c r="L180" s="3">
        <v>13.7</v>
      </c>
      <c r="M180" s="3">
        <v>14.39</v>
      </c>
      <c r="N180" s="3">
        <v>31.99</v>
      </c>
      <c r="O180" s="2" t="s">
        <v>97</v>
      </c>
      <c r="P180" s="2" t="s">
        <v>929</v>
      </c>
      <c r="Q180" s="2" t="s">
        <v>99</v>
      </c>
      <c r="R180" s="2" t="s">
        <v>100</v>
      </c>
      <c r="S180" s="2" t="s">
        <v>1087</v>
      </c>
      <c r="T180" s="2" t="s">
        <v>220</v>
      </c>
      <c r="U180" s="2" t="s">
        <v>196</v>
      </c>
      <c r="V180" s="2" t="s">
        <v>270</v>
      </c>
      <c r="W180" s="2" t="s">
        <v>150</v>
      </c>
      <c r="X180" s="2" t="s">
        <v>100</v>
      </c>
      <c r="Y180" s="2" t="s">
        <v>1088</v>
      </c>
      <c r="Z180" s="4">
        <v>13</v>
      </c>
      <c r="AA180" s="4">
        <f>=ROUNDDOWN(0.663265306122449,0)</f>
      </c>
      <c r="AB180" s="5">
        <v>19.6</v>
      </c>
      <c r="AC180" s="2" t="s">
        <v>100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360</v>
      </c>
      <c r="BK180" s="8">
        <v>5586.22</v>
      </c>
      <c r="BL180" s="2" t="s">
        <v>1089</v>
      </c>
      <c r="BM180" s="7"/>
      <c r="BN180" s="7"/>
      <c r="BO180" s="4"/>
      <c r="BP180" s="8"/>
      <c r="BQ180" s="4"/>
      <c r="BR180" s="8"/>
      <c r="BS180" s="7"/>
      <c r="BT180" s="7"/>
      <c r="BU180" s="2" t="s">
        <v>1090</v>
      </c>
      <c r="BV180" s="2" t="s">
        <v>97</v>
      </c>
      <c r="BW180" s="2" t="s">
        <v>100</v>
      </c>
      <c r="BX180" s="2" t="s">
        <v>100</v>
      </c>
      <c r="BY180" s="2" t="s">
        <v>109</v>
      </c>
      <c r="BZ180" s="2" t="s">
        <v>110</v>
      </c>
    </row>
    <row r="181">
      <c r="A181" s="2" t="s">
        <v>1091</v>
      </c>
      <c r="B181" s="2" t="s">
        <v>87</v>
      </c>
      <c r="C181" s="2" t="s">
        <v>1082</v>
      </c>
      <c r="D181" s="2" t="s">
        <v>549</v>
      </c>
      <c r="E181" s="2" t="s">
        <v>550</v>
      </c>
      <c r="F181" s="2" t="s">
        <v>1092</v>
      </c>
      <c r="G181" s="2" t="s">
        <v>1092</v>
      </c>
      <c r="H181" s="2" t="s">
        <v>1092</v>
      </c>
      <c r="I181" s="2" t="s">
        <v>1093</v>
      </c>
      <c r="J181" s="2" t="s">
        <v>1085</v>
      </c>
      <c r="K181" s="2" t="s">
        <v>1086</v>
      </c>
      <c r="L181" s="3">
        <v>13.7</v>
      </c>
      <c r="M181" s="3">
        <v>14.39</v>
      </c>
      <c r="N181" s="3">
        <v>31.99</v>
      </c>
      <c r="O181" s="2" t="s">
        <v>97</v>
      </c>
      <c r="P181" s="2" t="s">
        <v>134</v>
      </c>
      <c r="Q181" s="2" t="s">
        <v>99</v>
      </c>
      <c r="R181" s="2" t="s">
        <v>100</v>
      </c>
      <c r="S181" s="2" t="s">
        <v>1094</v>
      </c>
      <c r="T181" s="2" t="s">
        <v>220</v>
      </c>
      <c r="U181" s="2" t="s">
        <v>196</v>
      </c>
      <c r="V181" s="2" t="s">
        <v>244</v>
      </c>
      <c r="W181" s="2" t="s">
        <v>150</v>
      </c>
      <c r="X181" s="2" t="s">
        <v>222</v>
      </c>
      <c r="Y181" s="2" t="s">
        <v>1095</v>
      </c>
      <c r="Z181" s="4">
        <v>139</v>
      </c>
      <c r="AA181" s="4">
        <f>=ROUNDDOWN(8.27380952380952,0)</f>
      </c>
      <c r="AB181" s="5">
        <v>16.8</v>
      </c>
      <c r="AC181" s="2" t="s">
        <v>100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317</v>
      </c>
      <c r="BK181" s="8">
        <v>4793.36</v>
      </c>
      <c r="BL181" s="2" t="s">
        <v>1096</v>
      </c>
      <c r="BM181" s="7"/>
      <c r="BN181" s="7"/>
      <c r="BO181" s="4"/>
      <c r="BP181" s="8"/>
      <c r="BQ181" s="4"/>
      <c r="BR181" s="8"/>
      <c r="BS181" s="7"/>
      <c r="BT181" s="7"/>
      <c r="BU181" s="2" t="s">
        <v>1090</v>
      </c>
      <c r="BV181" s="2" t="s">
        <v>97</v>
      </c>
      <c r="BW181" s="2" t="s">
        <v>100</v>
      </c>
      <c r="BX181" s="2" t="s">
        <v>100</v>
      </c>
      <c r="BY181" s="2" t="s">
        <v>109</v>
      </c>
      <c r="BZ181" s="2" t="s">
        <v>110</v>
      </c>
    </row>
    <row r="182">
      <c r="A182" s="2" t="s">
        <v>1097</v>
      </c>
      <c r="B182" s="2" t="s">
        <v>87</v>
      </c>
      <c r="C182" s="2" t="s">
        <v>1082</v>
      </c>
      <c r="D182" s="2" t="s">
        <v>549</v>
      </c>
      <c r="E182" s="2" t="s">
        <v>550</v>
      </c>
      <c r="F182" s="2" t="s">
        <v>1098</v>
      </c>
      <c r="G182" s="2" t="s">
        <v>1098</v>
      </c>
      <c r="H182" s="2" t="s">
        <v>1098</v>
      </c>
      <c r="I182" s="2" t="s">
        <v>1099</v>
      </c>
      <c r="J182" s="2" t="s">
        <v>1100</v>
      </c>
      <c r="K182" s="2" t="s">
        <v>243</v>
      </c>
      <c r="L182" s="3">
        <v>22.5</v>
      </c>
      <c r="M182" s="3">
        <v>23.63</v>
      </c>
      <c r="N182" s="3">
        <v>49.99</v>
      </c>
      <c r="O182" s="2" t="s">
        <v>97</v>
      </c>
      <c r="P182" s="2" t="s">
        <v>175</v>
      </c>
      <c r="Q182" s="2" t="s">
        <v>99</v>
      </c>
      <c r="R182" s="2" t="s">
        <v>100</v>
      </c>
      <c r="S182" s="2" t="s">
        <v>1101</v>
      </c>
      <c r="T182" s="2" t="s">
        <v>220</v>
      </c>
      <c r="U182" s="2" t="s">
        <v>196</v>
      </c>
      <c r="V182" s="2" t="s">
        <v>270</v>
      </c>
      <c r="W182" s="2" t="s">
        <v>631</v>
      </c>
      <c r="X182" s="2" t="s">
        <v>510</v>
      </c>
      <c r="Y182" s="2" t="s">
        <v>1102</v>
      </c>
      <c r="Z182" s="4">
        <v>369</v>
      </c>
      <c r="AA182" s="4">
        <f>=ROUNDDOWN(6.15,0)</f>
      </c>
      <c r="AB182" s="5">
        <v>60</v>
      </c>
      <c r="AC182" s="2" t="s">
        <v>755</v>
      </c>
      <c r="AD182" s="4">
        <v>660</v>
      </c>
      <c r="AE182" s="4">
        <v>1260</v>
      </c>
      <c r="AF182" s="6">
        <v>67</v>
      </c>
      <c r="AG182" s="6"/>
      <c r="AH182" s="7">
        <v>0.5263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372</v>
      </c>
      <c r="BK182" s="8">
        <v>9210.96</v>
      </c>
      <c r="BL182" s="2" t="s">
        <v>1103</v>
      </c>
      <c r="BM182" s="7"/>
      <c r="BN182" s="7"/>
      <c r="BO182" s="4"/>
      <c r="BP182" s="8"/>
      <c r="BQ182" s="4"/>
      <c r="BR182" s="8"/>
      <c r="BS182" s="7"/>
      <c r="BT182" s="7"/>
      <c r="BU182" s="2" t="s">
        <v>1090</v>
      </c>
      <c r="BV182" s="2" t="s">
        <v>97</v>
      </c>
      <c r="BW182" s="2" t="s">
        <v>100</v>
      </c>
      <c r="BX182" s="2" t="s">
        <v>100</v>
      </c>
      <c r="BY182" s="2" t="s">
        <v>109</v>
      </c>
      <c r="BZ182" s="2" t="s">
        <v>100</v>
      </c>
    </row>
    <row r="183">
      <c r="A183" s="2" t="s">
        <v>1104</v>
      </c>
      <c r="B183" s="2" t="s">
        <v>87</v>
      </c>
      <c r="C183" s="2" t="s">
        <v>1082</v>
      </c>
      <c r="D183" s="2" t="s">
        <v>549</v>
      </c>
      <c r="E183" s="2" t="s">
        <v>550</v>
      </c>
      <c r="F183" s="2" t="s">
        <v>1098</v>
      </c>
      <c r="G183" s="2" t="s">
        <v>1098</v>
      </c>
      <c r="H183" s="2" t="s">
        <v>1098</v>
      </c>
      <c r="I183" s="2" t="s">
        <v>1099</v>
      </c>
      <c r="J183" s="2" t="s">
        <v>1085</v>
      </c>
      <c r="K183" s="2" t="s">
        <v>243</v>
      </c>
      <c r="L183" s="3">
        <v>13.7</v>
      </c>
      <c r="M183" s="3">
        <v>14.39</v>
      </c>
      <c r="N183" s="3">
        <v>31.99</v>
      </c>
      <c r="O183" s="2" t="s">
        <v>97</v>
      </c>
      <c r="P183" s="2" t="s">
        <v>113</v>
      </c>
      <c r="Q183" s="2" t="s">
        <v>99</v>
      </c>
      <c r="R183" s="2" t="s">
        <v>100</v>
      </c>
      <c r="S183" s="2" t="s">
        <v>1101</v>
      </c>
      <c r="T183" s="2" t="s">
        <v>220</v>
      </c>
      <c r="U183" s="2" t="s">
        <v>196</v>
      </c>
      <c r="V183" s="2" t="s">
        <v>270</v>
      </c>
      <c r="W183" s="2" t="s">
        <v>631</v>
      </c>
      <c r="X183" s="2" t="s">
        <v>510</v>
      </c>
      <c r="Y183" s="2" t="s">
        <v>1105</v>
      </c>
      <c r="Z183" s="4">
        <v>577</v>
      </c>
      <c r="AA183" s="4">
        <f>=ROUNDDOWN(5.77,0)</f>
      </c>
      <c r="AB183" s="5">
        <v>100</v>
      </c>
      <c r="AC183" s="2" t="s">
        <v>755</v>
      </c>
      <c r="AD183" s="4">
        <v>700</v>
      </c>
      <c r="AE183" s="4">
        <v>2420</v>
      </c>
      <c r="AF183" s="6">
        <v>67</v>
      </c>
      <c r="AG183" s="6"/>
      <c r="AH183" s="7">
        <v>0.8333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1194</v>
      </c>
      <c r="BK183" s="8">
        <v>18219.19</v>
      </c>
      <c r="BL183" s="2" t="s">
        <v>1106</v>
      </c>
      <c r="BM183" s="7"/>
      <c r="BN183" s="7"/>
      <c r="BO183" s="4"/>
      <c r="BP183" s="8"/>
      <c r="BQ183" s="4"/>
      <c r="BR183" s="8"/>
      <c r="BS183" s="7"/>
      <c r="BT183" s="7"/>
      <c r="BU183" s="2" t="s">
        <v>1090</v>
      </c>
      <c r="BV183" s="2" t="s">
        <v>97</v>
      </c>
      <c r="BW183" s="2" t="s">
        <v>100</v>
      </c>
      <c r="BX183" s="2" t="s">
        <v>100</v>
      </c>
      <c r="BY183" s="2" t="s">
        <v>109</v>
      </c>
      <c r="BZ183" s="2" t="s">
        <v>110</v>
      </c>
    </row>
    <row r="184">
      <c r="A184" s="2" t="s">
        <v>1107</v>
      </c>
      <c r="B184" s="2" t="s">
        <v>87</v>
      </c>
      <c r="C184" s="2" t="s">
        <v>1082</v>
      </c>
      <c r="D184" s="2" t="s">
        <v>549</v>
      </c>
      <c r="E184" s="2" t="s">
        <v>550</v>
      </c>
      <c r="F184" s="2" t="s">
        <v>1098</v>
      </c>
      <c r="G184" s="2" t="s">
        <v>1098</v>
      </c>
      <c r="H184" s="2" t="s">
        <v>1098</v>
      </c>
      <c r="I184" s="2" t="s">
        <v>1099</v>
      </c>
      <c r="J184" s="2" t="s">
        <v>1100</v>
      </c>
      <c r="K184" s="2" t="s">
        <v>1108</v>
      </c>
      <c r="L184" s="3">
        <v>22.5</v>
      </c>
      <c r="M184" s="3">
        <v>23.63</v>
      </c>
      <c r="N184" s="3">
        <v>49.99</v>
      </c>
      <c r="O184" s="2" t="s">
        <v>97</v>
      </c>
      <c r="P184" s="2" t="s">
        <v>175</v>
      </c>
      <c r="Q184" s="2" t="s">
        <v>99</v>
      </c>
      <c r="R184" s="2" t="s">
        <v>100</v>
      </c>
      <c r="S184" s="2" t="s">
        <v>1109</v>
      </c>
      <c r="T184" s="2" t="s">
        <v>220</v>
      </c>
      <c r="U184" s="2" t="s">
        <v>196</v>
      </c>
      <c r="V184" s="2" t="s">
        <v>270</v>
      </c>
      <c r="W184" s="2" t="s">
        <v>631</v>
      </c>
      <c r="X184" s="2" t="s">
        <v>510</v>
      </c>
      <c r="Y184" s="2" t="s">
        <v>1110</v>
      </c>
      <c r="Z184" s="4">
        <v>348</v>
      </c>
      <c r="AA184" s="4">
        <f>=ROUNDDOWN(5.61290322580645,0)</f>
      </c>
      <c r="AB184" s="5">
        <v>62</v>
      </c>
      <c r="AC184" s="2" t="s">
        <v>755</v>
      </c>
      <c r="AD184" s="4">
        <v>660</v>
      </c>
      <c r="AE184" s="4">
        <v>1260</v>
      </c>
      <c r="AF184" s="6">
        <v>67</v>
      </c>
      <c r="AG184" s="6"/>
      <c r="AH184" s="7">
        <v>0.5263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>
        <v>402</v>
      </c>
      <c r="BK184" s="8">
        <v>9847.79</v>
      </c>
      <c r="BL184" s="2" t="s">
        <v>1111</v>
      </c>
      <c r="BM184" s="7"/>
      <c r="BN184" s="7"/>
      <c r="BO184" s="4"/>
      <c r="BP184" s="8"/>
      <c r="BQ184" s="4"/>
      <c r="BR184" s="8"/>
      <c r="BS184" s="7"/>
      <c r="BT184" s="7"/>
      <c r="BU184" s="2" t="s">
        <v>1090</v>
      </c>
      <c r="BV184" s="2" t="s">
        <v>97</v>
      </c>
      <c r="BW184" s="2" t="s">
        <v>100</v>
      </c>
      <c r="BX184" s="2" t="s">
        <v>100</v>
      </c>
      <c r="BY184" s="2" t="s">
        <v>109</v>
      </c>
      <c r="BZ184" s="2" t="s">
        <v>100</v>
      </c>
    </row>
    <row r="185">
      <c r="A185" s="2" t="s">
        <v>1112</v>
      </c>
      <c r="B185" s="2" t="s">
        <v>87</v>
      </c>
      <c r="C185" s="2" t="s">
        <v>1082</v>
      </c>
      <c r="D185" s="2" t="s">
        <v>549</v>
      </c>
      <c r="E185" s="2" t="s">
        <v>550</v>
      </c>
      <c r="F185" s="2" t="s">
        <v>1098</v>
      </c>
      <c r="G185" s="2" t="s">
        <v>1098</v>
      </c>
      <c r="H185" s="2" t="s">
        <v>1098</v>
      </c>
      <c r="I185" s="2" t="s">
        <v>1099</v>
      </c>
      <c r="J185" s="2" t="s">
        <v>1085</v>
      </c>
      <c r="K185" s="2" t="s">
        <v>1108</v>
      </c>
      <c r="L185" s="3">
        <v>13.7</v>
      </c>
      <c r="M185" s="3">
        <v>14.39</v>
      </c>
      <c r="N185" s="3">
        <v>31.99</v>
      </c>
      <c r="O185" s="2" t="s">
        <v>97</v>
      </c>
      <c r="P185" s="2" t="s">
        <v>113</v>
      </c>
      <c r="Q185" s="2" t="s">
        <v>99</v>
      </c>
      <c r="R185" s="2" t="s">
        <v>100</v>
      </c>
      <c r="S185" s="2" t="s">
        <v>1109</v>
      </c>
      <c r="T185" s="2" t="s">
        <v>220</v>
      </c>
      <c r="U185" s="2" t="s">
        <v>196</v>
      </c>
      <c r="V185" s="2" t="s">
        <v>270</v>
      </c>
      <c r="W185" s="2" t="s">
        <v>631</v>
      </c>
      <c r="X185" s="2" t="s">
        <v>510</v>
      </c>
      <c r="Y185" s="2" t="s">
        <v>1113</v>
      </c>
      <c r="Z185" s="4">
        <v>425</v>
      </c>
      <c r="AA185" s="4">
        <f>=ROUNDDOWN(3.86363636363636,0)</f>
      </c>
      <c r="AB185" s="5">
        <v>110</v>
      </c>
      <c r="AC185" s="2" t="s">
        <v>755</v>
      </c>
      <c r="AD185" s="4">
        <v>800</v>
      </c>
      <c r="AE185" s="4">
        <v>2540</v>
      </c>
      <c r="AF185" s="6">
        <v>67</v>
      </c>
      <c r="AG185" s="6"/>
      <c r="AH185" s="7">
        <v>0.9035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100</v>
      </c>
      <c r="AW185" s="8" t="s">
        <v>100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/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/>
      <c r="BJ185" s="4">
        <v>1306</v>
      </c>
      <c r="BK185" s="8">
        <v>20088.61</v>
      </c>
      <c r="BL185" s="2" t="s">
        <v>1114</v>
      </c>
      <c r="BM185" s="7"/>
      <c r="BN185" s="7"/>
      <c r="BO185" s="4"/>
      <c r="BP185" s="8"/>
      <c r="BQ185" s="4"/>
      <c r="BR185" s="8"/>
      <c r="BS185" s="7"/>
      <c r="BT185" s="7"/>
      <c r="BU185" s="2" t="s">
        <v>1090</v>
      </c>
      <c r="BV185" s="2" t="s">
        <v>97</v>
      </c>
      <c r="BW185" s="2" t="s">
        <v>100</v>
      </c>
      <c r="BX185" s="2" t="s">
        <v>100</v>
      </c>
      <c r="BY185" s="2" t="s">
        <v>109</v>
      </c>
      <c r="BZ185" s="2" t="s">
        <v>110</v>
      </c>
    </row>
    <row r="186">
      <c r="A186" s="2" t="s">
        <v>1115</v>
      </c>
      <c r="B186" s="2" t="s">
        <v>87</v>
      </c>
      <c r="C186" s="2" t="s">
        <v>1082</v>
      </c>
      <c r="D186" s="2" t="s">
        <v>89</v>
      </c>
      <c r="E186" s="2" t="s">
        <v>90</v>
      </c>
      <c r="F186" s="2" t="s">
        <v>1116</v>
      </c>
      <c r="G186" s="2" t="s">
        <v>1116</v>
      </c>
      <c r="H186" s="2" t="s">
        <v>1116</v>
      </c>
      <c r="I186" s="2" t="s">
        <v>1117</v>
      </c>
      <c r="J186" s="2" t="s">
        <v>95</v>
      </c>
      <c r="K186" s="2" t="s">
        <v>160</v>
      </c>
      <c r="L186" s="3">
        <v>17.6</v>
      </c>
      <c r="M186" s="3">
        <v>18.48</v>
      </c>
      <c r="N186" s="3">
        <v>39.99</v>
      </c>
      <c r="O186" s="2" t="s">
        <v>97</v>
      </c>
      <c r="P186" s="2" t="s">
        <v>126</v>
      </c>
      <c r="Q186" s="2" t="s">
        <v>99</v>
      </c>
      <c r="R186" s="2" t="s">
        <v>100</v>
      </c>
      <c r="S186" s="2" t="s">
        <v>1118</v>
      </c>
      <c r="T186" s="2" t="s">
        <v>100</v>
      </c>
      <c r="U186" s="2" t="s">
        <v>100</v>
      </c>
      <c r="V186" s="2" t="s">
        <v>270</v>
      </c>
      <c r="W186" s="2" t="s">
        <v>150</v>
      </c>
      <c r="X186" s="2" t="s">
        <v>100</v>
      </c>
      <c r="Y186" s="2" t="s">
        <v>104</v>
      </c>
      <c r="Z186" s="4">
        <v>508</v>
      </c>
      <c r="AA186" s="4">
        <f>=ROUNDDOWN(19.5384615384615,0)</f>
      </c>
      <c r="AB186" s="5">
        <v>26</v>
      </c>
      <c r="AC186" s="2" t="s">
        <v>1119</v>
      </c>
      <c r="AD186" s="4">
        <v>152</v>
      </c>
      <c r="AE186" s="4">
        <v>304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/>
      <c r="BJ186" s="4">
        <v>413</v>
      </c>
      <c r="BK186" s="8">
        <v>7843.05</v>
      </c>
      <c r="BL186" s="2" t="s">
        <v>1120</v>
      </c>
      <c r="BM186" s="7"/>
      <c r="BN186" s="7"/>
      <c r="BO186" s="4"/>
      <c r="BP186" s="8"/>
      <c r="BQ186" s="4"/>
      <c r="BR186" s="8"/>
      <c r="BS186" s="7"/>
      <c r="BT186" s="7"/>
      <c r="BU186" s="2" t="s">
        <v>1090</v>
      </c>
      <c r="BV186" s="2" t="s">
        <v>97</v>
      </c>
      <c r="BW186" s="2" t="s">
        <v>100</v>
      </c>
      <c r="BX186" s="2" t="s">
        <v>100</v>
      </c>
      <c r="BY186" s="2" t="s">
        <v>109</v>
      </c>
      <c r="BZ186" s="2" t="s">
        <v>110</v>
      </c>
    </row>
    <row r="187">
      <c r="A187" s="2" t="s">
        <v>1121</v>
      </c>
      <c r="B187" s="2" t="s">
        <v>87</v>
      </c>
      <c r="C187" s="2" t="s">
        <v>1082</v>
      </c>
      <c r="D187" s="2" t="s">
        <v>89</v>
      </c>
      <c r="E187" s="2" t="s">
        <v>90</v>
      </c>
      <c r="F187" s="2" t="s">
        <v>1116</v>
      </c>
      <c r="G187" s="2" t="s">
        <v>1116</v>
      </c>
      <c r="H187" s="2" t="s">
        <v>1116</v>
      </c>
      <c r="I187" s="2" t="s">
        <v>1117</v>
      </c>
      <c r="J187" s="2" t="s">
        <v>95</v>
      </c>
      <c r="K187" s="2" t="s">
        <v>139</v>
      </c>
      <c r="L187" s="3">
        <v>17.6</v>
      </c>
      <c r="M187" s="3">
        <v>18.48</v>
      </c>
      <c r="N187" s="3">
        <v>39.99</v>
      </c>
      <c r="O187" s="2" t="s">
        <v>97</v>
      </c>
      <c r="P187" s="2" t="s">
        <v>126</v>
      </c>
      <c r="Q187" s="2" t="s">
        <v>99</v>
      </c>
      <c r="R187" s="2" t="s">
        <v>100</v>
      </c>
      <c r="S187" s="2" t="s">
        <v>1122</v>
      </c>
      <c r="T187" s="2" t="s">
        <v>100</v>
      </c>
      <c r="U187" s="2" t="s">
        <v>100</v>
      </c>
      <c r="V187" s="2" t="s">
        <v>270</v>
      </c>
      <c r="W187" s="2" t="s">
        <v>150</v>
      </c>
      <c r="X187" s="2" t="s">
        <v>100</v>
      </c>
      <c r="Y187" s="2" t="s">
        <v>104</v>
      </c>
      <c r="Z187" s="4">
        <v>924</v>
      </c>
      <c r="AA187" s="4">
        <f>=ROUNDDOWN(20.0869565217391,0)</f>
      </c>
      <c r="AB187" s="5">
        <v>46</v>
      </c>
      <c r="AC187" s="2" t="s">
        <v>1119</v>
      </c>
      <c r="AD187" s="4">
        <v>200</v>
      </c>
      <c r="AE187" s="4">
        <v>700</v>
      </c>
      <c r="AF187" s="6">
        <v>65</v>
      </c>
      <c r="AG187" s="6">
        <v>73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/>
      <c r="BJ187" s="4">
        <v>716</v>
      </c>
      <c r="BK187" s="8">
        <v>13669.12</v>
      </c>
      <c r="BL187" s="2" t="s">
        <v>1123</v>
      </c>
      <c r="BM187" s="7"/>
      <c r="BN187" s="7"/>
      <c r="BO187" s="4"/>
      <c r="BP187" s="8"/>
      <c r="BQ187" s="4"/>
      <c r="BR187" s="8"/>
      <c r="BS187" s="7"/>
      <c r="BT187" s="7"/>
      <c r="BU187" s="2" t="s">
        <v>1090</v>
      </c>
      <c r="BV187" s="2" t="s">
        <v>97</v>
      </c>
      <c r="BW187" s="2" t="s">
        <v>100</v>
      </c>
      <c r="BX187" s="2" t="s">
        <v>100</v>
      </c>
      <c r="BY187" s="2" t="s">
        <v>109</v>
      </c>
      <c r="BZ187" s="2" t="s">
        <v>110</v>
      </c>
    </row>
    <row r="188">
      <c r="A188" s="2" t="s">
        <v>1124</v>
      </c>
      <c r="B188" s="2" t="s">
        <v>87</v>
      </c>
      <c r="C188" s="2" t="s">
        <v>1082</v>
      </c>
      <c r="D188" s="2" t="s">
        <v>89</v>
      </c>
      <c r="E188" s="2" t="s">
        <v>90</v>
      </c>
      <c r="F188" s="2" t="s">
        <v>1116</v>
      </c>
      <c r="G188" s="2" t="s">
        <v>1116</v>
      </c>
      <c r="H188" s="2" t="s">
        <v>1116</v>
      </c>
      <c r="I188" s="2" t="s">
        <v>1117</v>
      </c>
      <c r="J188" s="2" t="s">
        <v>95</v>
      </c>
      <c r="K188" s="2" t="s">
        <v>125</v>
      </c>
      <c r="L188" s="3">
        <v>17.6</v>
      </c>
      <c r="M188" s="3">
        <v>18.48</v>
      </c>
      <c r="N188" s="3">
        <v>39.99</v>
      </c>
      <c r="O188" s="2" t="s">
        <v>97</v>
      </c>
      <c r="P188" s="2" t="s">
        <v>126</v>
      </c>
      <c r="Q188" s="2" t="s">
        <v>99</v>
      </c>
      <c r="R188" s="2" t="s">
        <v>100</v>
      </c>
      <c r="S188" s="2" t="s">
        <v>1125</v>
      </c>
      <c r="T188" s="2" t="s">
        <v>100</v>
      </c>
      <c r="U188" s="2" t="s">
        <v>100</v>
      </c>
      <c r="V188" s="2" t="s">
        <v>270</v>
      </c>
      <c r="W188" s="2" t="s">
        <v>150</v>
      </c>
      <c r="X188" s="2" t="s">
        <v>100</v>
      </c>
      <c r="Y188" s="2" t="s">
        <v>104</v>
      </c>
      <c r="Z188" s="4">
        <v>311</v>
      </c>
      <c r="AA188" s="4">
        <f>=ROUNDDOWN(28.2727272727273,0)</f>
      </c>
      <c r="AB188" s="5">
        <v>11</v>
      </c>
      <c r="AC188" s="2" t="s">
        <v>100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/>
      <c r="BJ188" s="4">
        <v>176</v>
      </c>
      <c r="BK188" s="8">
        <v>3436.79</v>
      </c>
      <c r="BL188" s="2" t="s">
        <v>1126</v>
      </c>
      <c r="BM188" s="7"/>
      <c r="BN188" s="7"/>
      <c r="BO188" s="4"/>
      <c r="BP188" s="8"/>
      <c r="BQ188" s="4"/>
      <c r="BR188" s="8"/>
      <c r="BS188" s="7"/>
      <c r="BT188" s="7"/>
      <c r="BU188" s="2" t="s">
        <v>1090</v>
      </c>
      <c r="BV188" s="2" t="s">
        <v>97</v>
      </c>
      <c r="BW188" s="2" t="s">
        <v>100</v>
      </c>
      <c r="BX188" s="2" t="s">
        <v>100</v>
      </c>
      <c r="BY188" s="2" t="s">
        <v>109</v>
      </c>
      <c r="BZ188" s="2" t="s">
        <v>110</v>
      </c>
    </row>
    <row r="189">
      <c r="A189" s="2" t="s">
        <v>1127</v>
      </c>
      <c r="B189" s="2" t="s">
        <v>87</v>
      </c>
      <c r="C189" s="2" t="s">
        <v>1082</v>
      </c>
      <c r="D189" s="2" t="s">
        <v>89</v>
      </c>
      <c r="E189" s="2" t="s">
        <v>90</v>
      </c>
      <c r="F189" s="2" t="s">
        <v>1128</v>
      </c>
      <c r="G189" s="2" t="s">
        <v>1128</v>
      </c>
      <c r="H189" s="2" t="s">
        <v>1128</v>
      </c>
      <c r="I189" s="2" t="s">
        <v>1129</v>
      </c>
      <c r="J189" s="2" t="s">
        <v>95</v>
      </c>
      <c r="K189" s="2" t="s">
        <v>1130</v>
      </c>
      <c r="L189" s="3">
        <v>24</v>
      </c>
      <c r="M189" s="3">
        <v>25.2</v>
      </c>
      <c r="N189" s="3">
        <v>49.99</v>
      </c>
      <c r="O189" s="2" t="s">
        <v>97</v>
      </c>
      <c r="P189" s="2" t="s">
        <v>134</v>
      </c>
      <c r="Q189" s="2" t="s">
        <v>99</v>
      </c>
      <c r="R189" s="2" t="s">
        <v>100</v>
      </c>
      <c r="S189" s="2" t="s">
        <v>1131</v>
      </c>
      <c r="T189" s="2" t="s">
        <v>100</v>
      </c>
      <c r="U189" s="2" t="s">
        <v>196</v>
      </c>
      <c r="V189" s="2" t="s">
        <v>244</v>
      </c>
      <c r="W189" s="2" t="s">
        <v>510</v>
      </c>
      <c r="X189" s="2" t="s">
        <v>631</v>
      </c>
      <c r="Y189" s="2" t="s">
        <v>1132</v>
      </c>
      <c r="Z189" s="4">
        <v>231</v>
      </c>
      <c r="AA189" s="4">
        <f>=ROUNDDOWN(27.5,0)</f>
      </c>
      <c r="AB189" s="5">
        <v>8.4</v>
      </c>
      <c r="AC189" s="2" t="s">
        <v>100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/>
      <c r="BJ189" s="4">
        <v>105</v>
      </c>
      <c r="BK189" s="8">
        <v>2875.9</v>
      </c>
      <c r="BL189" s="2" t="s">
        <v>1133</v>
      </c>
      <c r="BM189" s="7"/>
      <c r="BN189" s="7"/>
      <c r="BO189" s="4"/>
      <c r="BP189" s="8"/>
      <c r="BQ189" s="4"/>
      <c r="BR189" s="8"/>
      <c r="BS189" s="7"/>
      <c r="BT189" s="7"/>
      <c r="BU189" s="2" t="s">
        <v>1090</v>
      </c>
      <c r="BV189" s="2" t="s">
        <v>97</v>
      </c>
      <c r="BW189" s="2" t="s">
        <v>100</v>
      </c>
      <c r="BX189" s="2" t="s">
        <v>100</v>
      </c>
      <c r="BY189" s="2" t="s">
        <v>109</v>
      </c>
      <c r="BZ189" s="2" t="s">
        <v>110</v>
      </c>
    </row>
    <row r="190">
      <c r="A190" s="2" t="s">
        <v>1134</v>
      </c>
      <c r="B190" s="2" t="s">
        <v>87</v>
      </c>
      <c r="C190" s="2" t="s">
        <v>1082</v>
      </c>
      <c r="D190" s="2" t="s">
        <v>89</v>
      </c>
      <c r="E190" s="2" t="s">
        <v>90</v>
      </c>
      <c r="F190" s="2" t="s">
        <v>1128</v>
      </c>
      <c r="G190" s="2" t="s">
        <v>1128</v>
      </c>
      <c r="H190" s="2" t="s">
        <v>1128</v>
      </c>
      <c r="I190" s="2" t="s">
        <v>1129</v>
      </c>
      <c r="J190" s="2" t="s">
        <v>95</v>
      </c>
      <c r="K190" s="2" t="s">
        <v>1135</v>
      </c>
      <c r="L190" s="3">
        <v>24</v>
      </c>
      <c r="M190" s="3">
        <v>25.2</v>
      </c>
      <c r="N190" s="3">
        <v>49.99</v>
      </c>
      <c r="O190" s="2" t="s">
        <v>97</v>
      </c>
      <c r="P190" s="2" t="s">
        <v>126</v>
      </c>
      <c r="Q190" s="2" t="s">
        <v>99</v>
      </c>
      <c r="R190" s="2" t="s">
        <v>100</v>
      </c>
      <c r="S190" s="2" t="s">
        <v>1136</v>
      </c>
      <c r="T190" s="2" t="s">
        <v>100</v>
      </c>
      <c r="U190" s="2" t="s">
        <v>196</v>
      </c>
      <c r="V190" s="2" t="s">
        <v>244</v>
      </c>
      <c r="W190" s="2" t="s">
        <v>510</v>
      </c>
      <c r="X190" s="2" t="s">
        <v>631</v>
      </c>
      <c r="Y190" s="2" t="s">
        <v>1132</v>
      </c>
      <c r="Z190" s="4">
        <v>214</v>
      </c>
      <c r="AA190" s="4">
        <f>=ROUNDDOWN(16.4615384615385,0)</f>
      </c>
      <c r="AB190" s="5">
        <v>13</v>
      </c>
      <c r="AC190" s="2" t="s">
        <v>1137</v>
      </c>
      <c r="AD190" s="4">
        <v>100</v>
      </c>
      <c r="AE190" s="4">
        <v>200</v>
      </c>
      <c r="AF190" s="6">
        <v>67</v>
      </c>
      <c r="AG190" s="6"/>
      <c r="AH190" s="7">
        <v>0.5702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/>
      <c r="BJ190" s="4">
        <v>61</v>
      </c>
      <c r="BK190" s="8">
        <v>1649.27</v>
      </c>
      <c r="BL190" s="2" t="s">
        <v>1138</v>
      </c>
      <c r="BM190" s="7"/>
      <c r="BN190" s="7"/>
      <c r="BO190" s="4"/>
      <c r="BP190" s="8"/>
      <c r="BQ190" s="4"/>
      <c r="BR190" s="8"/>
      <c r="BS190" s="7"/>
      <c r="BT190" s="7"/>
      <c r="BU190" s="2" t="s">
        <v>1090</v>
      </c>
      <c r="BV190" s="2" t="s">
        <v>97</v>
      </c>
      <c r="BW190" s="2" t="s">
        <v>100</v>
      </c>
      <c r="BX190" s="2" t="s">
        <v>100</v>
      </c>
      <c r="BY190" s="2" t="s">
        <v>109</v>
      </c>
      <c r="BZ190" s="2" t="s">
        <v>110</v>
      </c>
    </row>
    <row r="191">
      <c r="A191" s="2" t="s">
        <v>1139</v>
      </c>
      <c r="B191" s="2" t="s">
        <v>87</v>
      </c>
      <c r="C191" s="2" t="s">
        <v>1082</v>
      </c>
      <c r="D191" s="2" t="s">
        <v>89</v>
      </c>
      <c r="E191" s="2" t="s">
        <v>90</v>
      </c>
      <c r="F191" s="2" t="s">
        <v>1140</v>
      </c>
      <c r="G191" s="2" t="s">
        <v>1140</v>
      </c>
      <c r="H191" s="2" t="s">
        <v>1140</v>
      </c>
      <c r="I191" s="2" t="s">
        <v>1141</v>
      </c>
      <c r="J191" s="2" t="s">
        <v>95</v>
      </c>
      <c r="K191" s="2" t="s">
        <v>1142</v>
      </c>
      <c r="L191" s="3">
        <v>22.33</v>
      </c>
      <c r="M191" s="3">
        <v>23.45</v>
      </c>
      <c r="N191" s="3">
        <v>46.99</v>
      </c>
      <c r="O191" s="2" t="s">
        <v>97</v>
      </c>
      <c r="P191" s="2" t="s">
        <v>126</v>
      </c>
      <c r="Q191" s="2" t="s">
        <v>99</v>
      </c>
      <c r="R191" s="2" t="s">
        <v>100</v>
      </c>
      <c r="S191" s="2" t="s">
        <v>1143</v>
      </c>
      <c r="T191" s="2" t="s">
        <v>220</v>
      </c>
      <c r="U191" s="2" t="s">
        <v>196</v>
      </c>
      <c r="V191" s="2" t="s">
        <v>270</v>
      </c>
      <c r="W191" s="2" t="s">
        <v>1144</v>
      </c>
      <c r="X191" s="2" t="s">
        <v>1145</v>
      </c>
      <c r="Y191" s="2" t="s">
        <v>1146</v>
      </c>
      <c r="Z191" s="4">
        <v>757</v>
      </c>
      <c r="AA191" s="4">
        <f>=ROUNDDOWN(19.9210526315789,0)</f>
      </c>
      <c r="AB191" s="5">
        <v>38</v>
      </c>
      <c r="AC191" s="2" t="s">
        <v>1147</v>
      </c>
      <c r="AD191" s="4">
        <v>600</v>
      </c>
      <c r="AE191" s="4">
        <v>600</v>
      </c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487</v>
      </c>
      <c r="BK191" s="8">
        <v>12834.44</v>
      </c>
      <c r="BL191" s="2" t="s">
        <v>1148</v>
      </c>
      <c r="BM191" s="7"/>
      <c r="BN191" s="7"/>
      <c r="BO191" s="4"/>
      <c r="BP191" s="8"/>
      <c r="BQ191" s="4"/>
      <c r="BR191" s="8"/>
      <c r="BS191" s="7"/>
      <c r="BT191" s="7"/>
      <c r="BU191" s="2" t="s">
        <v>1090</v>
      </c>
      <c r="BV191" s="2" t="s">
        <v>97</v>
      </c>
      <c r="BW191" s="2" t="s">
        <v>100</v>
      </c>
      <c r="BX191" s="2" t="s">
        <v>100</v>
      </c>
      <c r="BY191" s="2" t="s">
        <v>109</v>
      </c>
      <c r="BZ191" s="2" t="s">
        <v>110</v>
      </c>
    </row>
    <row r="192">
      <c r="A192" s="2" t="s">
        <v>1149</v>
      </c>
      <c r="B192" s="2" t="s">
        <v>87</v>
      </c>
      <c r="C192" s="2" t="s">
        <v>1082</v>
      </c>
      <c r="D192" s="2" t="s">
        <v>89</v>
      </c>
      <c r="E192" s="2" t="s">
        <v>90</v>
      </c>
      <c r="F192" s="2" t="s">
        <v>1140</v>
      </c>
      <c r="G192" s="2" t="s">
        <v>1140</v>
      </c>
      <c r="H192" s="2" t="s">
        <v>1140</v>
      </c>
      <c r="I192" s="2" t="s">
        <v>1141</v>
      </c>
      <c r="J192" s="2" t="s">
        <v>95</v>
      </c>
      <c r="K192" s="2" t="s">
        <v>267</v>
      </c>
      <c r="L192" s="3">
        <v>22.33</v>
      </c>
      <c r="M192" s="3">
        <v>23.45</v>
      </c>
      <c r="N192" s="3">
        <v>46.99</v>
      </c>
      <c r="O192" s="2" t="s">
        <v>97</v>
      </c>
      <c r="P192" s="2" t="s">
        <v>922</v>
      </c>
      <c r="Q192" s="2" t="s">
        <v>99</v>
      </c>
      <c r="R192" s="2" t="s">
        <v>100</v>
      </c>
      <c r="S192" s="2" t="s">
        <v>1150</v>
      </c>
      <c r="T192" s="2" t="s">
        <v>220</v>
      </c>
      <c r="U192" s="2" t="s">
        <v>196</v>
      </c>
      <c r="V192" s="2" t="s">
        <v>270</v>
      </c>
      <c r="W192" s="2" t="s">
        <v>1144</v>
      </c>
      <c r="X192" s="2" t="s">
        <v>1145</v>
      </c>
      <c r="Y192" s="2" t="s">
        <v>1151</v>
      </c>
      <c r="Z192" s="4">
        <v>511</v>
      </c>
      <c r="AA192" s="4">
        <f>=ROUNDDOWN(3.19375,0)</f>
      </c>
      <c r="AB192" s="5">
        <v>160</v>
      </c>
      <c r="AC192" s="2" t="s">
        <v>1152</v>
      </c>
      <c r="AD192" s="4">
        <v>120</v>
      </c>
      <c r="AE192" s="4">
        <v>5020</v>
      </c>
      <c r="AF192" s="6">
        <v>69</v>
      </c>
      <c r="AG192" s="6">
        <v>77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/>
      <c r="BJ192" s="4">
        <v>2547</v>
      </c>
      <c r="BK192" s="8">
        <v>67354.22</v>
      </c>
      <c r="BL192" s="2" t="s">
        <v>1153</v>
      </c>
      <c r="BM192" s="7"/>
      <c r="BN192" s="7"/>
      <c r="BO192" s="4"/>
      <c r="BP192" s="8"/>
      <c r="BQ192" s="4"/>
      <c r="BR192" s="8"/>
      <c r="BS192" s="7"/>
      <c r="BT192" s="7"/>
      <c r="BU192" s="2" t="s">
        <v>1090</v>
      </c>
      <c r="BV192" s="2" t="s">
        <v>97</v>
      </c>
      <c r="BW192" s="2" t="s">
        <v>100</v>
      </c>
      <c r="BX192" s="2" t="s">
        <v>100</v>
      </c>
      <c r="BY192" s="2" t="s">
        <v>109</v>
      </c>
      <c r="BZ192" s="2" t="s">
        <v>110</v>
      </c>
    </row>
    <row r="193">
      <c r="A193" s="2" t="s">
        <v>1154</v>
      </c>
      <c r="B193" s="2" t="s">
        <v>87</v>
      </c>
      <c r="C193" s="2" t="s">
        <v>1082</v>
      </c>
      <c r="D193" s="2" t="s">
        <v>89</v>
      </c>
      <c r="E193" s="2" t="s">
        <v>90</v>
      </c>
      <c r="F193" s="2" t="s">
        <v>1140</v>
      </c>
      <c r="G193" s="2" t="s">
        <v>1140</v>
      </c>
      <c r="H193" s="2" t="s">
        <v>1140</v>
      </c>
      <c r="I193" s="2" t="s">
        <v>1141</v>
      </c>
      <c r="J193" s="2" t="s">
        <v>95</v>
      </c>
      <c r="K193" s="2" t="s">
        <v>1155</v>
      </c>
      <c r="L193" s="3">
        <v>22.33</v>
      </c>
      <c r="M193" s="3">
        <v>23.45</v>
      </c>
      <c r="N193" s="3">
        <v>46.99</v>
      </c>
      <c r="O193" s="2" t="s">
        <v>97</v>
      </c>
      <c r="P193" s="2" t="s">
        <v>194</v>
      </c>
      <c r="Q193" s="2" t="s">
        <v>99</v>
      </c>
      <c r="R193" s="2" t="s">
        <v>100</v>
      </c>
      <c r="S193" s="2" t="s">
        <v>1156</v>
      </c>
      <c r="T193" s="2" t="s">
        <v>220</v>
      </c>
      <c r="U193" s="2" t="s">
        <v>196</v>
      </c>
      <c r="V193" s="2" t="s">
        <v>270</v>
      </c>
      <c r="W193" s="2" t="s">
        <v>1144</v>
      </c>
      <c r="X193" s="2" t="s">
        <v>1145</v>
      </c>
      <c r="Y193" s="2" t="s">
        <v>100</v>
      </c>
      <c r="Z193" s="4"/>
      <c r="AA193" s="4">
        <f>=ROUNDDOWN({0},0)</f>
      </c>
      <c r="AB193" s="5"/>
      <c r="AC193" s="2" t="s">
        <v>324</v>
      </c>
      <c r="AD193" s="4">
        <v>700</v>
      </c>
      <c r="AE193" s="4">
        <v>700</v>
      </c>
      <c r="AF193" s="6">
        <v>69</v>
      </c>
      <c r="AG193" s="6"/>
      <c r="AH193" s="7">
        <v>0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/>
      <c r="BJ193" s="4"/>
      <c r="BK193" s="8"/>
      <c r="BL193" s="2" t="s">
        <v>100</v>
      </c>
      <c r="BM193" s="7"/>
      <c r="BN193" s="7"/>
      <c r="BO193" s="4"/>
      <c r="BP193" s="8"/>
      <c r="BQ193" s="4"/>
      <c r="BR193" s="8"/>
      <c r="BS193" s="7"/>
      <c r="BT193" s="7"/>
      <c r="BU193" s="2" t="s">
        <v>1090</v>
      </c>
      <c r="BV193" s="2" t="s">
        <v>97</v>
      </c>
      <c r="BW193" s="2" t="s">
        <v>100</v>
      </c>
      <c r="BX193" s="2" t="s">
        <v>100</v>
      </c>
      <c r="BY193" s="2" t="s">
        <v>109</v>
      </c>
      <c r="BZ193" s="2" t="s">
        <v>110</v>
      </c>
    </row>
    <row r="194">
      <c r="A194" s="2" t="s">
        <v>1157</v>
      </c>
      <c r="B194" s="2" t="s">
        <v>87</v>
      </c>
      <c r="C194" s="2" t="s">
        <v>1082</v>
      </c>
      <c r="D194" s="2" t="s">
        <v>89</v>
      </c>
      <c r="E194" s="2" t="s">
        <v>90</v>
      </c>
      <c r="F194" s="2" t="s">
        <v>1158</v>
      </c>
      <c r="G194" s="2" t="s">
        <v>1158</v>
      </c>
      <c r="H194" s="2" t="s">
        <v>1158</v>
      </c>
      <c r="I194" s="2" t="s">
        <v>864</v>
      </c>
      <c r="J194" s="2" t="s">
        <v>95</v>
      </c>
      <c r="K194" s="2" t="s">
        <v>160</v>
      </c>
      <c r="L194" s="3">
        <v>24</v>
      </c>
      <c r="M194" s="3">
        <v>25.2</v>
      </c>
      <c r="N194" s="3">
        <v>49.99</v>
      </c>
      <c r="O194" s="2" t="s">
        <v>97</v>
      </c>
      <c r="P194" s="2" t="s">
        <v>134</v>
      </c>
      <c r="Q194" s="2" t="s">
        <v>99</v>
      </c>
      <c r="R194" s="2" t="s">
        <v>100</v>
      </c>
      <c r="S194" s="2" t="s">
        <v>1159</v>
      </c>
      <c r="T194" s="2" t="s">
        <v>220</v>
      </c>
      <c r="U194" s="2" t="s">
        <v>196</v>
      </c>
      <c r="V194" s="2" t="s">
        <v>221</v>
      </c>
      <c r="W194" s="2" t="s">
        <v>1160</v>
      </c>
      <c r="X194" s="2" t="s">
        <v>222</v>
      </c>
      <c r="Y194" s="2" t="s">
        <v>1161</v>
      </c>
      <c r="Z194" s="4">
        <v>30</v>
      </c>
      <c r="AA194" s="4">
        <f>=ROUNDDOWN(1.76470588235294,0)</f>
      </c>
      <c r="AB194" s="5">
        <v>17</v>
      </c>
      <c r="AC194" s="2" t="s">
        <v>1137</v>
      </c>
      <c r="AD194" s="4">
        <v>232</v>
      </c>
      <c r="AE194" s="4">
        <v>232</v>
      </c>
      <c r="AF194" s="6">
        <v>67</v>
      </c>
      <c r="AG194" s="6"/>
      <c r="AH194" s="7">
        <v>0.7018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/>
      <c r="BJ194" s="4">
        <v>176</v>
      </c>
      <c r="BK194" s="8">
        <v>4741.38</v>
      </c>
      <c r="BL194" s="2" t="s">
        <v>1162</v>
      </c>
      <c r="BM194" s="7"/>
      <c r="BN194" s="7"/>
      <c r="BO194" s="4"/>
      <c r="BP194" s="8"/>
      <c r="BQ194" s="4"/>
      <c r="BR194" s="8"/>
      <c r="BS194" s="7"/>
      <c r="BT194" s="7"/>
      <c r="BU194" s="2" t="s">
        <v>1090</v>
      </c>
      <c r="BV194" s="2" t="s">
        <v>97</v>
      </c>
      <c r="BW194" s="2" t="s">
        <v>100</v>
      </c>
      <c r="BX194" s="2" t="s">
        <v>100</v>
      </c>
      <c r="BY194" s="2" t="s">
        <v>109</v>
      </c>
      <c r="BZ194" s="2" t="s">
        <v>110</v>
      </c>
    </row>
    <row r="195">
      <c r="A195" s="2" t="s">
        <v>1163</v>
      </c>
      <c r="B195" s="2" t="s">
        <v>87</v>
      </c>
      <c r="C195" s="2" t="s">
        <v>1082</v>
      </c>
      <c r="D195" s="2" t="s">
        <v>89</v>
      </c>
      <c r="E195" s="2" t="s">
        <v>90</v>
      </c>
      <c r="F195" s="2" t="s">
        <v>1158</v>
      </c>
      <c r="G195" s="2" t="s">
        <v>1158</v>
      </c>
      <c r="H195" s="2" t="s">
        <v>1158</v>
      </c>
      <c r="I195" s="2" t="s">
        <v>864</v>
      </c>
      <c r="J195" s="2" t="s">
        <v>95</v>
      </c>
      <c r="K195" s="2" t="s">
        <v>1142</v>
      </c>
      <c r="L195" s="3">
        <v>24</v>
      </c>
      <c r="M195" s="3">
        <v>25.2</v>
      </c>
      <c r="N195" s="3">
        <v>49.99</v>
      </c>
      <c r="O195" s="2" t="s">
        <v>97</v>
      </c>
      <c r="P195" s="2" t="s">
        <v>134</v>
      </c>
      <c r="Q195" s="2" t="s">
        <v>99</v>
      </c>
      <c r="R195" s="2" t="s">
        <v>100</v>
      </c>
      <c r="S195" s="2" t="s">
        <v>1164</v>
      </c>
      <c r="T195" s="2" t="s">
        <v>220</v>
      </c>
      <c r="U195" s="2" t="s">
        <v>196</v>
      </c>
      <c r="V195" s="2" t="s">
        <v>221</v>
      </c>
      <c r="W195" s="2" t="s">
        <v>1160</v>
      </c>
      <c r="X195" s="2" t="s">
        <v>222</v>
      </c>
      <c r="Y195" s="2" t="s">
        <v>1161</v>
      </c>
      <c r="Z195" s="4">
        <v>169</v>
      </c>
      <c r="AA195" s="4">
        <f>=ROUNDDOWN(14.0833333333333,0)</f>
      </c>
      <c r="AB195" s="5">
        <v>12</v>
      </c>
      <c r="AC195" s="2" t="s">
        <v>694</v>
      </c>
      <c r="AD195" s="4">
        <v>132</v>
      </c>
      <c r="AE195" s="4">
        <v>132</v>
      </c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/>
      <c r="BJ195" s="4">
        <v>152</v>
      </c>
      <c r="BK195" s="8">
        <v>4137.26</v>
      </c>
      <c r="BL195" s="2" t="s">
        <v>1111</v>
      </c>
      <c r="BM195" s="7"/>
      <c r="BN195" s="7"/>
      <c r="BO195" s="4"/>
      <c r="BP195" s="8"/>
      <c r="BQ195" s="4"/>
      <c r="BR195" s="8"/>
      <c r="BS195" s="7"/>
      <c r="BT195" s="7"/>
      <c r="BU195" s="2" t="s">
        <v>1090</v>
      </c>
      <c r="BV195" s="2" t="s">
        <v>97</v>
      </c>
      <c r="BW195" s="2" t="s">
        <v>100</v>
      </c>
      <c r="BX195" s="2" t="s">
        <v>100</v>
      </c>
      <c r="BY195" s="2" t="s">
        <v>109</v>
      </c>
      <c r="BZ195" s="2" t="s">
        <v>110</v>
      </c>
    </row>
    <row r="196">
      <c r="A196" s="2" t="s">
        <v>1165</v>
      </c>
      <c r="B196" s="2" t="s">
        <v>87</v>
      </c>
      <c r="C196" s="2" t="s">
        <v>1082</v>
      </c>
      <c r="D196" s="2" t="s">
        <v>89</v>
      </c>
      <c r="E196" s="2" t="s">
        <v>90</v>
      </c>
      <c r="F196" s="2" t="s">
        <v>1158</v>
      </c>
      <c r="G196" s="2" t="s">
        <v>1158</v>
      </c>
      <c r="H196" s="2" t="s">
        <v>1158</v>
      </c>
      <c r="I196" s="2" t="s">
        <v>864</v>
      </c>
      <c r="J196" s="2" t="s">
        <v>95</v>
      </c>
      <c r="K196" s="2" t="s">
        <v>267</v>
      </c>
      <c r="L196" s="3">
        <v>24</v>
      </c>
      <c r="M196" s="3">
        <v>25.2</v>
      </c>
      <c r="N196" s="3">
        <v>49.99</v>
      </c>
      <c r="O196" s="2" t="s">
        <v>97</v>
      </c>
      <c r="P196" s="2" t="s">
        <v>134</v>
      </c>
      <c r="Q196" s="2" t="s">
        <v>99</v>
      </c>
      <c r="R196" s="2" t="s">
        <v>100</v>
      </c>
      <c r="S196" s="2" t="s">
        <v>1166</v>
      </c>
      <c r="T196" s="2" t="s">
        <v>220</v>
      </c>
      <c r="U196" s="2" t="s">
        <v>196</v>
      </c>
      <c r="V196" s="2" t="s">
        <v>221</v>
      </c>
      <c r="W196" s="2" t="s">
        <v>1160</v>
      </c>
      <c r="X196" s="2" t="s">
        <v>222</v>
      </c>
      <c r="Y196" s="2" t="s">
        <v>1161</v>
      </c>
      <c r="Z196" s="4">
        <v>21</v>
      </c>
      <c r="AA196" s="4">
        <f>=ROUNDDOWN(1.61538461538462,0)</f>
      </c>
      <c r="AB196" s="5">
        <v>13</v>
      </c>
      <c r="AC196" s="2" t="s">
        <v>494</v>
      </c>
      <c r="AD196" s="4">
        <v>260</v>
      </c>
      <c r="AE196" s="4">
        <v>260</v>
      </c>
      <c r="AF196" s="6">
        <v>67</v>
      </c>
      <c r="AG196" s="6"/>
      <c r="AH196" s="7">
        <v>0.7807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/>
      <c r="BJ196" s="4">
        <v>248</v>
      </c>
      <c r="BK196" s="8">
        <v>6356.15</v>
      </c>
      <c r="BL196" s="2" t="s">
        <v>1167</v>
      </c>
      <c r="BM196" s="7"/>
      <c r="BN196" s="7"/>
      <c r="BO196" s="4"/>
      <c r="BP196" s="8"/>
      <c r="BQ196" s="4"/>
      <c r="BR196" s="8"/>
      <c r="BS196" s="7"/>
      <c r="BT196" s="7"/>
      <c r="BU196" s="2" t="s">
        <v>1090</v>
      </c>
      <c r="BV196" s="2" t="s">
        <v>97</v>
      </c>
      <c r="BW196" s="2" t="s">
        <v>100</v>
      </c>
      <c r="BX196" s="2" t="s">
        <v>100</v>
      </c>
      <c r="BY196" s="2" t="s">
        <v>109</v>
      </c>
      <c r="BZ196" s="2" t="s">
        <v>110</v>
      </c>
    </row>
    <row r="197">
      <c r="A197" s="2" t="s">
        <v>1168</v>
      </c>
      <c r="B197" s="2" t="s">
        <v>87</v>
      </c>
      <c r="C197" s="2" t="s">
        <v>1082</v>
      </c>
      <c r="D197" s="2" t="s">
        <v>89</v>
      </c>
      <c r="E197" s="2" t="s">
        <v>90</v>
      </c>
      <c r="F197" s="2" t="s">
        <v>1169</v>
      </c>
      <c r="G197" s="2" t="s">
        <v>1169</v>
      </c>
      <c r="H197" s="2" t="s">
        <v>1169</v>
      </c>
      <c r="I197" s="2" t="s">
        <v>1170</v>
      </c>
      <c r="J197" s="2" t="s">
        <v>95</v>
      </c>
      <c r="K197" s="2" t="s">
        <v>1171</v>
      </c>
      <c r="L197" s="3">
        <v>18.92</v>
      </c>
      <c r="M197" s="3">
        <v>19.87</v>
      </c>
      <c r="N197" s="3">
        <v>42.99</v>
      </c>
      <c r="O197" s="2" t="s">
        <v>97</v>
      </c>
      <c r="P197" s="2" t="s">
        <v>126</v>
      </c>
      <c r="Q197" s="2" t="s">
        <v>99</v>
      </c>
      <c r="R197" s="2" t="s">
        <v>100</v>
      </c>
      <c r="S197" s="2" t="s">
        <v>1172</v>
      </c>
      <c r="T197" s="2" t="s">
        <v>220</v>
      </c>
      <c r="U197" s="2" t="s">
        <v>196</v>
      </c>
      <c r="V197" s="2" t="s">
        <v>440</v>
      </c>
      <c r="W197" s="2" t="s">
        <v>150</v>
      </c>
      <c r="X197" s="2" t="s">
        <v>388</v>
      </c>
      <c r="Y197" s="2" t="s">
        <v>1173</v>
      </c>
      <c r="Z197" s="4">
        <v>280</v>
      </c>
      <c r="AA197" s="4">
        <f>=ROUNDDOWN(10.7692307692308,0)</f>
      </c>
      <c r="AB197" s="5">
        <v>26</v>
      </c>
      <c r="AC197" s="2" t="s">
        <v>369</v>
      </c>
      <c r="AD197" s="4">
        <v>280</v>
      </c>
      <c r="AE197" s="4">
        <v>480</v>
      </c>
      <c r="AF197" s="6">
        <v>64</v>
      </c>
      <c r="AG197" s="6"/>
      <c r="AH197" s="7">
        <v>0.9825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396</v>
      </c>
      <c r="BK197" s="8">
        <v>8544.94</v>
      </c>
      <c r="BL197" s="2" t="s">
        <v>1174</v>
      </c>
      <c r="BM197" s="7"/>
      <c r="BN197" s="7"/>
      <c r="BO197" s="4"/>
      <c r="BP197" s="8"/>
      <c r="BQ197" s="4"/>
      <c r="BR197" s="8"/>
      <c r="BS197" s="7"/>
      <c r="BT197" s="7"/>
      <c r="BU197" s="2" t="s">
        <v>1090</v>
      </c>
      <c r="BV197" s="2" t="s">
        <v>97</v>
      </c>
      <c r="BW197" s="2" t="s">
        <v>100</v>
      </c>
      <c r="BX197" s="2" t="s">
        <v>100</v>
      </c>
      <c r="BY197" s="2" t="s">
        <v>109</v>
      </c>
      <c r="BZ197" s="2" t="s">
        <v>110</v>
      </c>
    </row>
    <row r="198">
      <c r="A198" s="2" t="s">
        <v>1175</v>
      </c>
      <c r="B198" s="2" t="s">
        <v>87</v>
      </c>
      <c r="C198" s="2" t="s">
        <v>1082</v>
      </c>
      <c r="D198" s="2" t="s">
        <v>89</v>
      </c>
      <c r="E198" s="2" t="s">
        <v>90</v>
      </c>
      <c r="F198" s="2" t="s">
        <v>1176</v>
      </c>
      <c r="G198" s="2" t="s">
        <v>1176</v>
      </c>
      <c r="H198" s="2" t="s">
        <v>1176</v>
      </c>
      <c r="I198" s="2" t="s">
        <v>864</v>
      </c>
      <c r="J198" s="2" t="s">
        <v>95</v>
      </c>
      <c r="K198" s="2" t="s">
        <v>1177</v>
      </c>
      <c r="L198" s="3">
        <v>24</v>
      </c>
      <c r="M198" s="3">
        <v>25.2</v>
      </c>
      <c r="N198" s="3">
        <v>49.99</v>
      </c>
      <c r="O198" s="2" t="s">
        <v>97</v>
      </c>
      <c r="P198" s="2" t="s">
        <v>134</v>
      </c>
      <c r="Q198" s="2" t="s">
        <v>99</v>
      </c>
      <c r="R198" s="2" t="s">
        <v>100</v>
      </c>
      <c r="S198" s="2" t="s">
        <v>1178</v>
      </c>
      <c r="T198" s="2" t="s">
        <v>220</v>
      </c>
      <c r="U198" s="2" t="s">
        <v>196</v>
      </c>
      <c r="V198" s="2" t="s">
        <v>270</v>
      </c>
      <c r="W198" s="2" t="s">
        <v>631</v>
      </c>
      <c r="X198" s="2" t="s">
        <v>1144</v>
      </c>
      <c r="Y198" s="2" t="s">
        <v>1179</v>
      </c>
      <c r="Z198" s="4">
        <v>87</v>
      </c>
      <c r="AA198" s="4">
        <f>=ROUNDDOWN(7.90909090909091,0)</f>
      </c>
      <c r="AB198" s="5">
        <v>11</v>
      </c>
      <c r="AC198" s="2" t="s">
        <v>1180</v>
      </c>
      <c r="AD198" s="4">
        <v>200</v>
      </c>
      <c r="AE198" s="4">
        <v>200</v>
      </c>
      <c r="AF198" s="6">
        <v>62</v>
      </c>
      <c r="AG198" s="6"/>
      <c r="AH198" s="7">
        <v>0.4825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75</v>
      </c>
      <c r="BK198" s="8">
        <v>2034.74</v>
      </c>
      <c r="BL198" s="2" t="s">
        <v>1181</v>
      </c>
      <c r="BM198" s="7"/>
      <c r="BN198" s="7"/>
      <c r="BO198" s="4"/>
      <c r="BP198" s="8"/>
      <c r="BQ198" s="4"/>
      <c r="BR198" s="8"/>
      <c r="BS198" s="7"/>
      <c r="BT198" s="7"/>
      <c r="BU198" s="2" t="s">
        <v>1090</v>
      </c>
      <c r="BV198" s="2" t="s">
        <v>97</v>
      </c>
      <c r="BW198" s="2" t="s">
        <v>100</v>
      </c>
      <c r="BX198" s="2" t="s">
        <v>100</v>
      </c>
      <c r="BY198" s="2" t="s">
        <v>109</v>
      </c>
      <c r="BZ198" s="2" t="s">
        <v>110</v>
      </c>
    </row>
    <row r="199">
      <c r="A199" s="2" t="s">
        <v>1182</v>
      </c>
      <c r="B199" s="2" t="s">
        <v>1183</v>
      </c>
      <c r="C199" s="2" t="s">
        <v>88</v>
      </c>
      <c r="D199" s="2" t="s">
        <v>1184</v>
      </c>
      <c r="E199" s="2" t="s">
        <v>776</v>
      </c>
      <c r="F199" s="2" t="s">
        <v>240</v>
      </c>
      <c r="G199" s="2" t="s">
        <v>240</v>
      </c>
      <c r="H199" s="2" t="s">
        <v>240</v>
      </c>
      <c r="I199" s="2" t="s">
        <v>1185</v>
      </c>
      <c r="J199" s="2" t="s">
        <v>763</v>
      </c>
      <c r="K199" s="2" t="s">
        <v>218</v>
      </c>
      <c r="L199" s="3">
        <v>24</v>
      </c>
      <c r="M199" s="3">
        <v>25.2</v>
      </c>
      <c r="N199" s="3">
        <v>49.99</v>
      </c>
      <c r="O199" s="2" t="s">
        <v>97</v>
      </c>
      <c r="P199" s="2" t="s">
        <v>175</v>
      </c>
      <c r="Q199" s="2" t="s">
        <v>99</v>
      </c>
      <c r="R199" s="2" t="s">
        <v>100</v>
      </c>
      <c r="S199" s="2" t="s">
        <v>1186</v>
      </c>
      <c r="T199" s="2" t="s">
        <v>100</v>
      </c>
      <c r="U199" s="2" t="s">
        <v>780</v>
      </c>
      <c r="V199" s="2" t="s">
        <v>221</v>
      </c>
      <c r="W199" s="2" t="s">
        <v>150</v>
      </c>
      <c r="X199" s="2" t="s">
        <v>100</v>
      </c>
      <c r="Y199" s="2" t="s">
        <v>1187</v>
      </c>
      <c r="Z199" s="4">
        <v>655</v>
      </c>
      <c r="AA199" s="4">
        <f>=ROUNDDOWN(14.2391304347826,0)</f>
      </c>
      <c r="AB199" s="5">
        <v>46</v>
      </c>
      <c r="AC199" s="2" t="s">
        <v>349</v>
      </c>
      <c r="AD199" s="4">
        <v>422</v>
      </c>
      <c r="AE199" s="4">
        <v>842</v>
      </c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12</v>
      </c>
      <c r="AQ199" s="8">
        <v>299.4</v>
      </c>
      <c r="AR199" s="4"/>
      <c r="AS199" s="8"/>
      <c r="AT199" s="7"/>
      <c r="AU199" s="7"/>
      <c r="AV199" s="4">
        <v>12</v>
      </c>
      <c r="AW199" s="8">
        <v>299.4</v>
      </c>
      <c r="AX199" s="4"/>
      <c r="AY199" s="8"/>
      <c r="AZ199" s="7"/>
      <c r="BA199" s="7"/>
      <c r="BB199" s="7">
        <v>1</v>
      </c>
      <c r="BC199" s="4">
        <v>38</v>
      </c>
      <c r="BD199" s="8">
        <v>948.85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>
        <v>0.3155</v>
      </c>
      <c r="BJ199" s="4">
        <v>693</v>
      </c>
      <c r="BK199" s="8">
        <v>17329.94</v>
      </c>
      <c r="BL199" s="2" t="s">
        <v>1188</v>
      </c>
      <c r="BM199" s="7">
        <v>0.0173</v>
      </c>
      <c r="BN199" s="7">
        <v>0.0173</v>
      </c>
      <c r="BO199" s="4">
        <v>12</v>
      </c>
      <c r="BP199" s="8">
        <v>299.4</v>
      </c>
      <c r="BQ199" s="4"/>
      <c r="BR199" s="8"/>
      <c r="BS199" s="7"/>
      <c r="BT199" s="7"/>
      <c r="BU199" s="2" t="s">
        <v>106</v>
      </c>
      <c r="BV199" s="2" t="s">
        <v>97</v>
      </c>
      <c r="BW199" s="2" t="s">
        <v>1189</v>
      </c>
      <c r="BX199" s="2" t="s">
        <v>1190</v>
      </c>
      <c r="BY199" s="2" t="s">
        <v>109</v>
      </c>
      <c r="BZ199" s="2" t="s">
        <v>100</v>
      </c>
    </row>
    <row r="200">
      <c r="A200" s="2" t="s">
        <v>1191</v>
      </c>
      <c r="B200" s="2" t="s">
        <v>1183</v>
      </c>
      <c r="C200" s="2" t="s">
        <v>88</v>
      </c>
      <c r="D200" s="2" t="s">
        <v>1184</v>
      </c>
      <c r="E200" s="2" t="s">
        <v>776</v>
      </c>
      <c r="F200" s="2" t="s">
        <v>240</v>
      </c>
      <c r="G200" s="2" t="s">
        <v>240</v>
      </c>
      <c r="H200" s="2" t="s">
        <v>240</v>
      </c>
      <c r="I200" s="2" t="s">
        <v>1185</v>
      </c>
      <c r="J200" s="2" t="s">
        <v>763</v>
      </c>
      <c r="K200" s="2" t="s">
        <v>243</v>
      </c>
      <c r="L200" s="3">
        <v>24</v>
      </c>
      <c r="M200" s="3">
        <v>25.2</v>
      </c>
      <c r="N200" s="3">
        <v>49.99</v>
      </c>
      <c r="O200" s="2" t="s">
        <v>97</v>
      </c>
      <c r="P200" s="2" t="s">
        <v>175</v>
      </c>
      <c r="Q200" s="2" t="s">
        <v>99</v>
      </c>
      <c r="R200" s="2" t="s">
        <v>100</v>
      </c>
      <c r="S200" s="2" t="s">
        <v>1186</v>
      </c>
      <c r="T200" s="2" t="s">
        <v>100</v>
      </c>
      <c r="U200" s="2" t="s">
        <v>780</v>
      </c>
      <c r="V200" s="2" t="s">
        <v>221</v>
      </c>
      <c r="W200" s="2" t="s">
        <v>150</v>
      </c>
      <c r="X200" s="2" t="s">
        <v>100</v>
      </c>
      <c r="Y200" s="2" t="s">
        <v>1187</v>
      </c>
      <c r="Z200" s="4">
        <v>1198</v>
      </c>
      <c r="AA200" s="4">
        <f>=ROUNDDOWN(31.5263157894737,0)</f>
      </c>
      <c r="AB200" s="5">
        <v>38</v>
      </c>
      <c r="AC200" s="2" t="s">
        <v>1192</v>
      </c>
      <c r="AD200" s="4">
        <v>420</v>
      </c>
      <c r="AE200" s="4">
        <v>420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6</v>
      </c>
      <c r="AQ200" s="8">
        <v>149.7</v>
      </c>
      <c r="AR200" s="4"/>
      <c r="AS200" s="8"/>
      <c r="AT200" s="7"/>
      <c r="AU200" s="7"/>
      <c r="AV200" s="4">
        <v>6</v>
      </c>
      <c r="AW200" s="8">
        <v>149.7</v>
      </c>
      <c r="AX200" s="4"/>
      <c r="AY200" s="8"/>
      <c r="AZ200" s="7"/>
      <c r="BA200" s="7"/>
      <c r="BB200" s="7">
        <v>1</v>
      </c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>
        <v>0.1578</v>
      </c>
      <c r="BJ200" s="4">
        <v>584</v>
      </c>
      <c r="BK200" s="8">
        <v>14545.77</v>
      </c>
      <c r="BL200" s="2" t="s">
        <v>1188</v>
      </c>
      <c r="BM200" s="7">
        <v>0.0103</v>
      </c>
      <c r="BN200" s="7">
        <v>0.0103</v>
      </c>
      <c r="BO200" s="4">
        <v>6</v>
      </c>
      <c r="BP200" s="8">
        <v>149.7</v>
      </c>
      <c r="BQ200" s="4"/>
      <c r="BR200" s="8"/>
      <c r="BS200" s="7"/>
      <c r="BT200" s="7"/>
      <c r="BU200" s="2" t="s">
        <v>106</v>
      </c>
      <c r="BV200" s="2" t="s">
        <v>97</v>
      </c>
      <c r="BW200" s="2" t="s">
        <v>1189</v>
      </c>
      <c r="BX200" s="2" t="s">
        <v>443</v>
      </c>
      <c r="BY200" s="2" t="s">
        <v>109</v>
      </c>
      <c r="BZ200" s="2" t="s">
        <v>100</v>
      </c>
    </row>
    <row r="201">
      <c r="A201" s="2" t="s">
        <v>1193</v>
      </c>
      <c r="B201" s="2" t="s">
        <v>1183</v>
      </c>
      <c r="C201" s="2" t="s">
        <v>88</v>
      </c>
      <c r="D201" s="2" t="s">
        <v>1184</v>
      </c>
      <c r="E201" s="2" t="s">
        <v>776</v>
      </c>
      <c r="F201" s="2" t="s">
        <v>240</v>
      </c>
      <c r="G201" s="2" t="s">
        <v>240</v>
      </c>
      <c r="H201" s="2" t="s">
        <v>240</v>
      </c>
      <c r="I201" s="2" t="s">
        <v>1185</v>
      </c>
      <c r="J201" s="2" t="s">
        <v>763</v>
      </c>
      <c r="K201" s="2" t="s">
        <v>320</v>
      </c>
      <c r="L201" s="3">
        <v>24</v>
      </c>
      <c r="M201" s="3">
        <v>25.2</v>
      </c>
      <c r="N201" s="3">
        <v>49.99</v>
      </c>
      <c r="O201" s="2" t="s">
        <v>97</v>
      </c>
      <c r="P201" s="2" t="s">
        <v>126</v>
      </c>
      <c r="Q201" s="2" t="s">
        <v>99</v>
      </c>
      <c r="R201" s="2" t="s">
        <v>100</v>
      </c>
      <c r="S201" s="2" t="s">
        <v>1186</v>
      </c>
      <c r="T201" s="2" t="s">
        <v>100</v>
      </c>
      <c r="U201" s="2" t="s">
        <v>780</v>
      </c>
      <c r="V201" s="2" t="s">
        <v>221</v>
      </c>
      <c r="W201" s="2" t="s">
        <v>150</v>
      </c>
      <c r="X201" s="2" t="s">
        <v>100</v>
      </c>
      <c r="Y201" s="2" t="s">
        <v>1187</v>
      </c>
      <c r="Z201" s="4">
        <v>549</v>
      </c>
      <c r="AA201" s="4">
        <f>=ROUNDDOWN(12.2,0)</f>
      </c>
      <c r="AB201" s="5">
        <v>45</v>
      </c>
      <c r="AC201" s="2" t="s">
        <v>349</v>
      </c>
      <c r="AD201" s="4">
        <v>403</v>
      </c>
      <c r="AE201" s="4">
        <v>1243</v>
      </c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6</v>
      </c>
      <c r="AQ201" s="8">
        <v>149.7</v>
      </c>
      <c r="AR201" s="4"/>
      <c r="AS201" s="8"/>
      <c r="AT201" s="7"/>
      <c r="AU201" s="7"/>
      <c r="AV201" s="4">
        <v>6</v>
      </c>
      <c r="AW201" s="8">
        <v>149.7</v>
      </c>
      <c r="AX201" s="4"/>
      <c r="AY201" s="8"/>
      <c r="AZ201" s="7"/>
      <c r="BA201" s="7"/>
      <c r="BB201" s="7">
        <v>1</v>
      </c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>
        <v>0.1578</v>
      </c>
      <c r="BJ201" s="4">
        <v>664</v>
      </c>
      <c r="BK201" s="8">
        <v>16681.44</v>
      </c>
      <c r="BL201" s="2" t="s">
        <v>1194</v>
      </c>
      <c r="BM201" s="7">
        <v>0.009</v>
      </c>
      <c r="BN201" s="7">
        <v>0.009</v>
      </c>
      <c r="BO201" s="4">
        <v>6</v>
      </c>
      <c r="BP201" s="8">
        <v>149.7</v>
      </c>
      <c r="BQ201" s="4"/>
      <c r="BR201" s="8"/>
      <c r="BS201" s="7"/>
      <c r="BT201" s="7"/>
      <c r="BU201" s="2" t="s">
        <v>106</v>
      </c>
      <c r="BV201" s="2" t="s">
        <v>97</v>
      </c>
      <c r="BW201" s="2" t="s">
        <v>1195</v>
      </c>
      <c r="BX201" s="2" t="s">
        <v>443</v>
      </c>
      <c r="BY201" s="2" t="s">
        <v>109</v>
      </c>
      <c r="BZ201" s="2" t="s">
        <v>100</v>
      </c>
    </row>
    <row r="202">
      <c r="A202" s="2" t="s">
        <v>1196</v>
      </c>
      <c r="B202" s="2" t="s">
        <v>1183</v>
      </c>
      <c r="C202" s="2" t="s">
        <v>88</v>
      </c>
      <c r="D202" s="2" t="s">
        <v>1184</v>
      </c>
      <c r="E202" s="2" t="s">
        <v>776</v>
      </c>
      <c r="F202" s="2" t="s">
        <v>240</v>
      </c>
      <c r="G202" s="2" t="s">
        <v>240</v>
      </c>
      <c r="H202" s="2" t="s">
        <v>240</v>
      </c>
      <c r="I202" s="2" t="s">
        <v>1185</v>
      </c>
      <c r="J202" s="2" t="s">
        <v>763</v>
      </c>
      <c r="K202" s="2" t="s">
        <v>133</v>
      </c>
      <c r="L202" s="3">
        <v>24</v>
      </c>
      <c r="M202" s="3">
        <v>25.2</v>
      </c>
      <c r="N202" s="3">
        <v>49.99</v>
      </c>
      <c r="O202" s="2" t="s">
        <v>97</v>
      </c>
      <c r="P202" s="2" t="s">
        <v>126</v>
      </c>
      <c r="Q202" s="2" t="s">
        <v>99</v>
      </c>
      <c r="R202" s="2" t="s">
        <v>100</v>
      </c>
      <c r="S202" s="2" t="s">
        <v>1186</v>
      </c>
      <c r="T202" s="2" t="s">
        <v>100</v>
      </c>
      <c r="U202" s="2" t="s">
        <v>780</v>
      </c>
      <c r="V202" s="2" t="s">
        <v>221</v>
      </c>
      <c r="W202" s="2" t="s">
        <v>150</v>
      </c>
      <c r="X202" s="2" t="s">
        <v>100</v>
      </c>
      <c r="Y202" s="2" t="s">
        <v>1187</v>
      </c>
      <c r="Z202" s="4">
        <v>674</v>
      </c>
      <c r="AA202" s="4">
        <f>=ROUNDDOWN(21.741935483871,0)</f>
      </c>
      <c r="AB202" s="5">
        <v>31</v>
      </c>
      <c r="AC202" s="2" t="s">
        <v>349</v>
      </c>
      <c r="AD202" s="4">
        <v>421</v>
      </c>
      <c r="AE202" s="4">
        <v>421</v>
      </c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5</v>
      </c>
      <c r="AQ202" s="8">
        <v>124.75</v>
      </c>
      <c r="AR202" s="4"/>
      <c r="AS202" s="8"/>
      <c r="AT202" s="7"/>
      <c r="AU202" s="7"/>
      <c r="AV202" s="4">
        <v>5</v>
      </c>
      <c r="AW202" s="8">
        <v>124.75</v>
      </c>
      <c r="AX202" s="4"/>
      <c r="AY202" s="8"/>
      <c r="AZ202" s="7"/>
      <c r="BA202" s="7"/>
      <c r="BB202" s="7">
        <v>1</v>
      </c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>
        <v>0.1315</v>
      </c>
      <c r="BJ202" s="4">
        <v>446</v>
      </c>
      <c r="BK202" s="8">
        <v>11054.9</v>
      </c>
      <c r="BL202" s="2" t="s">
        <v>1197</v>
      </c>
      <c r="BM202" s="7">
        <v>0.0112</v>
      </c>
      <c r="BN202" s="7">
        <v>0.0113</v>
      </c>
      <c r="BO202" s="4">
        <v>5</v>
      </c>
      <c r="BP202" s="8">
        <v>124.75</v>
      </c>
      <c r="BQ202" s="4"/>
      <c r="BR202" s="8"/>
      <c r="BS202" s="7"/>
      <c r="BT202" s="7"/>
      <c r="BU202" s="2" t="s">
        <v>106</v>
      </c>
      <c r="BV202" s="2" t="s">
        <v>97</v>
      </c>
      <c r="BW202" s="2" t="s">
        <v>1189</v>
      </c>
      <c r="BX202" s="2" t="s">
        <v>1198</v>
      </c>
      <c r="BY202" s="2" t="s">
        <v>109</v>
      </c>
      <c r="BZ202" s="2" t="s">
        <v>100</v>
      </c>
    </row>
    <row r="203">
      <c r="A203" s="2" t="s">
        <v>1199</v>
      </c>
      <c r="B203" s="2" t="s">
        <v>1183</v>
      </c>
      <c r="C203" s="2" t="s">
        <v>88</v>
      </c>
      <c r="D203" s="2" t="s">
        <v>1184</v>
      </c>
      <c r="E203" s="2" t="s">
        <v>776</v>
      </c>
      <c r="F203" s="2" t="s">
        <v>240</v>
      </c>
      <c r="G203" s="2" t="s">
        <v>240</v>
      </c>
      <c r="H203" s="2" t="s">
        <v>240</v>
      </c>
      <c r="I203" s="2" t="s">
        <v>1185</v>
      </c>
      <c r="J203" s="2" t="s">
        <v>763</v>
      </c>
      <c r="K203" s="2" t="s">
        <v>641</v>
      </c>
      <c r="L203" s="3">
        <v>24</v>
      </c>
      <c r="M203" s="3">
        <v>25.2</v>
      </c>
      <c r="N203" s="3">
        <v>49.99</v>
      </c>
      <c r="O203" s="2" t="s">
        <v>97</v>
      </c>
      <c r="P203" s="2" t="s">
        <v>126</v>
      </c>
      <c r="Q203" s="2" t="s">
        <v>99</v>
      </c>
      <c r="R203" s="2" t="s">
        <v>100</v>
      </c>
      <c r="S203" s="2" t="s">
        <v>1186</v>
      </c>
      <c r="T203" s="2" t="s">
        <v>220</v>
      </c>
      <c r="U203" s="2" t="s">
        <v>780</v>
      </c>
      <c r="V203" s="2" t="s">
        <v>221</v>
      </c>
      <c r="W203" s="2" t="s">
        <v>150</v>
      </c>
      <c r="X203" s="2" t="s">
        <v>222</v>
      </c>
      <c r="Y203" s="2" t="s">
        <v>1200</v>
      </c>
      <c r="Z203" s="4">
        <v>451</v>
      </c>
      <c r="AA203" s="4">
        <f>=ROUNDDOWN(12.8857142857143,0)</f>
      </c>
      <c r="AB203" s="5">
        <v>35</v>
      </c>
      <c r="AC203" s="2" t="s">
        <v>1192</v>
      </c>
      <c r="AD203" s="4">
        <v>420</v>
      </c>
      <c r="AE203" s="4">
        <v>840</v>
      </c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4</v>
      </c>
      <c r="AQ203" s="8">
        <v>99.8</v>
      </c>
      <c r="AR203" s="4"/>
      <c r="AS203" s="8"/>
      <c r="AT203" s="7"/>
      <c r="AU203" s="7"/>
      <c r="AV203" s="4">
        <v>4</v>
      </c>
      <c r="AW203" s="8">
        <v>99.8</v>
      </c>
      <c r="AX203" s="4"/>
      <c r="AY203" s="8"/>
      <c r="AZ203" s="7"/>
      <c r="BA203" s="7"/>
      <c r="BB203" s="7">
        <v>1</v>
      </c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>
        <v>0.1052</v>
      </c>
      <c r="BJ203" s="4">
        <v>537</v>
      </c>
      <c r="BK203" s="8">
        <v>13087.69</v>
      </c>
      <c r="BL203" s="2" t="s">
        <v>1201</v>
      </c>
      <c r="BM203" s="7">
        <v>0.0074</v>
      </c>
      <c r="BN203" s="7">
        <v>0.0076</v>
      </c>
      <c r="BO203" s="4">
        <v>4</v>
      </c>
      <c r="BP203" s="8">
        <v>99.8</v>
      </c>
      <c r="BQ203" s="4"/>
      <c r="BR203" s="8"/>
      <c r="BS203" s="7"/>
      <c r="BT203" s="7"/>
      <c r="BU203" s="2" t="s">
        <v>106</v>
      </c>
      <c r="BV203" s="2" t="s">
        <v>97</v>
      </c>
      <c r="BW203" s="2" t="s">
        <v>1189</v>
      </c>
      <c r="BX203" s="2" t="s">
        <v>1202</v>
      </c>
      <c r="BY203" s="2" t="s">
        <v>109</v>
      </c>
      <c r="BZ203" s="2" t="s">
        <v>100</v>
      </c>
    </row>
    <row r="204">
      <c r="A204" s="2" t="s">
        <v>1203</v>
      </c>
      <c r="B204" s="2" t="s">
        <v>1183</v>
      </c>
      <c r="C204" s="2" t="s">
        <v>88</v>
      </c>
      <c r="D204" s="2" t="s">
        <v>1184</v>
      </c>
      <c r="E204" s="2" t="s">
        <v>776</v>
      </c>
      <c r="F204" s="2" t="s">
        <v>240</v>
      </c>
      <c r="G204" s="2" t="s">
        <v>240</v>
      </c>
      <c r="H204" s="2" t="s">
        <v>240</v>
      </c>
      <c r="I204" s="2" t="s">
        <v>1185</v>
      </c>
      <c r="J204" s="2" t="s">
        <v>763</v>
      </c>
      <c r="K204" s="2" t="s">
        <v>742</v>
      </c>
      <c r="L204" s="3">
        <v>24</v>
      </c>
      <c r="M204" s="3">
        <v>25.2</v>
      </c>
      <c r="N204" s="3">
        <v>49.99</v>
      </c>
      <c r="O204" s="2" t="s">
        <v>97</v>
      </c>
      <c r="P204" s="2" t="s">
        <v>126</v>
      </c>
      <c r="Q204" s="2" t="s">
        <v>99</v>
      </c>
      <c r="R204" s="2" t="s">
        <v>100</v>
      </c>
      <c r="S204" s="2" t="s">
        <v>1186</v>
      </c>
      <c r="T204" s="2" t="s">
        <v>220</v>
      </c>
      <c r="U204" s="2" t="s">
        <v>780</v>
      </c>
      <c r="V204" s="2" t="s">
        <v>221</v>
      </c>
      <c r="W204" s="2" t="s">
        <v>150</v>
      </c>
      <c r="X204" s="2" t="s">
        <v>100</v>
      </c>
      <c r="Y204" s="2" t="s">
        <v>1204</v>
      </c>
      <c r="Z204" s="4">
        <v>458</v>
      </c>
      <c r="AA204" s="4">
        <f>=ROUNDDOWN(10.6511627906977,0)</f>
      </c>
      <c r="AB204" s="5">
        <v>43</v>
      </c>
      <c r="AC204" s="2" t="s">
        <v>349</v>
      </c>
      <c r="AD204" s="4">
        <v>403</v>
      </c>
      <c r="AE204" s="4">
        <v>823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3</v>
      </c>
      <c r="AQ204" s="8">
        <v>75.6</v>
      </c>
      <c r="AR204" s="4"/>
      <c r="AS204" s="8"/>
      <c r="AT204" s="7"/>
      <c r="AU204" s="7"/>
      <c r="AV204" s="4">
        <v>3</v>
      </c>
      <c r="AW204" s="8">
        <v>75.6</v>
      </c>
      <c r="AX204" s="4"/>
      <c r="AY204" s="8"/>
      <c r="AZ204" s="7"/>
      <c r="BA204" s="7"/>
      <c r="BB204" s="7">
        <v>1</v>
      </c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>
        <v>0.0797</v>
      </c>
      <c r="BJ204" s="4">
        <v>706</v>
      </c>
      <c r="BK204" s="8">
        <v>17444.49</v>
      </c>
      <c r="BL204" s="2" t="s">
        <v>1205</v>
      </c>
      <c r="BM204" s="7">
        <v>0.0042</v>
      </c>
      <c r="BN204" s="7">
        <v>0.0043</v>
      </c>
      <c r="BO204" s="4">
        <v>3</v>
      </c>
      <c r="BP204" s="8">
        <v>75.6</v>
      </c>
      <c r="BQ204" s="4"/>
      <c r="BR204" s="8"/>
      <c r="BS204" s="7"/>
      <c r="BT204" s="7"/>
      <c r="BU204" s="2" t="s">
        <v>106</v>
      </c>
      <c r="BV204" s="2" t="s">
        <v>97</v>
      </c>
      <c r="BW204" s="2" t="s">
        <v>1206</v>
      </c>
      <c r="BX204" s="2" t="s">
        <v>1207</v>
      </c>
      <c r="BY204" s="2" t="s">
        <v>109</v>
      </c>
      <c r="BZ204" s="2" t="s">
        <v>100</v>
      </c>
    </row>
    <row r="205">
      <c r="A205" s="2" t="s">
        <v>1208</v>
      </c>
      <c r="B205" s="2" t="s">
        <v>1183</v>
      </c>
      <c r="C205" s="2" t="s">
        <v>88</v>
      </c>
      <c r="D205" s="2" t="s">
        <v>1184</v>
      </c>
      <c r="E205" s="2" t="s">
        <v>776</v>
      </c>
      <c r="F205" s="2" t="s">
        <v>240</v>
      </c>
      <c r="G205" s="2" t="s">
        <v>240</v>
      </c>
      <c r="H205" s="2" t="s">
        <v>240</v>
      </c>
      <c r="I205" s="2" t="s">
        <v>1185</v>
      </c>
      <c r="J205" s="2" t="s">
        <v>763</v>
      </c>
      <c r="K205" s="2" t="s">
        <v>1108</v>
      </c>
      <c r="L205" s="3">
        <v>24</v>
      </c>
      <c r="M205" s="3">
        <v>25.2</v>
      </c>
      <c r="N205" s="3">
        <v>49.99</v>
      </c>
      <c r="O205" s="2" t="s">
        <v>97</v>
      </c>
      <c r="P205" s="2" t="s">
        <v>175</v>
      </c>
      <c r="Q205" s="2" t="s">
        <v>99</v>
      </c>
      <c r="R205" s="2" t="s">
        <v>100</v>
      </c>
      <c r="S205" s="2" t="s">
        <v>1186</v>
      </c>
      <c r="T205" s="2" t="s">
        <v>100</v>
      </c>
      <c r="U205" s="2" t="s">
        <v>780</v>
      </c>
      <c r="V205" s="2" t="s">
        <v>221</v>
      </c>
      <c r="W205" s="2" t="s">
        <v>150</v>
      </c>
      <c r="X205" s="2" t="s">
        <v>100</v>
      </c>
      <c r="Y205" s="2" t="s">
        <v>1187</v>
      </c>
      <c r="Z205" s="4">
        <v>481</v>
      </c>
      <c r="AA205" s="4">
        <f>=ROUNDDOWN(8.43859649122807,0)</f>
      </c>
      <c r="AB205" s="5">
        <v>57</v>
      </c>
      <c r="AC205" s="2" t="s">
        <v>349</v>
      </c>
      <c r="AD205" s="4">
        <v>405</v>
      </c>
      <c r="AE205" s="4">
        <v>1465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2</v>
      </c>
      <c r="AQ205" s="8">
        <v>49.9</v>
      </c>
      <c r="AR205" s="4"/>
      <c r="AS205" s="8"/>
      <c r="AT205" s="7"/>
      <c r="AU205" s="7"/>
      <c r="AV205" s="4">
        <v>2</v>
      </c>
      <c r="AW205" s="8">
        <v>49.9</v>
      </c>
      <c r="AX205" s="4"/>
      <c r="AY205" s="8"/>
      <c r="AZ205" s="7"/>
      <c r="BA205" s="7"/>
      <c r="BB205" s="7">
        <v>1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>
        <v>0.0526</v>
      </c>
      <c r="BJ205" s="4">
        <v>958</v>
      </c>
      <c r="BK205" s="8">
        <v>23342.97</v>
      </c>
      <c r="BL205" s="2" t="s">
        <v>1209</v>
      </c>
      <c r="BM205" s="7">
        <v>0.0021</v>
      </c>
      <c r="BN205" s="7">
        <v>0.0021</v>
      </c>
      <c r="BO205" s="4">
        <v>2</v>
      </c>
      <c r="BP205" s="8">
        <v>49.9</v>
      </c>
      <c r="BQ205" s="4"/>
      <c r="BR205" s="8"/>
      <c r="BS205" s="7"/>
      <c r="BT205" s="7"/>
      <c r="BU205" s="2" t="s">
        <v>106</v>
      </c>
      <c r="BV205" s="2" t="s">
        <v>97</v>
      </c>
      <c r="BW205" s="2" t="s">
        <v>1210</v>
      </c>
      <c r="BX205" s="2" t="s">
        <v>1211</v>
      </c>
      <c r="BY205" s="2" t="s">
        <v>109</v>
      </c>
      <c r="BZ205" s="2" t="s">
        <v>100</v>
      </c>
    </row>
    <row r="206">
      <c r="A206" s="2" t="s">
        <v>1212</v>
      </c>
      <c r="B206" s="2" t="s">
        <v>1183</v>
      </c>
      <c r="C206" s="2" t="s">
        <v>88</v>
      </c>
      <c r="D206" s="2" t="s">
        <v>1184</v>
      </c>
      <c r="E206" s="2" t="s">
        <v>776</v>
      </c>
      <c r="F206" s="2" t="s">
        <v>1213</v>
      </c>
      <c r="G206" s="2" t="s">
        <v>1213</v>
      </c>
      <c r="H206" s="2" t="s">
        <v>1213</v>
      </c>
      <c r="I206" s="2" t="s">
        <v>1214</v>
      </c>
      <c r="J206" s="2" t="s">
        <v>763</v>
      </c>
      <c r="K206" s="2" t="s">
        <v>267</v>
      </c>
      <c r="L206" s="3">
        <v>26.4</v>
      </c>
      <c r="M206" s="3">
        <v>27.72</v>
      </c>
      <c r="N206" s="3">
        <v>54.99</v>
      </c>
      <c r="O206" s="2" t="s">
        <v>97</v>
      </c>
      <c r="P206" s="2" t="s">
        <v>126</v>
      </c>
      <c r="Q206" s="2" t="s">
        <v>99</v>
      </c>
      <c r="R206" s="2" t="s">
        <v>100</v>
      </c>
      <c r="S206" s="2" t="s">
        <v>100</v>
      </c>
      <c r="T206" s="2" t="s">
        <v>100</v>
      </c>
      <c r="U206" s="2" t="s">
        <v>100</v>
      </c>
      <c r="V206" s="2" t="s">
        <v>221</v>
      </c>
      <c r="W206" s="2" t="s">
        <v>150</v>
      </c>
      <c r="X206" s="2" t="s">
        <v>100</v>
      </c>
      <c r="Y206" s="2" t="s">
        <v>725</v>
      </c>
      <c r="Z206" s="4">
        <v>568</v>
      </c>
      <c r="AA206" s="4">
        <f>=ROUNDDOWN(18.3225806451613,0)</f>
      </c>
      <c r="AB206" s="5">
        <v>31</v>
      </c>
      <c r="AC206" s="2" t="s">
        <v>1215</v>
      </c>
      <c r="AD206" s="4">
        <v>350</v>
      </c>
      <c r="AE206" s="4">
        <v>700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9</v>
      </c>
      <c r="AQ206" s="8">
        <v>259.92</v>
      </c>
      <c r="AR206" s="4"/>
      <c r="AS206" s="8"/>
      <c r="AT206" s="7"/>
      <c r="AU206" s="7"/>
      <c r="AV206" s="4">
        <v>9</v>
      </c>
      <c r="AW206" s="8">
        <v>259.92</v>
      </c>
      <c r="AX206" s="4"/>
      <c r="AY206" s="8"/>
      <c r="AZ206" s="7"/>
      <c r="BA206" s="7"/>
      <c r="BB206" s="7">
        <v>1</v>
      </c>
      <c r="BC206" s="4">
        <v>13</v>
      </c>
      <c r="BD206" s="8">
        <v>375.44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0.6923</v>
      </c>
      <c r="BJ206" s="4">
        <v>513</v>
      </c>
      <c r="BK206" s="8">
        <v>14580.26</v>
      </c>
      <c r="BL206" s="2" t="s">
        <v>1188</v>
      </c>
      <c r="BM206" s="7">
        <v>0.0175</v>
      </c>
      <c r="BN206" s="7">
        <v>0.0178</v>
      </c>
      <c r="BO206" s="4">
        <v>9</v>
      </c>
      <c r="BP206" s="8">
        <v>259.92</v>
      </c>
      <c r="BQ206" s="4"/>
      <c r="BR206" s="8"/>
      <c r="BS206" s="7"/>
      <c r="BT206" s="7"/>
      <c r="BU206" s="2" t="s">
        <v>106</v>
      </c>
      <c r="BV206" s="2" t="s">
        <v>97</v>
      </c>
      <c r="BW206" s="2" t="s">
        <v>634</v>
      </c>
      <c r="BX206" s="2" t="s">
        <v>567</v>
      </c>
      <c r="BY206" s="2" t="s">
        <v>109</v>
      </c>
      <c r="BZ206" s="2" t="s">
        <v>100</v>
      </c>
    </row>
    <row r="207">
      <c r="A207" s="2" t="s">
        <v>1216</v>
      </c>
      <c r="B207" s="2" t="s">
        <v>1183</v>
      </c>
      <c r="C207" s="2" t="s">
        <v>88</v>
      </c>
      <c r="D207" s="2" t="s">
        <v>1184</v>
      </c>
      <c r="E207" s="2" t="s">
        <v>776</v>
      </c>
      <c r="F207" s="2" t="s">
        <v>1213</v>
      </c>
      <c r="G207" s="2" t="s">
        <v>1213</v>
      </c>
      <c r="H207" s="2" t="s">
        <v>1213</v>
      </c>
      <c r="I207" s="2" t="s">
        <v>1214</v>
      </c>
      <c r="J207" s="2" t="s">
        <v>763</v>
      </c>
      <c r="K207" s="2" t="s">
        <v>243</v>
      </c>
      <c r="L207" s="3">
        <v>26.4</v>
      </c>
      <c r="M207" s="3">
        <v>27.72</v>
      </c>
      <c r="N207" s="3">
        <v>54.99</v>
      </c>
      <c r="O207" s="2" t="s">
        <v>97</v>
      </c>
      <c r="P207" s="2" t="s">
        <v>126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100</v>
      </c>
      <c r="V207" s="2" t="s">
        <v>221</v>
      </c>
      <c r="W207" s="2" t="s">
        <v>150</v>
      </c>
      <c r="X207" s="2" t="s">
        <v>100</v>
      </c>
      <c r="Y207" s="2" t="s">
        <v>725</v>
      </c>
      <c r="Z207" s="4">
        <v>414</v>
      </c>
      <c r="AA207" s="4">
        <f>=ROUNDDOWN(10.8947368421053,0)</f>
      </c>
      <c r="AB207" s="5">
        <v>38</v>
      </c>
      <c r="AC207" s="2" t="s">
        <v>1152</v>
      </c>
      <c r="AD207" s="4">
        <v>338</v>
      </c>
      <c r="AE207" s="4">
        <v>1218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2</v>
      </c>
      <c r="AQ207" s="8">
        <v>57.76</v>
      </c>
      <c r="AR207" s="4"/>
      <c r="AS207" s="8"/>
      <c r="AT207" s="7"/>
      <c r="AU207" s="7"/>
      <c r="AV207" s="4">
        <v>2</v>
      </c>
      <c r="AW207" s="8">
        <v>57.76</v>
      </c>
      <c r="AX207" s="4"/>
      <c r="AY207" s="8"/>
      <c r="AZ207" s="7"/>
      <c r="BA207" s="7"/>
      <c r="BB207" s="7">
        <v>1</v>
      </c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>
        <v>0.1538</v>
      </c>
      <c r="BJ207" s="4">
        <v>586</v>
      </c>
      <c r="BK207" s="8">
        <v>16677.33</v>
      </c>
      <c r="BL207" s="2" t="s">
        <v>1217</v>
      </c>
      <c r="BM207" s="7">
        <v>0.0034</v>
      </c>
      <c r="BN207" s="7">
        <v>0.0035</v>
      </c>
      <c r="BO207" s="4">
        <v>2</v>
      </c>
      <c r="BP207" s="8">
        <v>57.76</v>
      </c>
      <c r="BQ207" s="4"/>
      <c r="BR207" s="8"/>
      <c r="BS207" s="7"/>
      <c r="BT207" s="7"/>
      <c r="BU207" s="2" t="s">
        <v>106</v>
      </c>
      <c r="BV207" s="2" t="s">
        <v>97</v>
      </c>
      <c r="BW207" s="2" t="s">
        <v>634</v>
      </c>
      <c r="BX207" s="2" t="s">
        <v>1218</v>
      </c>
      <c r="BY207" s="2" t="s">
        <v>109</v>
      </c>
      <c r="BZ207" s="2" t="s">
        <v>100</v>
      </c>
    </row>
    <row r="208">
      <c r="A208" s="2" t="s">
        <v>1219</v>
      </c>
      <c r="B208" s="2" t="s">
        <v>1183</v>
      </c>
      <c r="C208" s="2" t="s">
        <v>88</v>
      </c>
      <c r="D208" s="2" t="s">
        <v>1184</v>
      </c>
      <c r="E208" s="2" t="s">
        <v>776</v>
      </c>
      <c r="F208" s="2" t="s">
        <v>1213</v>
      </c>
      <c r="G208" s="2" t="s">
        <v>1213</v>
      </c>
      <c r="H208" s="2" t="s">
        <v>1213</v>
      </c>
      <c r="I208" s="2" t="s">
        <v>1214</v>
      </c>
      <c r="J208" s="2" t="s">
        <v>763</v>
      </c>
      <c r="K208" s="2" t="s">
        <v>133</v>
      </c>
      <c r="L208" s="3">
        <v>26.4</v>
      </c>
      <c r="M208" s="3">
        <v>27.72</v>
      </c>
      <c r="N208" s="3">
        <v>54.99</v>
      </c>
      <c r="O208" s="2" t="s">
        <v>97</v>
      </c>
      <c r="P208" s="2" t="s">
        <v>175</v>
      </c>
      <c r="Q208" s="2" t="s">
        <v>99</v>
      </c>
      <c r="R208" s="2" t="s">
        <v>100</v>
      </c>
      <c r="S208" s="2" t="s">
        <v>1220</v>
      </c>
      <c r="T208" s="2" t="s">
        <v>220</v>
      </c>
      <c r="U208" s="2" t="s">
        <v>780</v>
      </c>
      <c r="V208" s="2" t="s">
        <v>221</v>
      </c>
      <c r="W208" s="2" t="s">
        <v>150</v>
      </c>
      <c r="X208" s="2" t="s">
        <v>100</v>
      </c>
      <c r="Y208" s="2" t="s">
        <v>1200</v>
      </c>
      <c r="Z208" s="4">
        <v>173</v>
      </c>
      <c r="AA208" s="4">
        <f>=ROUNDDOWN(4.67567567567568,0)</f>
      </c>
      <c r="AB208" s="5">
        <v>37</v>
      </c>
      <c r="AC208" s="2" t="s">
        <v>1152</v>
      </c>
      <c r="AD208" s="4">
        <v>350</v>
      </c>
      <c r="AE208" s="4">
        <v>1400</v>
      </c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</v>
      </c>
      <c r="AQ208" s="8">
        <v>28.88</v>
      </c>
      <c r="AR208" s="4"/>
      <c r="AS208" s="8"/>
      <c r="AT208" s="7"/>
      <c r="AU208" s="7"/>
      <c r="AV208" s="4">
        <v>1</v>
      </c>
      <c r="AW208" s="8">
        <v>28.88</v>
      </c>
      <c r="AX208" s="4"/>
      <c r="AY208" s="8"/>
      <c r="AZ208" s="7"/>
      <c r="BA208" s="7"/>
      <c r="BB208" s="7">
        <v>1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>
        <v>0.0769</v>
      </c>
      <c r="BJ208" s="4">
        <v>517</v>
      </c>
      <c r="BK208" s="8">
        <v>14634.8</v>
      </c>
      <c r="BL208" s="2" t="s">
        <v>1221</v>
      </c>
      <c r="BM208" s="7">
        <v>0.0019</v>
      </c>
      <c r="BN208" s="7">
        <v>0.002</v>
      </c>
      <c r="BO208" s="4">
        <v>1</v>
      </c>
      <c r="BP208" s="8">
        <v>28.88</v>
      </c>
      <c r="BQ208" s="4"/>
      <c r="BR208" s="8"/>
      <c r="BS208" s="7"/>
      <c r="BT208" s="7"/>
      <c r="BU208" s="2" t="s">
        <v>106</v>
      </c>
      <c r="BV208" s="2" t="s">
        <v>97</v>
      </c>
      <c r="BW208" s="2" t="s">
        <v>1222</v>
      </c>
      <c r="BX208" s="2" t="s">
        <v>1223</v>
      </c>
      <c r="BY208" s="2" t="s">
        <v>109</v>
      </c>
      <c r="BZ208" s="2" t="s">
        <v>100</v>
      </c>
    </row>
    <row r="209">
      <c r="A209" s="2" t="s">
        <v>1224</v>
      </c>
      <c r="B209" s="2" t="s">
        <v>1183</v>
      </c>
      <c r="C209" s="2" t="s">
        <v>88</v>
      </c>
      <c r="D209" s="2" t="s">
        <v>1184</v>
      </c>
      <c r="E209" s="2" t="s">
        <v>776</v>
      </c>
      <c r="F209" s="2" t="s">
        <v>1213</v>
      </c>
      <c r="G209" s="2" t="s">
        <v>1213</v>
      </c>
      <c r="H209" s="2" t="s">
        <v>1213</v>
      </c>
      <c r="I209" s="2" t="s">
        <v>1214</v>
      </c>
      <c r="J209" s="2" t="s">
        <v>763</v>
      </c>
      <c r="K209" s="2" t="s">
        <v>1003</v>
      </c>
      <c r="L209" s="3">
        <v>26.4</v>
      </c>
      <c r="M209" s="3">
        <v>27.72</v>
      </c>
      <c r="N209" s="3">
        <v>54.99</v>
      </c>
      <c r="O209" s="2" t="s">
        <v>97</v>
      </c>
      <c r="P209" s="2" t="s">
        <v>175</v>
      </c>
      <c r="Q209" s="2" t="s">
        <v>99</v>
      </c>
      <c r="R209" s="2" t="s">
        <v>100</v>
      </c>
      <c r="S209" s="2" t="s">
        <v>1220</v>
      </c>
      <c r="T209" s="2" t="s">
        <v>220</v>
      </c>
      <c r="U209" s="2" t="s">
        <v>780</v>
      </c>
      <c r="V209" s="2" t="s">
        <v>221</v>
      </c>
      <c r="W209" s="2" t="s">
        <v>150</v>
      </c>
      <c r="X209" s="2" t="s">
        <v>222</v>
      </c>
      <c r="Y209" s="2" t="s">
        <v>1225</v>
      </c>
      <c r="Z209" s="4">
        <v>321</v>
      </c>
      <c r="AA209" s="4">
        <f>=ROUNDDOWN(9.72727272727273,0)</f>
      </c>
      <c r="AB209" s="5">
        <v>33</v>
      </c>
      <c r="AC209" s="2" t="s">
        <v>1152</v>
      </c>
      <c r="AD209" s="4">
        <v>349</v>
      </c>
      <c r="AE209" s="4">
        <v>1049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1</v>
      </c>
      <c r="AQ209" s="8">
        <v>28.88</v>
      </c>
      <c r="AR209" s="4"/>
      <c r="AS209" s="8"/>
      <c r="AT209" s="7"/>
      <c r="AU209" s="7"/>
      <c r="AV209" s="4">
        <v>1</v>
      </c>
      <c r="AW209" s="8">
        <v>28.88</v>
      </c>
      <c r="AX209" s="4"/>
      <c r="AY209" s="8"/>
      <c r="AZ209" s="7"/>
      <c r="BA209" s="7"/>
      <c r="BB209" s="7">
        <v>1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>
        <v>0.0769</v>
      </c>
      <c r="BJ209" s="4">
        <v>516</v>
      </c>
      <c r="BK209" s="8">
        <v>14655.23</v>
      </c>
      <c r="BL209" s="2" t="s">
        <v>1226</v>
      </c>
      <c r="BM209" s="7">
        <v>0.0019</v>
      </c>
      <c r="BN209" s="7">
        <v>0.002</v>
      </c>
      <c r="BO209" s="4">
        <v>1</v>
      </c>
      <c r="BP209" s="8">
        <v>28.88</v>
      </c>
      <c r="BQ209" s="4"/>
      <c r="BR209" s="8"/>
      <c r="BS209" s="7"/>
      <c r="BT209" s="7"/>
      <c r="BU209" s="2" t="s">
        <v>106</v>
      </c>
      <c r="BV209" s="2" t="s">
        <v>97</v>
      </c>
      <c r="BW209" s="2" t="s">
        <v>1227</v>
      </c>
      <c r="BX209" s="2" t="s">
        <v>1228</v>
      </c>
      <c r="BY209" s="2" t="s">
        <v>109</v>
      </c>
      <c r="BZ209" s="2" t="s">
        <v>100</v>
      </c>
    </row>
    <row r="210">
      <c r="A210" s="2" t="s">
        <v>1229</v>
      </c>
      <c r="B210" s="2" t="s">
        <v>1183</v>
      </c>
      <c r="C210" s="2" t="s">
        <v>88</v>
      </c>
      <c r="D210" s="2" t="s">
        <v>1184</v>
      </c>
      <c r="E210" s="2" t="s">
        <v>776</v>
      </c>
      <c r="F210" s="2" t="s">
        <v>1213</v>
      </c>
      <c r="G210" s="2" t="s">
        <v>1213</v>
      </c>
      <c r="H210" s="2" t="s">
        <v>1213</v>
      </c>
      <c r="I210" s="2" t="s">
        <v>1214</v>
      </c>
      <c r="J210" s="2" t="s">
        <v>763</v>
      </c>
      <c r="K210" s="2" t="s">
        <v>742</v>
      </c>
      <c r="L210" s="3">
        <v>26.4</v>
      </c>
      <c r="M210" s="3">
        <v>27.72</v>
      </c>
      <c r="N210" s="3">
        <v>54.99</v>
      </c>
      <c r="O210" s="2" t="s">
        <v>97</v>
      </c>
      <c r="P210" s="2" t="s">
        <v>126</v>
      </c>
      <c r="Q210" s="2" t="s">
        <v>99</v>
      </c>
      <c r="R210" s="2" t="s">
        <v>100</v>
      </c>
      <c r="S210" s="2" t="s">
        <v>1220</v>
      </c>
      <c r="T210" s="2" t="s">
        <v>220</v>
      </c>
      <c r="U210" s="2" t="s">
        <v>780</v>
      </c>
      <c r="V210" s="2" t="s">
        <v>221</v>
      </c>
      <c r="W210" s="2" t="s">
        <v>150</v>
      </c>
      <c r="X210" s="2" t="s">
        <v>100</v>
      </c>
      <c r="Y210" s="2" t="s">
        <v>1230</v>
      </c>
      <c r="Z210" s="4">
        <v>267</v>
      </c>
      <c r="AA210" s="4">
        <f>=ROUNDDOWN(8.34375,0)</f>
      </c>
      <c r="AB210" s="5">
        <v>32</v>
      </c>
      <c r="AC210" s="2" t="s">
        <v>1152</v>
      </c>
      <c r="AD210" s="4">
        <v>339</v>
      </c>
      <c r="AE210" s="4">
        <v>689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/>
      <c r="BJ210" s="4">
        <v>463</v>
      </c>
      <c r="BK210" s="8">
        <v>12982.36</v>
      </c>
      <c r="BL210" s="2" t="s">
        <v>1231</v>
      </c>
      <c r="BM210" s="7"/>
      <c r="BN210" s="7"/>
      <c r="BO210" s="4"/>
      <c r="BP210" s="8"/>
      <c r="BQ210" s="4"/>
      <c r="BR210" s="8"/>
      <c r="BS210" s="7"/>
      <c r="BT210" s="7"/>
      <c r="BU210" s="2" t="s">
        <v>200</v>
      </c>
      <c r="BV210" s="2" t="s">
        <v>97</v>
      </c>
      <c r="BW210" s="2" t="s">
        <v>100</v>
      </c>
      <c r="BX210" s="2" t="s">
        <v>100</v>
      </c>
      <c r="BY210" s="2" t="s">
        <v>109</v>
      </c>
      <c r="BZ210" s="2" t="s">
        <v>100</v>
      </c>
    </row>
    <row r="211">
      <c r="A211" s="2" t="s">
        <v>1232</v>
      </c>
      <c r="B211" s="2" t="s">
        <v>1183</v>
      </c>
      <c r="C211" s="2" t="s">
        <v>88</v>
      </c>
      <c r="D211" s="2" t="s">
        <v>1184</v>
      </c>
      <c r="E211" s="2" t="s">
        <v>776</v>
      </c>
      <c r="F211" s="2" t="s">
        <v>1213</v>
      </c>
      <c r="G211" s="2" t="s">
        <v>1213</v>
      </c>
      <c r="H211" s="2" t="s">
        <v>1213</v>
      </c>
      <c r="I211" s="2" t="s">
        <v>1214</v>
      </c>
      <c r="J211" s="2" t="s">
        <v>763</v>
      </c>
      <c r="K211" s="2" t="s">
        <v>139</v>
      </c>
      <c r="L211" s="3">
        <v>26.4</v>
      </c>
      <c r="M211" s="3">
        <v>27.72</v>
      </c>
      <c r="N211" s="3">
        <v>54.99</v>
      </c>
      <c r="O211" s="2" t="s">
        <v>97</v>
      </c>
      <c r="P211" s="2" t="s">
        <v>126</v>
      </c>
      <c r="Q211" s="2" t="s">
        <v>99</v>
      </c>
      <c r="R211" s="2" t="s">
        <v>100</v>
      </c>
      <c r="S211" s="2" t="s">
        <v>1220</v>
      </c>
      <c r="T211" s="2" t="s">
        <v>220</v>
      </c>
      <c r="U211" s="2" t="s">
        <v>780</v>
      </c>
      <c r="V211" s="2" t="s">
        <v>221</v>
      </c>
      <c r="W211" s="2" t="s">
        <v>150</v>
      </c>
      <c r="X211" s="2" t="s">
        <v>100</v>
      </c>
      <c r="Y211" s="2" t="s">
        <v>1230</v>
      </c>
      <c r="Z211" s="4">
        <v>450</v>
      </c>
      <c r="AA211" s="4">
        <f>=ROUNDDOWN(26.4705882352941,0)</f>
      </c>
      <c r="AB211" s="5">
        <v>17</v>
      </c>
      <c r="AC211" s="2" t="s">
        <v>1152</v>
      </c>
      <c r="AD211" s="4">
        <v>353</v>
      </c>
      <c r="AE211" s="4">
        <v>703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/>
      <c r="BJ211" s="4">
        <v>325</v>
      </c>
      <c r="BK211" s="8">
        <v>9217.47</v>
      </c>
      <c r="BL211" s="2" t="s">
        <v>599</v>
      </c>
      <c r="BM211" s="7"/>
      <c r="BN211" s="7"/>
      <c r="BO211" s="4"/>
      <c r="BP211" s="8"/>
      <c r="BQ211" s="4"/>
      <c r="BR211" s="8"/>
      <c r="BS211" s="7"/>
      <c r="BT211" s="7"/>
      <c r="BU211" s="2" t="s">
        <v>200</v>
      </c>
      <c r="BV211" s="2" t="s">
        <v>97</v>
      </c>
      <c r="BW211" s="2" t="s">
        <v>100</v>
      </c>
      <c r="BX211" s="2" t="s">
        <v>100</v>
      </c>
      <c r="BY211" s="2" t="s">
        <v>109</v>
      </c>
      <c r="BZ211" s="2" t="s">
        <v>100</v>
      </c>
    </row>
    <row r="212">
      <c r="A212" s="2" t="s">
        <v>1233</v>
      </c>
      <c r="B212" s="2" t="s">
        <v>1183</v>
      </c>
      <c r="C212" s="2" t="s">
        <v>88</v>
      </c>
      <c r="D212" s="2" t="s">
        <v>1184</v>
      </c>
      <c r="E212" s="2" t="s">
        <v>776</v>
      </c>
      <c r="F212" s="2" t="s">
        <v>1213</v>
      </c>
      <c r="G212" s="2" t="s">
        <v>1213</v>
      </c>
      <c r="H212" s="2" t="s">
        <v>1213</v>
      </c>
      <c r="I212" s="2" t="s">
        <v>1214</v>
      </c>
      <c r="J212" s="2" t="s">
        <v>763</v>
      </c>
      <c r="K212" s="2" t="s">
        <v>218</v>
      </c>
      <c r="L212" s="3">
        <v>26.4</v>
      </c>
      <c r="M212" s="3">
        <v>27.72</v>
      </c>
      <c r="N212" s="3">
        <v>54.99</v>
      </c>
      <c r="O212" s="2" t="s">
        <v>97</v>
      </c>
      <c r="P212" s="2" t="s">
        <v>175</v>
      </c>
      <c r="Q212" s="2" t="s">
        <v>99</v>
      </c>
      <c r="R212" s="2" t="s">
        <v>100</v>
      </c>
      <c r="S212" s="2" t="s">
        <v>1220</v>
      </c>
      <c r="T212" s="2" t="s">
        <v>220</v>
      </c>
      <c r="U212" s="2" t="s">
        <v>780</v>
      </c>
      <c r="V212" s="2" t="s">
        <v>221</v>
      </c>
      <c r="W212" s="2" t="s">
        <v>150</v>
      </c>
      <c r="X212" s="2" t="s">
        <v>100</v>
      </c>
      <c r="Y212" s="2" t="s">
        <v>1200</v>
      </c>
      <c r="Z212" s="4">
        <v>333</v>
      </c>
      <c r="AA212" s="4">
        <f>=ROUNDDOWN(6.9375,0)</f>
      </c>
      <c r="AB212" s="5">
        <v>48</v>
      </c>
      <c r="AC212" s="2" t="s">
        <v>1215</v>
      </c>
      <c r="AD212" s="4">
        <v>350</v>
      </c>
      <c r="AE212" s="4">
        <v>1050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/>
      <c r="BJ212" s="4">
        <v>681</v>
      </c>
      <c r="BK212" s="8">
        <v>19751.35</v>
      </c>
      <c r="BL212" s="2" t="s">
        <v>1234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97</v>
      </c>
      <c r="BW212" s="2" t="s">
        <v>1222</v>
      </c>
      <c r="BX212" s="2" t="s">
        <v>1235</v>
      </c>
      <c r="BY212" s="2" t="s">
        <v>109</v>
      </c>
      <c r="BZ212" s="2" t="s">
        <v>100</v>
      </c>
    </row>
    <row r="213">
      <c r="A213" s="2" t="s">
        <v>1236</v>
      </c>
      <c r="B213" s="2" t="s">
        <v>1183</v>
      </c>
      <c r="C213" s="2" t="s">
        <v>88</v>
      </c>
      <c r="D213" s="2" t="s">
        <v>1184</v>
      </c>
      <c r="E213" s="2" t="s">
        <v>776</v>
      </c>
      <c r="F213" s="2" t="s">
        <v>1237</v>
      </c>
      <c r="G213" s="2" t="s">
        <v>1238</v>
      </c>
      <c r="H213" s="2" t="s">
        <v>1239</v>
      </c>
      <c r="I213" s="2" t="s">
        <v>1240</v>
      </c>
      <c r="J213" s="2" t="s">
        <v>763</v>
      </c>
      <c r="K213" s="2" t="s">
        <v>133</v>
      </c>
      <c r="L213" s="3">
        <v>24</v>
      </c>
      <c r="M213" s="3">
        <v>25.2</v>
      </c>
      <c r="N213" s="3">
        <v>49.99</v>
      </c>
      <c r="O213" s="2" t="s">
        <v>97</v>
      </c>
      <c r="P213" s="2" t="s">
        <v>134</v>
      </c>
      <c r="Q213" s="2" t="s">
        <v>99</v>
      </c>
      <c r="R213" s="2" t="s">
        <v>100</v>
      </c>
      <c r="S213" s="2" t="s">
        <v>1241</v>
      </c>
      <c r="T213" s="2" t="s">
        <v>100</v>
      </c>
      <c r="U213" s="2" t="s">
        <v>780</v>
      </c>
      <c r="V213" s="2" t="s">
        <v>221</v>
      </c>
      <c r="W213" s="2" t="s">
        <v>222</v>
      </c>
      <c r="X213" s="2" t="s">
        <v>100</v>
      </c>
      <c r="Y213" s="2" t="s">
        <v>1242</v>
      </c>
      <c r="Z213" s="4">
        <v>28</v>
      </c>
      <c r="AA213" s="4">
        <f>=ROUNDDOWN(4.66666666666667,0)</f>
      </c>
      <c r="AB213" s="5">
        <v>6</v>
      </c>
      <c r="AC213" s="2" t="s">
        <v>100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/>
      <c r="BJ213" s="4">
        <v>108</v>
      </c>
      <c r="BK213" s="8">
        <v>2388.89</v>
      </c>
      <c r="BL213" s="2" t="s">
        <v>1243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97</v>
      </c>
      <c r="BW213" s="2" t="s">
        <v>617</v>
      </c>
      <c r="BX213" s="2" t="s">
        <v>1244</v>
      </c>
      <c r="BY213" s="2" t="s">
        <v>109</v>
      </c>
      <c r="BZ213" s="2" t="s">
        <v>110</v>
      </c>
    </row>
    <row r="214">
      <c r="A214" s="2" t="s">
        <v>1245</v>
      </c>
      <c r="B214" s="2" t="s">
        <v>1183</v>
      </c>
      <c r="C214" s="2" t="s">
        <v>88</v>
      </c>
      <c r="D214" s="2" t="s">
        <v>1184</v>
      </c>
      <c r="E214" s="2" t="s">
        <v>776</v>
      </c>
      <c r="F214" s="2" t="s">
        <v>1237</v>
      </c>
      <c r="G214" s="2" t="s">
        <v>1238</v>
      </c>
      <c r="H214" s="2" t="s">
        <v>1239</v>
      </c>
      <c r="I214" s="2" t="s">
        <v>1240</v>
      </c>
      <c r="J214" s="2" t="s">
        <v>763</v>
      </c>
      <c r="K214" s="2" t="s">
        <v>742</v>
      </c>
      <c r="L214" s="3">
        <v>24</v>
      </c>
      <c r="M214" s="3">
        <v>25.2</v>
      </c>
      <c r="N214" s="3">
        <v>49.99</v>
      </c>
      <c r="O214" s="2" t="s">
        <v>97</v>
      </c>
      <c r="P214" s="2" t="s">
        <v>134</v>
      </c>
      <c r="Q214" s="2" t="s">
        <v>99</v>
      </c>
      <c r="R214" s="2" t="s">
        <v>100</v>
      </c>
      <c r="S214" s="2" t="s">
        <v>1241</v>
      </c>
      <c r="T214" s="2" t="s">
        <v>100</v>
      </c>
      <c r="U214" s="2" t="s">
        <v>780</v>
      </c>
      <c r="V214" s="2" t="s">
        <v>221</v>
      </c>
      <c r="W214" s="2" t="s">
        <v>222</v>
      </c>
      <c r="X214" s="2" t="s">
        <v>100</v>
      </c>
      <c r="Y214" s="2" t="s">
        <v>1242</v>
      </c>
      <c r="Z214" s="4">
        <v>334</v>
      </c>
      <c r="AA214" s="4">
        <f>=ROUNDDOWN(60.7272727272727,0)</f>
      </c>
      <c r="AB214" s="5">
        <v>5.5</v>
      </c>
      <c r="AC214" s="2" t="s">
        <v>100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/>
      <c r="BJ214" s="4">
        <v>520</v>
      </c>
      <c r="BK214" s="8">
        <v>7483.18</v>
      </c>
      <c r="BL214" s="2" t="s">
        <v>1246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97</v>
      </c>
      <c r="BW214" s="2" t="s">
        <v>1247</v>
      </c>
      <c r="BX214" s="2" t="s">
        <v>1248</v>
      </c>
      <c r="BY214" s="2" t="s">
        <v>109</v>
      </c>
      <c r="BZ214" s="2" t="s">
        <v>100</v>
      </c>
    </row>
    <row r="215">
      <c r="A215" s="2" t="s">
        <v>1249</v>
      </c>
      <c r="B215" s="2" t="s">
        <v>1183</v>
      </c>
      <c r="C215" s="2" t="s">
        <v>88</v>
      </c>
      <c r="D215" s="2" t="s">
        <v>1184</v>
      </c>
      <c r="E215" s="2" t="s">
        <v>776</v>
      </c>
      <c r="F215" s="2" t="s">
        <v>1237</v>
      </c>
      <c r="G215" s="2" t="s">
        <v>1238</v>
      </c>
      <c r="H215" s="2" t="s">
        <v>1239</v>
      </c>
      <c r="I215" s="2" t="s">
        <v>1240</v>
      </c>
      <c r="J215" s="2" t="s">
        <v>763</v>
      </c>
      <c r="K215" s="2" t="s">
        <v>125</v>
      </c>
      <c r="L215" s="3">
        <v>24</v>
      </c>
      <c r="M215" s="3">
        <v>25.2</v>
      </c>
      <c r="N215" s="3">
        <v>49.99</v>
      </c>
      <c r="O215" s="2" t="s">
        <v>97</v>
      </c>
      <c r="P215" s="2" t="s">
        <v>134</v>
      </c>
      <c r="Q215" s="2" t="s">
        <v>99</v>
      </c>
      <c r="R215" s="2" t="s">
        <v>100</v>
      </c>
      <c r="S215" s="2" t="s">
        <v>1241</v>
      </c>
      <c r="T215" s="2" t="s">
        <v>100</v>
      </c>
      <c r="U215" s="2" t="s">
        <v>780</v>
      </c>
      <c r="V215" s="2" t="s">
        <v>221</v>
      </c>
      <c r="W215" s="2" t="s">
        <v>222</v>
      </c>
      <c r="X215" s="2" t="s">
        <v>100</v>
      </c>
      <c r="Y215" s="2" t="s">
        <v>1242</v>
      </c>
      <c r="Z215" s="4">
        <v>59</v>
      </c>
      <c r="AA215" s="4">
        <f>=ROUNDDOWN(12.0408163265306,0)</f>
      </c>
      <c r="AB215" s="5">
        <v>4.9</v>
      </c>
      <c r="AC215" s="2" t="s">
        <v>100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/>
      <c r="BJ215" s="4">
        <v>71</v>
      </c>
      <c r="BK215" s="8">
        <v>1760.56</v>
      </c>
      <c r="BL215" s="2" t="s">
        <v>1243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97</v>
      </c>
      <c r="BW215" s="2" t="s">
        <v>1250</v>
      </c>
      <c r="BX215" s="2" t="s">
        <v>955</v>
      </c>
      <c r="BY215" s="2" t="s">
        <v>109</v>
      </c>
      <c r="BZ215" s="2" t="s">
        <v>100</v>
      </c>
    </row>
    <row r="216">
      <c r="A216" s="2" t="s">
        <v>1251</v>
      </c>
      <c r="B216" s="2" t="s">
        <v>1183</v>
      </c>
      <c r="C216" s="2" t="s">
        <v>869</v>
      </c>
      <c r="D216" s="2" t="s">
        <v>1184</v>
      </c>
      <c r="E216" s="2" t="s">
        <v>776</v>
      </c>
      <c r="F216" s="2" t="s">
        <v>1252</v>
      </c>
      <c r="G216" s="2" t="s">
        <v>1252</v>
      </c>
      <c r="H216" s="2" t="s">
        <v>1252</v>
      </c>
      <c r="I216" s="2" t="s">
        <v>1253</v>
      </c>
      <c r="J216" s="2" t="s">
        <v>1254</v>
      </c>
      <c r="K216" s="2" t="s">
        <v>160</v>
      </c>
      <c r="L216" s="3">
        <v>32.9</v>
      </c>
      <c r="M216" s="3">
        <v>34.55</v>
      </c>
      <c r="N216" s="3">
        <v>69.99</v>
      </c>
      <c r="O216" s="2" t="s">
        <v>97</v>
      </c>
      <c r="P216" s="2" t="s">
        <v>126</v>
      </c>
      <c r="Q216" s="2" t="s">
        <v>99</v>
      </c>
      <c r="R216" s="2" t="s">
        <v>100</v>
      </c>
      <c r="S216" s="2" t="s">
        <v>1255</v>
      </c>
      <c r="T216" s="2" t="s">
        <v>220</v>
      </c>
      <c r="U216" s="2" t="s">
        <v>931</v>
      </c>
      <c r="V216" s="2" t="s">
        <v>221</v>
      </c>
      <c r="W216" s="2" t="s">
        <v>103</v>
      </c>
      <c r="X216" s="2" t="s">
        <v>100</v>
      </c>
      <c r="Y216" s="2" t="s">
        <v>1256</v>
      </c>
      <c r="Z216" s="4">
        <v>233</v>
      </c>
      <c r="AA216" s="4">
        <f>=ROUNDDOWN(5.825,0)</f>
      </c>
      <c r="AB216" s="5">
        <v>40</v>
      </c>
      <c r="AC216" s="2" t="s">
        <v>1152</v>
      </c>
      <c r="AD216" s="4">
        <v>286</v>
      </c>
      <c r="AE216" s="4">
        <v>1106</v>
      </c>
      <c r="AF216" s="6">
        <v>69</v>
      </c>
      <c r="AG216" s="6">
        <v>77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5</v>
      </c>
      <c r="AQ216" s="8">
        <v>172.7</v>
      </c>
      <c r="AR216" s="4"/>
      <c r="AS216" s="8"/>
      <c r="AT216" s="7"/>
      <c r="AU216" s="7"/>
      <c r="AV216" s="4">
        <v>5</v>
      </c>
      <c r="AW216" s="8">
        <v>172.7</v>
      </c>
      <c r="AX216" s="4"/>
      <c r="AY216" s="8"/>
      <c r="AZ216" s="7"/>
      <c r="BA216" s="7"/>
      <c r="BB216" s="7">
        <v>1</v>
      </c>
      <c r="BC216" s="4">
        <v>8</v>
      </c>
      <c r="BD216" s="8">
        <v>276.43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0.6248</v>
      </c>
      <c r="BJ216" s="4">
        <v>648</v>
      </c>
      <c r="BK216" s="8">
        <v>21726.36</v>
      </c>
      <c r="BL216" s="2" t="s">
        <v>1257</v>
      </c>
      <c r="BM216" s="7">
        <v>0.0077</v>
      </c>
      <c r="BN216" s="7">
        <v>0.0079</v>
      </c>
      <c r="BO216" s="4">
        <v>5</v>
      </c>
      <c r="BP216" s="8">
        <v>172.7</v>
      </c>
      <c r="BQ216" s="4"/>
      <c r="BR216" s="8"/>
      <c r="BS216" s="7"/>
      <c r="BT216" s="7"/>
      <c r="BU216" s="2" t="s">
        <v>106</v>
      </c>
      <c r="BV216" s="2" t="s">
        <v>97</v>
      </c>
      <c r="BW216" s="2" t="s">
        <v>225</v>
      </c>
      <c r="BX216" s="2" t="s">
        <v>1258</v>
      </c>
      <c r="BY216" s="2" t="s">
        <v>109</v>
      </c>
      <c r="BZ216" s="2" t="s">
        <v>100</v>
      </c>
    </row>
    <row r="217">
      <c r="A217" s="2" t="s">
        <v>1259</v>
      </c>
      <c r="B217" s="2" t="s">
        <v>1183</v>
      </c>
      <c r="C217" s="2" t="s">
        <v>869</v>
      </c>
      <c r="D217" s="2" t="s">
        <v>1184</v>
      </c>
      <c r="E217" s="2" t="s">
        <v>776</v>
      </c>
      <c r="F217" s="2" t="s">
        <v>1260</v>
      </c>
      <c r="G217" s="2" t="s">
        <v>1260</v>
      </c>
      <c r="H217" s="2" t="s">
        <v>1260</v>
      </c>
      <c r="I217" s="2" t="s">
        <v>1261</v>
      </c>
      <c r="J217" s="2" t="s">
        <v>763</v>
      </c>
      <c r="K217" s="2" t="s">
        <v>188</v>
      </c>
      <c r="L217" s="3">
        <v>32.9</v>
      </c>
      <c r="M217" s="3">
        <v>34.55</v>
      </c>
      <c r="N217" s="3">
        <v>69.99</v>
      </c>
      <c r="O217" s="2" t="s">
        <v>97</v>
      </c>
      <c r="P217" s="2" t="s">
        <v>126</v>
      </c>
      <c r="Q217" s="2" t="s">
        <v>99</v>
      </c>
      <c r="R217" s="2" t="s">
        <v>100</v>
      </c>
      <c r="S217" s="2" t="s">
        <v>1262</v>
      </c>
      <c r="T217" s="2" t="s">
        <v>220</v>
      </c>
      <c r="U217" s="2" t="s">
        <v>1263</v>
      </c>
      <c r="V217" s="2" t="s">
        <v>221</v>
      </c>
      <c r="W217" s="2" t="s">
        <v>103</v>
      </c>
      <c r="X217" s="2" t="s">
        <v>100</v>
      </c>
      <c r="Y217" s="2" t="s">
        <v>1264</v>
      </c>
      <c r="Z217" s="4">
        <v>772</v>
      </c>
      <c r="AA217" s="4">
        <f>=ROUNDDOWN(40.6315789473684,0)</f>
      </c>
      <c r="AB217" s="5">
        <v>19</v>
      </c>
      <c r="AC217" s="2" t="s">
        <v>1265</v>
      </c>
      <c r="AD217" s="4">
        <v>130</v>
      </c>
      <c r="AE217" s="4">
        <v>130</v>
      </c>
      <c r="AF217" s="6">
        <v>69</v>
      </c>
      <c r="AG217" s="6">
        <v>77</v>
      </c>
      <c r="AH217" s="7">
        <v>0.9123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2</v>
      </c>
      <c r="AQ217" s="8">
        <v>69.08</v>
      </c>
      <c r="AR217" s="4"/>
      <c r="AS217" s="8"/>
      <c r="AT217" s="7"/>
      <c r="AU217" s="7"/>
      <c r="AV217" s="4">
        <v>2</v>
      </c>
      <c r="AW217" s="8">
        <v>69.08</v>
      </c>
      <c r="AX217" s="4"/>
      <c r="AY217" s="8"/>
      <c r="AZ217" s="7"/>
      <c r="BA217" s="7"/>
      <c r="BB217" s="7">
        <v>1</v>
      </c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>
        <v>0.2499</v>
      </c>
      <c r="BJ217" s="4">
        <v>268</v>
      </c>
      <c r="BK217" s="8">
        <v>9262.05</v>
      </c>
      <c r="BL217" s="2" t="s">
        <v>1266</v>
      </c>
      <c r="BM217" s="7">
        <v>0.0075</v>
      </c>
      <c r="BN217" s="7">
        <v>0.0075</v>
      </c>
      <c r="BO217" s="4">
        <v>2</v>
      </c>
      <c r="BP217" s="8">
        <v>69.08</v>
      </c>
      <c r="BQ217" s="4"/>
      <c r="BR217" s="8"/>
      <c r="BS217" s="7"/>
      <c r="BT217" s="7"/>
      <c r="BU217" s="2" t="s">
        <v>106</v>
      </c>
      <c r="BV217" s="2" t="s">
        <v>97</v>
      </c>
      <c r="BW217" s="2" t="s">
        <v>225</v>
      </c>
      <c r="BX217" s="2" t="s">
        <v>1267</v>
      </c>
      <c r="BY217" s="2" t="s">
        <v>109</v>
      </c>
      <c r="BZ217" s="2" t="s">
        <v>100</v>
      </c>
    </row>
    <row r="218">
      <c r="A218" s="2" t="s">
        <v>1268</v>
      </c>
      <c r="B218" s="2" t="s">
        <v>1183</v>
      </c>
      <c r="C218" s="2" t="s">
        <v>869</v>
      </c>
      <c r="D218" s="2" t="s">
        <v>1184</v>
      </c>
      <c r="E218" s="2" t="s">
        <v>776</v>
      </c>
      <c r="F218" s="2" t="s">
        <v>1252</v>
      </c>
      <c r="G218" s="2" t="s">
        <v>1252</v>
      </c>
      <c r="H218" s="2" t="s">
        <v>1252</v>
      </c>
      <c r="I218" s="2" t="s">
        <v>1253</v>
      </c>
      <c r="J218" s="2" t="s">
        <v>1254</v>
      </c>
      <c r="K218" s="2" t="s">
        <v>1269</v>
      </c>
      <c r="L218" s="3">
        <v>32.9</v>
      </c>
      <c r="M218" s="3">
        <v>34.55</v>
      </c>
      <c r="N218" s="3">
        <v>69.99</v>
      </c>
      <c r="O218" s="2" t="s">
        <v>97</v>
      </c>
      <c r="P218" s="2" t="s">
        <v>175</v>
      </c>
      <c r="Q218" s="2" t="s">
        <v>99</v>
      </c>
      <c r="R218" s="2" t="s">
        <v>100</v>
      </c>
      <c r="S218" s="2" t="s">
        <v>1270</v>
      </c>
      <c r="T218" s="2" t="s">
        <v>220</v>
      </c>
      <c r="U218" s="2" t="s">
        <v>931</v>
      </c>
      <c r="V218" s="2" t="s">
        <v>221</v>
      </c>
      <c r="W218" s="2" t="s">
        <v>103</v>
      </c>
      <c r="X218" s="2" t="s">
        <v>100</v>
      </c>
      <c r="Y218" s="2" t="s">
        <v>1256</v>
      </c>
      <c r="Z218" s="4">
        <v>243</v>
      </c>
      <c r="AA218" s="4">
        <f>=ROUNDDOWN(5.65116279069767,0)</f>
      </c>
      <c r="AB218" s="5">
        <v>43</v>
      </c>
      <c r="AC218" s="2" t="s">
        <v>1152</v>
      </c>
      <c r="AD218" s="4">
        <v>128</v>
      </c>
      <c r="AE218" s="4">
        <v>1768</v>
      </c>
      <c r="AF218" s="6">
        <v>69</v>
      </c>
      <c r="AG218" s="6">
        <v>77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>
        <v>1</v>
      </c>
      <c r="AW218" s="8">
        <v>34.65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>
        <v>0.1253</v>
      </c>
      <c r="BJ218" s="4">
        <v>667</v>
      </c>
      <c r="BK218" s="8">
        <v>22310.33</v>
      </c>
      <c r="BL218" s="2" t="s">
        <v>1234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97</v>
      </c>
      <c r="BW218" s="2" t="s">
        <v>225</v>
      </c>
      <c r="BX218" s="2" t="s">
        <v>1271</v>
      </c>
      <c r="BY218" s="2" t="s">
        <v>109</v>
      </c>
      <c r="BZ218" s="2" t="s">
        <v>100</v>
      </c>
    </row>
    <row r="219">
      <c r="A219" s="2" t="s">
        <v>1272</v>
      </c>
      <c r="B219" s="2" t="s">
        <v>1183</v>
      </c>
      <c r="C219" s="2" t="s">
        <v>869</v>
      </c>
      <c r="D219" s="2" t="s">
        <v>1184</v>
      </c>
      <c r="E219" s="2" t="s">
        <v>776</v>
      </c>
      <c r="F219" s="2" t="s">
        <v>1260</v>
      </c>
      <c r="G219" s="2" t="s">
        <v>1260</v>
      </c>
      <c r="H219" s="2" t="s">
        <v>1260</v>
      </c>
      <c r="I219" s="2" t="s">
        <v>1261</v>
      </c>
      <c r="J219" s="2" t="s">
        <v>763</v>
      </c>
      <c r="K219" s="2" t="s">
        <v>1269</v>
      </c>
      <c r="L219" s="3">
        <v>32.9</v>
      </c>
      <c r="M219" s="3">
        <v>34.55</v>
      </c>
      <c r="N219" s="3">
        <v>69.99</v>
      </c>
      <c r="O219" s="2" t="s">
        <v>97</v>
      </c>
      <c r="P219" s="2" t="s">
        <v>98</v>
      </c>
      <c r="Q219" s="2" t="s">
        <v>99</v>
      </c>
      <c r="R219" s="2" t="s">
        <v>100</v>
      </c>
      <c r="S219" s="2" t="s">
        <v>1270</v>
      </c>
      <c r="T219" s="2" t="s">
        <v>100</v>
      </c>
      <c r="U219" s="2" t="s">
        <v>100</v>
      </c>
      <c r="V219" s="2" t="s">
        <v>221</v>
      </c>
      <c r="W219" s="2" t="s">
        <v>872</v>
      </c>
      <c r="X219" s="2" t="s">
        <v>100</v>
      </c>
      <c r="Y219" s="2" t="s">
        <v>104</v>
      </c>
      <c r="Z219" s="4">
        <v>860</v>
      </c>
      <c r="AA219" s="4">
        <f>=ROUNDDOWN(18.2978723404255,0)</f>
      </c>
      <c r="AB219" s="5">
        <v>47</v>
      </c>
      <c r="AC219" s="2" t="s">
        <v>1152</v>
      </c>
      <c r="AD219" s="4">
        <v>681</v>
      </c>
      <c r="AE219" s="4">
        <v>1361</v>
      </c>
      <c r="AF219" s="6">
        <v>69</v>
      </c>
      <c r="AG219" s="6">
        <v>77</v>
      </c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1</v>
      </c>
      <c r="AQ219" s="8">
        <v>34.65</v>
      </c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1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>
        <v>701</v>
      </c>
      <c r="BK219" s="8">
        <v>24174.95</v>
      </c>
      <c r="BL219" s="2" t="s">
        <v>1273</v>
      </c>
      <c r="BM219" s="7">
        <v>0.0014</v>
      </c>
      <c r="BN219" s="7">
        <v>0.0014</v>
      </c>
      <c r="BO219" s="4">
        <v>1</v>
      </c>
      <c r="BP219" s="8">
        <v>34.65</v>
      </c>
      <c r="BQ219" s="4"/>
      <c r="BR219" s="8"/>
      <c r="BS219" s="7"/>
      <c r="BT219" s="7"/>
      <c r="BU219" s="2" t="s">
        <v>106</v>
      </c>
      <c r="BV219" s="2" t="s">
        <v>97</v>
      </c>
      <c r="BW219" s="2" t="s">
        <v>122</v>
      </c>
      <c r="BX219" s="2" t="s">
        <v>1274</v>
      </c>
      <c r="BY219" s="2" t="s">
        <v>109</v>
      </c>
      <c r="BZ219" s="2" t="s">
        <v>100</v>
      </c>
    </row>
    <row r="220">
      <c r="A220" s="2" t="s">
        <v>1275</v>
      </c>
      <c r="B220" s="2" t="s">
        <v>1183</v>
      </c>
      <c r="C220" s="2" t="s">
        <v>869</v>
      </c>
      <c r="D220" s="2" t="s">
        <v>1184</v>
      </c>
      <c r="E220" s="2" t="s">
        <v>776</v>
      </c>
      <c r="F220" s="2" t="s">
        <v>1252</v>
      </c>
      <c r="G220" s="2" t="s">
        <v>1252</v>
      </c>
      <c r="H220" s="2" t="s">
        <v>1252</v>
      </c>
      <c r="I220" s="2" t="s">
        <v>1253</v>
      </c>
      <c r="J220" s="2" t="s">
        <v>1254</v>
      </c>
      <c r="K220" s="2" t="s">
        <v>174</v>
      </c>
      <c r="L220" s="3">
        <v>32.9</v>
      </c>
      <c r="M220" s="3">
        <v>34.55</v>
      </c>
      <c r="N220" s="3">
        <v>69.99</v>
      </c>
      <c r="O220" s="2" t="s">
        <v>97</v>
      </c>
      <c r="P220" s="2" t="s">
        <v>1276</v>
      </c>
      <c r="Q220" s="2" t="s">
        <v>99</v>
      </c>
      <c r="R220" s="2" t="s">
        <v>100</v>
      </c>
      <c r="S220" s="2" t="s">
        <v>1277</v>
      </c>
      <c r="T220" s="2" t="s">
        <v>220</v>
      </c>
      <c r="U220" s="2" t="s">
        <v>931</v>
      </c>
      <c r="V220" s="2" t="s">
        <v>221</v>
      </c>
      <c r="W220" s="2" t="s">
        <v>103</v>
      </c>
      <c r="X220" s="2" t="s">
        <v>100</v>
      </c>
      <c r="Y220" s="2" t="s">
        <v>100</v>
      </c>
      <c r="Z220" s="4"/>
      <c r="AA220" s="4">
        <f>=ROUNDDOWN({0},0)</f>
      </c>
      <c r="AB220" s="5"/>
      <c r="AC220" s="2" t="s">
        <v>1152</v>
      </c>
      <c r="AD220" s="4">
        <v>232</v>
      </c>
      <c r="AE220" s="4">
        <v>472</v>
      </c>
      <c r="AF220" s="6">
        <v>69</v>
      </c>
      <c r="AG220" s="6"/>
      <c r="AH220" s="7">
        <v>0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/>
      <c r="BK220" s="8"/>
      <c r="BL220" s="2" t="s">
        <v>100</v>
      </c>
      <c r="BM220" s="7"/>
      <c r="BN220" s="7"/>
      <c r="BO220" s="4"/>
      <c r="BP220" s="8"/>
      <c r="BQ220" s="4"/>
      <c r="BR220" s="8"/>
      <c r="BS220" s="7"/>
      <c r="BT220" s="7"/>
      <c r="BU220" s="2" t="s">
        <v>1076</v>
      </c>
      <c r="BV220" s="2" t="s">
        <v>97</v>
      </c>
      <c r="BW220" s="2" t="s">
        <v>100</v>
      </c>
      <c r="BX220" s="2" t="s">
        <v>100</v>
      </c>
      <c r="BY220" s="2" t="s">
        <v>109</v>
      </c>
      <c r="BZ220" s="2" t="s">
        <v>100</v>
      </c>
    </row>
    <row r="221">
      <c r="A221" s="2" t="s">
        <v>1278</v>
      </c>
      <c r="B221" s="2" t="s">
        <v>1183</v>
      </c>
      <c r="C221" s="2" t="s">
        <v>869</v>
      </c>
      <c r="D221" s="2" t="s">
        <v>1184</v>
      </c>
      <c r="E221" s="2" t="s">
        <v>776</v>
      </c>
      <c r="F221" s="2" t="s">
        <v>1260</v>
      </c>
      <c r="G221" s="2" t="s">
        <v>1260</v>
      </c>
      <c r="H221" s="2" t="s">
        <v>1260</v>
      </c>
      <c r="I221" s="2" t="s">
        <v>1261</v>
      </c>
      <c r="J221" s="2" t="s">
        <v>763</v>
      </c>
      <c r="K221" s="2" t="s">
        <v>174</v>
      </c>
      <c r="L221" s="3">
        <v>32.9</v>
      </c>
      <c r="M221" s="3">
        <v>34.55</v>
      </c>
      <c r="N221" s="3">
        <v>69.99</v>
      </c>
      <c r="O221" s="2" t="s">
        <v>97</v>
      </c>
      <c r="P221" s="2" t="s">
        <v>113</v>
      </c>
      <c r="Q221" s="2" t="s">
        <v>99</v>
      </c>
      <c r="R221" s="2" t="s">
        <v>100</v>
      </c>
      <c r="S221" s="2" t="s">
        <v>1277</v>
      </c>
      <c r="T221" s="2" t="s">
        <v>100</v>
      </c>
      <c r="U221" s="2" t="s">
        <v>100</v>
      </c>
      <c r="V221" s="2" t="s">
        <v>221</v>
      </c>
      <c r="W221" s="2" t="s">
        <v>872</v>
      </c>
      <c r="X221" s="2" t="s">
        <v>100</v>
      </c>
      <c r="Y221" s="2" t="s">
        <v>725</v>
      </c>
      <c r="Z221" s="4">
        <v>923</v>
      </c>
      <c r="AA221" s="4">
        <f>=ROUNDDOWN(31.8275862068966,0)</f>
      </c>
      <c r="AB221" s="5">
        <v>29</v>
      </c>
      <c r="AC221" s="2" t="s">
        <v>1279</v>
      </c>
      <c r="AD221" s="4">
        <v>99</v>
      </c>
      <c r="AE221" s="4">
        <v>538</v>
      </c>
      <c r="AF221" s="6">
        <v>69</v>
      </c>
      <c r="AG221" s="6">
        <v>77</v>
      </c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 t="s">
        <v>100</v>
      </c>
      <c r="BJ221" s="4">
        <v>469</v>
      </c>
      <c r="BK221" s="8">
        <v>16394.35</v>
      </c>
      <c r="BL221" s="2" t="s">
        <v>1280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97</v>
      </c>
      <c r="BW221" s="2" t="s">
        <v>634</v>
      </c>
      <c r="BX221" s="2" t="s">
        <v>981</v>
      </c>
      <c r="BY221" s="2" t="s">
        <v>109</v>
      </c>
      <c r="BZ221" s="2" t="s">
        <v>100</v>
      </c>
    </row>
    <row r="222">
      <c r="A222" s="2" t="s">
        <v>1281</v>
      </c>
      <c r="B222" s="2" t="s">
        <v>1183</v>
      </c>
      <c r="C222" s="2" t="s">
        <v>869</v>
      </c>
      <c r="D222" s="2" t="s">
        <v>1184</v>
      </c>
      <c r="E222" s="2" t="s">
        <v>776</v>
      </c>
      <c r="F222" s="2" t="s">
        <v>1260</v>
      </c>
      <c r="G222" s="2" t="s">
        <v>1260</v>
      </c>
      <c r="H222" s="2" t="s">
        <v>1260</v>
      </c>
      <c r="I222" s="2" t="s">
        <v>1261</v>
      </c>
      <c r="J222" s="2" t="s">
        <v>763</v>
      </c>
      <c r="K222" s="2" t="s">
        <v>407</v>
      </c>
      <c r="L222" s="3">
        <v>32.9</v>
      </c>
      <c r="M222" s="3">
        <v>34.55</v>
      </c>
      <c r="N222" s="3">
        <v>69.99</v>
      </c>
      <c r="O222" s="2" t="s">
        <v>97</v>
      </c>
      <c r="P222" s="2" t="s">
        <v>175</v>
      </c>
      <c r="Q222" s="2" t="s">
        <v>99</v>
      </c>
      <c r="R222" s="2" t="s">
        <v>100</v>
      </c>
      <c r="S222" s="2" t="s">
        <v>1282</v>
      </c>
      <c r="T222" s="2" t="s">
        <v>100</v>
      </c>
      <c r="U222" s="2" t="s">
        <v>100</v>
      </c>
      <c r="V222" s="2" t="s">
        <v>221</v>
      </c>
      <c r="W222" s="2" t="s">
        <v>872</v>
      </c>
      <c r="X222" s="2" t="s">
        <v>100</v>
      </c>
      <c r="Y222" s="2" t="s">
        <v>104</v>
      </c>
      <c r="Z222" s="4">
        <v>876</v>
      </c>
      <c r="AA222" s="4">
        <f>=ROUNDDOWN(28.258064516129,0)</f>
      </c>
      <c r="AB222" s="5">
        <v>31</v>
      </c>
      <c r="AC222" s="2" t="s">
        <v>1152</v>
      </c>
      <c r="AD222" s="4">
        <v>210</v>
      </c>
      <c r="AE222" s="4">
        <v>480</v>
      </c>
      <c r="AF222" s="6">
        <v>69</v>
      </c>
      <c r="AG222" s="6">
        <v>77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>
        <v>497</v>
      </c>
      <c r="BK222" s="8">
        <v>17082</v>
      </c>
      <c r="BL222" s="2" t="s">
        <v>1283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97</v>
      </c>
      <c r="BW222" s="2" t="s">
        <v>122</v>
      </c>
      <c r="BX222" s="2" t="s">
        <v>1284</v>
      </c>
      <c r="BY222" s="2" t="s">
        <v>109</v>
      </c>
      <c r="BZ222" s="2" t="s">
        <v>100</v>
      </c>
    </row>
    <row r="223">
      <c r="A223" s="2" t="s">
        <v>1285</v>
      </c>
      <c r="B223" s="2" t="s">
        <v>1183</v>
      </c>
      <c r="C223" s="2" t="s">
        <v>869</v>
      </c>
      <c r="D223" s="2" t="s">
        <v>1184</v>
      </c>
      <c r="E223" s="2" t="s">
        <v>776</v>
      </c>
      <c r="F223" s="2" t="s">
        <v>1252</v>
      </c>
      <c r="G223" s="2" t="s">
        <v>1252</v>
      </c>
      <c r="H223" s="2" t="s">
        <v>1252</v>
      </c>
      <c r="I223" s="2" t="s">
        <v>1253</v>
      </c>
      <c r="J223" s="2" t="s">
        <v>1254</v>
      </c>
      <c r="K223" s="2" t="s">
        <v>1286</v>
      </c>
      <c r="L223" s="3">
        <v>32.9</v>
      </c>
      <c r="M223" s="3">
        <v>34.55</v>
      </c>
      <c r="N223" s="3">
        <v>69.99</v>
      </c>
      <c r="O223" s="2" t="s">
        <v>97</v>
      </c>
      <c r="P223" s="2" t="s">
        <v>1276</v>
      </c>
      <c r="Q223" s="2" t="s">
        <v>99</v>
      </c>
      <c r="R223" s="2" t="s">
        <v>100</v>
      </c>
      <c r="S223" s="2" t="s">
        <v>1287</v>
      </c>
      <c r="T223" s="2" t="s">
        <v>220</v>
      </c>
      <c r="U223" s="2" t="s">
        <v>931</v>
      </c>
      <c r="V223" s="2" t="s">
        <v>221</v>
      </c>
      <c r="W223" s="2" t="s">
        <v>103</v>
      </c>
      <c r="X223" s="2" t="s">
        <v>100</v>
      </c>
      <c r="Y223" s="2" t="s">
        <v>100</v>
      </c>
      <c r="Z223" s="4"/>
      <c r="AA223" s="4">
        <f>=ROUNDDOWN({0},0)</f>
      </c>
      <c r="AB223" s="5"/>
      <c r="AC223" s="2" t="s">
        <v>1152</v>
      </c>
      <c r="AD223" s="4">
        <v>226</v>
      </c>
      <c r="AE223" s="4">
        <v>466</v>
      </c>
      <c r="AF223" s="6">
        <v>69</v>
      </c>
      <c r="AG223" s="6"/>
      <c r="AH223" s="7">
        <v>0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/>
      <c r="BJ223" s="4"/>
      <c r="BK223" s="8"/>
      <c r="BL223" s="2" t="s">
        <v>100</v>
      </c>
      <c r="BM223" s="7"/>
      <c r="BN223" s="7"/>
      <c r="BO223" s="4"/>
      <c r="BP223" s="8"/>
      <c r="BQ223" s="4"/>
      <c r="BR223" s="8"/>
      <c r="BS223" s="7"/>
      <c r="BT223" s="7"/>
      <c r="BU223" s="2" t="s">
        <v>1076</v>
      </c>
      <c r="BV223" s="2" t="s">
        <v>97</v>
      </c>
      <c r="BW223" s="2" t="s">
        <v>100</v>
      </c>
      <c r="BX223" s="2" t="s">
        <v>100</v>
      </c>
      <c r="BY223" s="2" t="s">
        <v>109</v>
      </c>
      <c r="BZ223" s="2" t="s">
        <v>100</v>
      </c>
    </row>
    <row r="224">
      <c r="A224" s="2" t="s">
        <v>1288</v>
      </c>
      <c r="B224" s="2" t="s">
        <v>1183</v>
      </c>
      <c r="C224" s="2" t="s">
        <v>869</v>
      </c>
      <c r="D224" s="2" t="s">
        <v>1184</v>
      </c>
      <c r="E224" s="2" t="s">
        <v>776</v>
      </c>
      <c r="F224" s="2" t="s">
        <v>1252</v>
      </c>
      <c r="G224" s="2" t="s">
        <v>1252</v>
      </c>
      <c r="H224" s="2" t="s">
        <v>1252</v>
      </c>
      <c r="I224" s="2" t="s">
        <v>1253</v>
      </c>
      <c r="J224" s="2" t="s">
        <v>1254</v>
      </c>
      <c r="K224" s="2" t="s">
        <v>243</v>
      </c>
      <c r="L224" s="3">
        <v>32.9</v>
      </c>
      <c r="M224" s="3">
        <v>34.55</v>
      </c>
      <c r="N224" s="3">
        <v>69.99</v>
      </c>
      <c r="O224" s="2" t="s">
        <v>97</v>
      </c>
      <c r="P224" s="2" t="s">
        <v>113</v>
      </c>
      <c r="Q224" s="2" t="s">
        <v>99</v>
      </c>
      <c r="R224" s="2" t="s">
        <v>100</v>
      </c>
      <c r="S224" s="2" t="s">
        <v>1289</v>
      </c>
      <c r="T224" s="2" t="s">
        <v>220</v>
      </c>
      <c r="U224" s="2" t="s">
        <v>931</v>
      </c>
      <c r="V224" s="2" t="s">
        <v>221</v>
      </c>
      <c r="W224" s="2" t="s">
        <v>103</v>
      </c>
      <c r="X224" s="2" t="s">
        <v>100</v>
      </c>
      <c r="Y224" s="2" t="s">
        <v>1200</v>
      </c>
      <c r="Z224" s="4">
        <v>735</v>
      </c>
      <c r="AA224" s="4">
        <f>=ROUNDDOWN(13.6111111111111,0)</f>
      </c>
      <c r="AB224" s="5">
        <v>54</v>
      </c>
      <c r="AC224" s="2" t="s">
        <v>1152</v>
      </c>
      <c r="AD224" s="4">
        <v>281</v>
      </c>
      <c r="AE224" s="4">
        <v>1651</v>
      </c>
      <c r="AF224" s="6">
        <v>69</v>
      </c>
      <c r="AG224" s="6">
        <v>77</v>
      </c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/>
      <c r="BJ224" s="4">
        <v>928</v>
      </c>
      <c r="BK224" s="8">
        <v>30862.98</v>
      </c>
      <c r="BL224" s="2" t="s">
        <v>1290</v>
      </c>
      <c r="BM224" s="7"/>
      <c r="BN224" s="7"/>
      <c r="BO224" s="4"/>
      <c r="BP224" s="8"/>
      <c r="BQ224" s="4"/>
      <c r="BR224" s="8"/>
      <c r="BS224" s="7"/>
      <c r="BT224" s="7"/>
      <c r="BU224" s="2" t="s">
        <v>106</v>
      </c>
      <c r="BV224" s="2" t="s">
        <v>97</v>
      </c>
      <c r="BW224" s="2" t="s">
        <v>1189</v>
      </c>
      <c r="BX224" s="2" t="s">
        <v>1291</v>
      </c>
      <c r="BY224" s="2" t="s">
        <v>109</v>
      </c>
      <c r="BZ224" s="2" t="s">
        <v>100</v>
      </c>
    </row>
    <row r="225">
      <c r="A225" s="2" t="s">
        <v>1292</v>
      </c>
      <c r="B225" s="2" t="s">
        <v>1183</v>
      </c>
      <c r="C225" s="2" t="s">
        <v>869</v>
      </c>
      <c r="D225" s="2" t="s">
        <v>1184</v>
      </c>
      <c r="E225" s="2" t="s">
        <v>776</v>
      </c>
      <c r="F225" s="2" t="s">
        <v>1260</v>
      </c>
      <c r="G225" s="2" t="s">
        <v>1260</v>
      </c>
      <c r="H225" s="2" t="s">
        <v>1260</v>
      </c>
      <c r="I225" s="2" t="s">
        <v>1261</v>
      </c>
      <c r="J225" s="2" t="s">
        <v>763</v>
      </c>
      <c r="K225" s="2" t="s">
        <v>1108</v>
      </c>
      <c r="L225" s="3">
        <v>32.9</v>
      </c>
      <c r="M225" s="3">
        <v>34.55</v>
      </c>
      <c r="N225" s="3">
        <v>69.99</v>
      </c>
      <c r="O225" s="2" t="s">
        <v>97</v>
      </c>
      <c r="P225" s="2" t="s">
        <v>113</v>
      </c>
      <c r="Q225" s="2" t="s">
        <v>99</v>
      </c>
      <c r="R225" s="2" t="s">
        <v>100</v>
      </c>
      <c r="S225" s="2" t="s">
        <v>1293</v>
      </c>
      <c r="T225" s="2" t="s">
        <v>100</v>
      </c>
      <c r="U225" s="2" t="s">
        <v>100</v>
      </c>
      <c r="V225" s="2" t="s">
        <v>221</v>
      </c>
      <c r="W225" s="2" t="s">
        <v>872</v>
      </c>
      <c r="X225" s="2" t="s">
        <v>100</v>
      </c>
      <c r="Y225" s="2" t="s">
        <v>104</v>
      </c>
      <c r="Z225" s="4">
        <v>973</v>
      </c>
      <c r="AA225" s="4">
        <f>=ROUNDDOWN(15.4444444444444,0)</f>
      </c>
      <c r="AB225" s="5">
        <v>63</v>
      </c>
      <c r="AC225" s="2" t="s">
        <v>1152</v>
      </c>
      <c r="AD225" s="4">
        <v>736</v>
      </c>
      <c r="AE225" s="4">
        <v>1686</v>
      </c>
      <c r="AF225" s="6">
        <v>69</v>
      </c>
      <c r="AG225" s="6">
        <v>77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/>
      <c r="BJ225" s="4">
        <v>996</v>
      </c>
      <c r="BK225" s="8">
        <v>34376.1</v>
      </c>
      <c r="BL225" s="2" t="s">
        <v>1294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97</v>
      </c>
      <c r="BW225" s="2" t="s">
        <v>122</v>
      </c>
      <c r="BX225" s="2" t="s">
        <v>1187</v>
      </c>
      <c r="BY225" s="2" t="s">
        <v>109</v>
      </c>
      <c r="BZ225" s="2" t="s">
        <v>100</v>
      </c>
    </row>
    <row r="226">
      <c r="A226" s="2" t="s">
        <v>1295</v>
      </c>
      <c r="B226" s="2" t="s">
        <v>1183</v>
      </c>
      <c r="C226" s="2" t="s">
        <v>869</v>
      </c>
      <c r="D226" s="2" t="s">
        <v>1184</v>
      </c>
      <c r="E226" s="2" t="s">
        <v>776</v>
      </c>
      <c r="F226" s="2" t="s">
        <v>1260</v>
      </c>
      <c r="G226" s="2" t="s">
        <v>1260</v>
      </c>
      <c r="H226" s="2" t="s">
        <v>1260</v>
      </c>
      <c r="I226" s="2" t="s">
        <v>1261</v>
      </c>
      <c r="J226" s="2" t="s">
        <v>763</v>
      </c>
      <c r="K226" s="2" t="s">
        <v>118</v>
      </c>
      <c r="L226" s="3">
        <v>32.9</v>
      </c>
      <c r="M226" s="3">
        <v>34.55</v>
      </c>
      <c r="N226" s="3">
        <v>69.99</v>
      </c>
      <c r="O226" s="2" t="s">
        <v>97</v>
      </c>
      <c r="P226" s="2" t="s">
        <v>113</v>
      </c>
      <c r="Q226" s="2" t="s">
        <v>99</v>
      </c>
      <c r="R226" s="2" t="s">
        <v>100</v>
      </c>
      <c r="S226" s="2" t="s">
        <v>1296</v>
      </c>
      <c r="T226" s="2" t="s">
        <v>100</v>
      </c>
      <c r="U226" s="2" t="s">
        <v>100</v>
      </c>
      <c r="V226" s="2" t="s">
        <v>221</v>
      </c>
      <c r="W226" s="2" t="s">
        <v>872</v>
      </c>
      <c r="X226" s="2" t="s">
        <v>100</v>
      </c>
      <c r="Y226" s="2" t="s">
        <v>104</v>
      </c>
      <c r="Z226" s="4">
        <v>848</v>
      </c>
      <c r="AA226" s="4">
        <f>=ROUNDDOWN(26.5,0)</f>
      </c>
      <c r="AB226" s="5">
        <v>32</v>
      </c>
      <c r="AC226" s="2" t="s">
        <v>1297</v>
      </c>
      <c r="AD226" s="4">
        <v>270</v>
      </c>
      <c r="AE226" s="4">
        <v>540</v>
      </c>
      <c r="AF226" s="6">
        <v>69</v>
      </c>
      <c r="AG226" s="6">
        <v>77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/>
      <c r="BJ226" s="4">
        <v>485</v>
      </c>
      <c r="BK226" s="8">
        <v>16498.8</v>
      </c>
      <c r="BL226" s="2" t="s">
        <v>1298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97</v>
      </c>
      <c r="BW226" s="2" t="s">
        <v>122</v>
      </c>
      <c r="BX226" s="2" t="s">
        <v>1299</v>
      </c>
      <c r="BY226" s="2" t="s">
        <v>109</v>
      </c>
      <c r="BZ226" s="2" t="s">
        <v>100</v>
      </c>
    </row>
    <row r="227">
      <c r="A227" s="2" t="s">
        <v>1300</v>
      </c>
      <c r="B227" s="2" t="s">
        <v>1183</v>
      </c>
      <c r="C227" s="2" t="s">
        <v>869</v>
      </c>
      <c r="D227" s="2" t="s">
        <v>1184</v>
      </c>
      <c r="E227" s="2" t="s">
        <v>776</v>
      </c>
      <c r="F227" s="2" t="s">
        <v>1260</v>
      </c>
      <c r="G227" s="2" t="s">
        <v>1260</v>
      </c>
      <c r="H227" s="2" t="s">
        <v>1260</v>
      </c>
      <c r="I227" s="2" t="s">
        <v>1261</v>
      </c>
      <c r="J227" s="2" t="s">
        <v>763</v>
      </c>
      <c r="K227" s="2" t="s">
        <v>96</v>
      </c>
      <c r="L227" s="3">
        <v>32.9</v>
      </c>
      <c r="M227" s="3">
        <v>34.55</v>
      </c>
      <c r="N227" s="3">
        <v>69.99</v>
      </c>
      <c r="O227" s="2" t="s">
        <v>97</v>
      </c>
      <c r="P227" s="2" t="s">
        <v>126</v>
      </c>
      <c r="Q227" s="2" t="s">
        <v>99</v>
      </c>
      <c r="R227" s="2" t="s">
        <v>100</v>
      </c>
      <c r="S227" s="2" t="s">
        <v>1301</v>
      </c>
      <c r="T227" s="2" t="s">
        <v>100</v>
      </c>
      <c r="U227" s="2" t="s">
        <v>1263</v>
      </c>
      <c r="V227" s="2" t="s">
        <v>221</v>
      </c>
      <c r="W227" s="2" t="s">
        <v>536</v>
      </c>
      <c r="X227" s="2" t="s">
        <v>150</v>
      </c>
      <c r="Y227" s="2" t="s">
        <v>1302</v>
      </c>
      <c r="Z227" s="4">
        <v>352</v>
      </c>
      <c r="AA227" s="4">
        <f>=ROUNDDOWN(29.3333333333333,0)</f>
      </c>
      <c r="AB227" s="5">
        <v>12</v>
      </c>
      <c r="AC227" s="2" t="s">
        <v>1279</v>
      </c>
      <c r="AD227" s="4">
        <v>100</v>
      </c>
      <c r="AE227" s="4">
        <v>260</v>
      </c>
      <c r="AF227" s="6">
        <v>69</v>
      </c>
      <c r="AG227" s="6">
        <v>77</v>
      </c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/>
      <c r="BJ227" s="4">
        <v>191</v>
      </c>
      <c r="BK227" s="8">
        <v>6470.15</v>
      </c>
      <c r="BL227" s="2" t="s">
        <v>1303</v>
      </c>
      <c r="BM227" s="7"/>
      <c r="BN227" s="7"/>
      <c r="BO227" s="4"/>
      <c r="BP227" s="8"/>
      <c r="BQ227" s="4"/>
      <c r="BR227" s="8"/>
      <c r="BS227" s="7"/>
      <c r="BT227" s="7"/>
      <c r="BU227" s="2" t="s">
        <v>106</v>
      </c>
      <c r="BV227" s="2" t="s">
        <v>97</v>
      </c>
      <c r="BW227" s="2" t="s">
        <v>1189</v>
      </c>
      <c r="BX227" s="2" t="s">
        <v>1304</v>
      </c>
      <c r="BY227" s="2" t="s">
        <v>109</v>
      </c>
      <c r="BZ227" s="2" t="s">
        <v>100</v>
      </c>
    </row>
    <row r="228">
      <c r="A228" s="2" t="s">
        <v>1305</v>
      </c>
      <c r="B228" s="2" t="s">
        <v>1183</v>
      </c>
      <c r="C228" s="2" t="s">
        <v>869</v>
      </c>
      <c r="D228" s="2" t="s">
        <v>1184</v>
      </c>
      <c r="E228" s="2" t="s">
        <v>776</v>
      </c>
      <c r="F228" s="2" t="s">
        <v>1260</v>
      </c>
      <c r="G228" s="2" t="s">
        <v>1260</v>
      </c>
      <c r="H228" s="2" t="s">
        <v>1260</v>
      </c>
      <c r="I228" s="2" t="s">
        <v>1261</v>
      </c>
      <c r="J228" s="2" t="s">
        <v>763</v>
      </c>
      <c r="K228" s="2" t="s">
        <v>1306</v>
      </c>
      <c r="L228" s="3">
        <v>32.9</v>
      </c>
      <c r="M228" s="3">
        <v>34.55</v>
      </c>
      <c r="N228" s="3">
        <v>69.99</v>
      </c>
      <c r="O228" s="2" t="s">
        <v>97</v>
      </c>
      <c r="P228" s="2" t="s">
        <v>175</v>
      </c>
      <c r="Q228" s="2" t="s">
        <v>99</v>
      </c>
      <c r="R228" s="2" t="s">
        <v>100</v>
      </c>
      <c r="S228" s="2" t="s">
        <v>1307</v>
      </c>
      <c r="T228" s="2" t="s">
        <v>220</v>
      </c>
      <c r="U228" s="2" t="s">
        <v>1263</v>
      </c>
      <c r="V228" s="2" t="s">
        <v>221</v>
      </c>
      <c r="W228" s="2" t="s">
        <v>536</v>
      </c>
      <c r="X228" s="2" t="s">
        <v>100</v>
      </c>
      <c r="Y228" s="2" t="s">
        <v>1308</v>
      </c>
      <c r="Z228" s="4">
        <v>190</v>
      </c>
      <c r="AA228" s="4">
        <f>=ROUNDDOWN(5.27777777777778,0)</f>
      </c>
      <c r="AB228" s="5">
        <v>36</v>
      </c>
      <c r="AC228" s="2" t="s">
        <v>1152</v>
      </c>
      <c r="AD228" s="4">
        <v>244</v>
      </c>
      <c r="AE228" s="4">
        <v>1324</v>
      </c>
      <c r="AF228" s="6">
        <v>69</v>
      </c>
      <c r="AG228" s="6"/>
      <c r="AH228" s="7">
        <v>0.9035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>
        <v>451</v>
      </c>
      <c r="BK228" s="8">
        <v>16195.63</v>
      </c>
      <c r="BL228" s="2" t="s">
        <v>1309</v>
      </c>
      <c r="BM228" s="7"/>
      <c r="BN228" s="7"/>
      <c r="BO228" s="4"/>
      <c r="BP228" s="8"/>
      <c r="BQ228" s="4"/>
      <c r="BR228" s="8"/>
      <c r="BS228" s="7"/>
      <c r="BT228" s="7"/>
      <c r="BU228" s="2" t="s">
        <v>200</v>
      </c>
      <c r="BV228" s="2" t="s">
        <v>97</v>
      </c>
      <c r="BW228" s="2" t="s">
        <v>100</v>
      </c>
      <c r="BX228" s="2" t="s">
        <v>100</v>
      </c>
      <c r="BY228" s="2" t="s">
        <v>109</v>
      </c>
      <c r="BZ228" s="2" t="s">
        <v>110</v>
      </c>
    </row>
    <row r="229">
      <c r="A229" s="2" t="s">
        <v>1310</v>
      </c>
      <c r="B229" s="2" t="s">
        <v>1183</v>
      </c>
      <c r="C229" s="2" t="s">
        <v>869</v>
      </c>
      <c r="D229" s="2" t="s">
        <v>1184</v>
      </c>
      <c r="E229" s="2" t="s">
        <v>776</v>
      </c>
      <c r="F229" s="2" t="s">
        <v>1252</v>
      </c>
      <c r="G229" s="2" t="s">
        <v>1252</v>
      </c>
      <c r="H229" s="2" t="s">
        <v>1252</v>
      </c>
      <c r="I229" s="2" t="s">
        <v>1253</v>
      </c>
      <c r="J229" s="2" t="s">
        <v>1254</v>
      </c>
      <c r="K229" s="2" t="s">
        <v>320</v>
      </c>
      <c r="L229" s="3">
        <v>32.9</v>
      </c>
      <c r="M229" s="3">
        <v>34.55</v>
      </c>
      <c r="N229" s="3">
        <v>69.99</v>
      </c>
      <c r="O229" s="2" t="s">
        <v>97</v>
      </c>
      <c r="P229" s="2" t="s">
        <v>1276</v>
      </c>
      <c r="Q229" s="2" t="s">
        <v>99</v>
      </c>
      <c r="R229" s="2" t="s">
        <v>100</v>
      </c>
      <c r="S229" s="2" t="s">
        <v>1311</v>
      </c>
      <c r="T229" s="2" t="s">
        <v>220</v>
      </c>
      <c r="U229" s="2" t="s">
        <v>931</v>
      </c>
      <c r="V229" s="2" t="s">
        <v>221</v>
      </c>
      <c r="W229" s="2" t="s">
        <v>103</v>
      </c>
      <c r="X229" s="2" t="s">
        <v>100</v>
      </c>
      <c r="Y229" s="2" t="s">
        <v>100</v>
      </c>
      <c r="Z229" s="4"/>
      <c r="AA229" s="4">
        <f>=ROUNDDOWN({0},0)</f>
      </c>
      <c r="AB229" s="5"/>
      <c r="AC229" s="2" t="s">
        <v>1152</v>
      </c>
      <c r="AD229" s="4">
        <v>259</v>
      </c>
      <c r="AE229" s="4">
        <v>524</v>
      </c>
      <c r="AF229" s="6">
        <v>69</v>
      </c>
      <c r="AG229" s="6"/>
      <c r="AH229" s="7">
        <v>0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/>
      <c r="BJ229" s="4"/>
      <c r="BK229" s="8"/>
      <c r="BL229" s="2" t="s">
        <v>100</v>
      </c>
      <c r="BM229" s="7"/>
      <c r="BN229" s="7"/>
      <c r="BO229" s="4"/>
      <c r="BP229" s="8"/>
      <c r="BQ229" s="4"/>
      <c r="BR229" s="8"/>
      <c r="BS229" s="7"/>
      <c r="BT229" s="7"/>
      <c r="BU229" s="2" t="s">
        <v>1076</v>
      </c>
      <c r="BV229" s="2" t="s">
        <v>97</v>
      </c>
      <c r="BW229" s="2" t="s">
        <v>100</v>
      </c>
      <c r="BX229" s="2" t="s">
        <v>100</v>
      </c>
      <c r="BY229" s="2" t="s">
        <v>109</v>
      </c>
      <c r="BZ229" s="2" t="s">
        <v>100</v>
      </c>
    </row>
    <row r="230">
      <c r="A230" s="2" t="s">
        <v>1312</v>
      </c>
      <c r="B230" s="2" t="s">
        <v>1183</v>
      </c>
      <c r="C230" s="2" t="s">
        <v>869</v>
      </c>
      <c r="D230" s="2" t="s">
        <v>1184</v>
      </c>
      <c r="E230" s="2" t="s">
        <v>776</v>
      </c>
      <c r="F230" s="2" t="s">
        <v>1252</v>
      </c>
      <c r="G230" s="2" t="s">
        <v>1252</v>
      </c>
      <c r="H230" s="2" t="s">
        <v>1252</v>
      </c>
      <c r="I230" s="2" t="s">
        <v>1253</v>
      </c>
      <c r="J230" s="2" t="s">
        <v>1254</v>
      </c>
      <c r="K230" s="2" t="s">
        <v>771</v>
      </c>
      <c r="L230" s="3">
        <v>32.9</v>
      </c>
      <c r="M230" s="3">
        <v>34.55</v>
      </c>
      <c r="N230" s="3">
        <v>69.99</v>
      </c>
      <c r="O230" s="2" t="s">
        <v>97</v>
      </c>
      <c r="P230" s="2" t="s">
        <v>175</v>
      </c>
      <c r="Q230" s="2" t="s">
        <v>99</v>
      </c>
      <c r="R230" s="2" t="s">
        <v>100</v>
      </c>
      <c r="S230" s="2" t="s">
        <v>1313</v>
      </c>
      <c r="T230" s="2" t="s">
        <v>220</v>
      </c>
      <c r="U230" s="2" t="s">
        <v>931</v>
      </c>
      <c r="V230" s="2" t="s">
        <v>221</v>
      </c>
      <c r="W230" s="2" t="s">
        <v>103</v>
      </c>
      <c r="X230" s="2" t="s">
        <v>100</v>
      </c>
      <c r="Y230" s="2" t="s">
        <v>1200</v>
      </c>
      <c r="Z230" s="4">
        <v>242</v>
      </c>
      <c r="AA230" s="4">
        <f>=ROUNDDOWN(5.04166666666667,0)</f>
      </c>
      <c r="AB230" s="5">
        <v>48</v>
      </c>
      <c r="AC230" s="2" t="s">
        <v>1152</v>
      </c>
      <c r="AD230" s="4">
        <v>278</v>
      </c>
      <c r="AE230" s="4">
        <v>1918</v>
      </c>
      <c r="AF230" s="6">
        <v>69</v>
      </c>
      <c r="AG230" s="6">
        <v>77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/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 t="s">
        <v>100</v>
      </c>
      <c r="BJ230" s="4">
        <v>800</v>
      </c>
      <c r="BK230" s="8">
        <v>26982.07</v>
      </c>
      <c r="BL230" s="2" t="s">
        <v>1314</v>
      </c>
      <c r="BM230" s="7"/>
      <c r="BN230" s="7"/>
      <c r="BO230" s="4"/>
      <c r="BP230" s="8"/>
      <c r="BQ230" s="4"/>
      <c r="BR230" s="8"/>
      <c r="BS230" s="7"/>
      <c r="BT230" s="7"/>
      <c r="BU230" s="2" t="s">
        <v>106</v>
      </c>
      <c r="BV230" s="2" t="s">
        <v>97</v>
      </c>
      <c r="BW230" s="2" t="s">
        <v>1189</v>
      </c>
      <c r="BX230" s="2" t="s">
        <v>934</v>
      </c>
      <c r="BY230" s="2" t="s">
        <v>109</v>
      </c>
      <c r="BZ230" s="2" t="s">
        <v>100</v>
      </c>
    </row>
    <row r="231">
      <c r="A231" s="2" t="s">
        <v>1315</v>
      </c>
      <c r="B231" s="2" t="s">
        <v>1183</v>
      </c>
      <c r="C231" s="2" t="s">
        <v>869</v>
      </c>
      <c r="D231" s="2" t="s">
        <v>1184</v>
      </c>
      <c r="E231" s="2" t="s">
        <v>776</v>
      </c>
      <c r="F231" s="2" t="s">
        <v>1260</v>
      </c>
      <c r="G231" s="2" t="s">
        <v>1260</v>
      </c>
      <c r="H231" s="2" t="s">
        <v>1260</v>
      </c>
      <c r="I231" s="2" t="s">
        <v>1261</v>
      </c>
      <c r="J231" s="2" t="s">
        <v>763</v>
      </c>
      <c r="K231" s="2" t="s">
        <v>771</v>
      </c>
      <c r="L231" s="3">
        <v>32.9</v>
      </c>
      <c r="M231" s="3">
        <v>34.55</v>
      </c>
      <c r="N231" s="3">
        <v>69.99</v>
      </c>
      <c r="O231" s="2" t="s">
        <v>97</v>
      </c>
      <c r="P231" s="2" t="s">
        <v>98</v>
      </c>
      <c r="Q231" s="2" t="s">
        <v>99</v>
      </c>
      <c r="R231" s="2" t="s">
        <v>100</v>
      </c>
      <c r="S231" s="2" t="s">
        <v>1313</v>
      </c>
      <c r="T231" s="2" t="s">
        <v>100</v>
      </c>
      <c r="U231" s="2" t="s">
        <v>100</v>
      </c>
      <c r="V231" s="2" t="s">
        <v>221</v>
      </c>
      <c r="W231" s="2" t="s">
        <v>872</v>
      </c>
      <c r="X231" s="2" t="s">
        <v>100</v>
      </c>
      <c r="Y231" s="2" t="s">
        <v>104</v>
      </c>
      <c r="Z231" s="4">
        <v>1660</v>
      </c>
      <c r="AA231" s="4">
        <f>=ROUNDDOWN(34.5833333333333,0)</f>
      </c>
      <c r="AB231" s="5">
        <v>48</v>
      </c>
      <c r="AC231" s="2" t="s">
        <v>1279</v>
      </c>
      <c r="AD231" s="4">
        <v>548</v>
      </c>
      <c r="AE231" s="4">
        <v>1218</v>
      </c>
      <c r="AF231" s="6">
        <v>69</v>
      </c>
      <c r="AG231" s="6">
        <v>77</v>
      </c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100</v>
      </c>
      <c r="AW231" s="8" t="s">
        <v>100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/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 t="s">
        <v>100</v>
      </c>
      <c r="BJ231" s="4">
        <v>796</v>
      </c>
      <c r="BK231" s="8">
        <v>27671.06</v>
      </c>
      <c r="BL231" s="2" t="s">
        <v>1316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97</v>
      </c>
      <c r="BW231" s="2" t="s">
        <v>122</v>
      </c>
      <c r="BX231" s="2" t="s">
        <v>1317</v>
      </c>
      <c r="BY231" s="2" t="s">
        <v>109</v>
      </c>
      <c r="BZ231" s="2" t="s">
        <v>100</v>
      </c>
    </row>
    <row r="232">
      <c r="A232" s="2" t="s">
        <v>1318</v>
      </c>
      <c r="B232" s="2" t="s">
        <v>1183</v>
      </c>
      <c r="C232" s="2" t="s">
        <v>869</v>
      </c>
      <c r="D232" s="2" t="s">
        <v>1184</v>
      </c>
      <c r="E232" s="2" t="s">
        <v>776</v>
      </c>
      <c r="F232" s="2" t="s">
        <v>1252</v>
      </c>
      <c r="G232" s="2" t="s">
        <v>1252</v>
      </c>
      <c r="H232" s="2" t="s">
        <v>1252</v>
      </c>
      <c r="I232" s="2" t="s">
        <v>1253</v>
      </c>
      <c r="J232" s="2" t="s">
        <v>1254</v>
      </c>
      <c r="K232" s="2" t="s">
        <v>218</v>
      </c>
      <c r="L232" s="3">
        <v>32.9</v>
      </c>
      <c r="M232" s="3">
        <v>34.55</v>
      </c>
      <c r="N232" s="3">
        <v>69.99</v>
      </c>
      <c r="O232" s="2" t="s">
        <v>97</v>
      </c>
      <c r="P232" s="2" t="s">
        <v>113</v>
      </c>
      <c r="Q232" s="2" t="s">
        <v>99</v>
      </c>
      <c r="R232" s="2" t="s">
        <v>100</v>
      </c>
      <c r="S232" s="2" t="s">
        <v>1319</v>
      </c>
      <c r="T232" s="2" t="s">
        <v>220</v>
      </c>
      <c r="U232" s="2" t="s">
        <v>931</v>
      </c>
      <c r="V232" s="2" t="s">
        <v>221</v>
      </c>
      <c r="W232" s="2" t="s">
        <v>103</v>
      </c>
      <c r="X232" s="2" t="s">
        <v>100</v>
      </c>
      <c r="Y232" s="2" t="s">
        <v>1200</v>
      </c>
      <c r="Z232" s="4">
        <v>237</v>
      </c>
      <c r="AA232" s="4">
        <f>=ROUNDDOWN(3.2027027027027,0)</f>
      </c>
      <c r="AB232" s="5">
        <v>74</v>
      </c>
      <c r="AC232" s="2" t="s">
        <v>1152</v>
      </c>
      <c r="AD232" s="4">
        <v>717</v>
      </c>
      <c r="AE232" s="4">
        <v>2497</v>
      </c>
      <c r="AF232" s="6">
        <v>69</v>
      </c>
      <c r="AG232" s="6">
        <v>77</v>
      </c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 t="s">
        <v>100</v>
      </c>
      <c r="BJ232" s="4">
        <v>1177</v>
      </c>
      <c r="BK232" s="8">
        <v>39666.24</v>
      </c>
      <c r="BL232" s="2" t="s">
        <v>1290</v>
      </c>
      <c r="BM232" s="7"/>
      <c r="BN232" s="7"/>
      <c r="BO232" s="4"/>
      <c r="BP232" s="8"/>
      <c r="BQ232" s="4"/>
      <c r="BR232" s="8"/>
      <c r="BS232" s="7"/>
      <c r="BT232" s="7"/>
      <c r="BU232" s="2" t="s">
        <v>106</v>
      </c>
      <c r="BV232" s="2" t="s">
        <v>97</v>
      </c>
      <c r="BW232" s="2" t="s">
        <v>1189</v>
      </c>
      <c r="BX232" s="2" t="s">
        <v>934</v>
      </c>
      <c r="BY232" s="2" t="s">
        <v>109</v>
      </c>
      <c r="BZ232" s="2" t="s">
        <v>100</v>
      </c>
    </row>
    <row r="233">
      <c r="A233" s="2" t="s">
        <v>1320</v>
      </c>
      <c r="B233" s="2" t="s">
        <v>1183</v>
      </c>
      <c r="C233" s="2" t="s">
        <v>869</v>
      </c>
      <c r="D233" s="2" t="s">
        <v>1184</v>
      </c>
      <c r="E233" s="2" t="s">
        <v>776</v>
      </c>
      <c r="F233" s="2" t="s">
        <v>1260</v>
      </c>
      <c r="G233" s="2" t="s">
        <v>1260</v>
      </c>
      <c r="H233" s="2" t="s">
        <v>1260</v>
      </c>
      <c r="I233" s="2" t="s">
        <v>1261</v>
      </c>
      <c r="J233" s="2" t="s">
        <v>763</v>
      </c>
      <c r="K233" s="2" t="s">
        <v>218</v>
      </c>
      <c r="L233" s="3">
        <v>32.9</v>
      </c>
      <c r="M233" s="3">
        <v>34.55</v>
      </c>
      <c r="N233" s="3">
        <v>69.99</v>
      </c>
      <c r="O233" s="2" t="s">
        <v>97</v>
      </c>
      <c r="P233" s="2" t="s">
        <v>922</v>
      </c>
      <c r="Q233" s="2" t="s">
        <v>99</v>
      </c>
      <c r="R233" s="2" t="s">
        <v>100</v>
      </c>
      <c r="S233" s="2" t="s">
        <v>1319</v>
      </c>
      <c r="T233" s="2" t="s">
        <v>100</v>
      </c>
      <c r="U233" s="2" t="s">
        <v>100</v>
      </c>
      <c r="V233" s="2" t="s">
        <v>221</v>
      </c>
      <c r="W233" s="2" t="s">
        <v>872</v>
      </c>
      <c r="X233" s="2" t="s">
        <v>100</v>
      </c>
      <c r="Y233" s="2" t="s">
        <v>104</v>
      </c>
      <c r="Z233" s="4">
        <v>2385</v>
      </c>
      <c r="AA233" s="4">
        <f>=ROUNDDOWN(29.0853658536585,0)</f>
      </c>
      <c r="AB233" s="5">
        <v>82</v>
      </c>
      <c r="AC233" s="2" t="s">
        <v>1279</v>
      </c>
      <c r="AD233" s="4">
        <v>371</v>
      </c>
      <c r="AE233" s="4">
        <v>1764</v>
      </c>
      <c r="AF233" s="6">
        <v>69</v>
      </c>
      <c r="AG233" s="6">
        <v>77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100</v>
      </c>
      <c r="AW233" s="8" t="s">
        <v>100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/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 t="s">
        <v>100</v>
      </c>
      <c r="BJ233" s="4">
        <v>1183</v>
      </c>
      <c r="BK233" s="8">
        <v>41402.24</v>
      </c>
      <c r="BL233" s="2" t="s">
        <v>1294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97</v>
      </c>
      <c r="BW233" s="2" t="s">
        <v>122</v>
      </c>
      <c r="BX233" s="2" t="s">
        <v>1321</v>
      </c>
      <c r="BY233" s="2" t="s">
        <v>109</v>
      </c>
      <c r="BZ233" s="2" t="s">
        <v>100</v>
      </c>
    </row>
    <row r="234">
      <c r="A234" s="2" t="s">
        <v>1322</v>
      </c>
      <c r="B234" s="2" t="s">
        <v>1183</v>
      </c>
      <c r="C234" s="2" t="s">
        <v>869</v>
      </c>
      <c r="D234" s="2" t="s">
        <v>1184</v>
      </c>
      <c r="E234" s="2" t="s">
        <v>776</v>
      </c>
      <c r="F234" s="2" t="s">
        <v>1323</v>
      </c>
      <c r="G234" s="2" t="s">
        <v>1323</v>
      </c>
      <c r="H234" s="2" t="s">
        <v>1323</v>
      </c>
      <c r="I234" s="2" t="s">
        <v>1324</v>
      </c>
      <c r="J234" s="2" t="s">
        <v>778</v>
      </c>
      <c r="K234" s="2" t="s">
        <v>133</v>
      </c>
      <c r="L234" s="3">
        <v>33.6</v>
      </c>
      <c r="M234" s="3">
        <v>35.28</v>
      </c>
      <c r="N234" s="3">
        <v>69.99</v>
      </c>
      <c r="O234" s="2" t="s">
        <v>97</v>
      </c>
      <c r="P234" s="2" t="s">
        <v>98</v>
      </c>
      <c r="Q234" s="2" t="s">
        <v>99</v>
      </c>
      <c r="R234" s="2" t="s">
        <v>100</v>
      </c>
      <c r="S234" s="2" t="s">
        <v>1325</v>
      </c>
      <c r="T234" s="2" t="s">
        <v>220</v>
      </c>
      <c r="U234" s="2" t="s">
        <v>780</v>
      </c>
      <c r="V234" s="2" t="s">
        <v>221</v>
      </c>
      <c r="W234" s="2" t="s">
        <v>103</v>
      </c>
      <c r="X234" s="2" t="s">
        <v>100</v>
      </c>
      <c r="Y234" s="2" t="s">
        <v>1326</v>
      </c>
      <c r="Z234" s="4">
        <v>865</v>
      </c>
      <c r="AA234" s="4">
        <f>=ROUNDDOWN(12.3571428571429,0)</f>
      </c>
      <c r="AB234" s="5">
        <v>70</v>
      </c>
      <c r="AC234" s="2" t="s">
        <v>1327</v>
      </c>
      <c r="AD234" s="4">
        <v>294</v>
      </c>
      <c r="AE234" s="4">
        <v>2259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3</v>
      </c>
      <c r="AQ234" s="8">
        <v>110.88</v>
      </c>
      <c r="AR234" s="4"/>
      <c r="AS234" s="8"/>
      <c r="AT234" s="7"/>
      <c r="AU234" s="7"/>
      <c r="AV234" s="4">
        <v>3</v>
      </c>
      <c r="AW234" s="8">
        <v>110.88</v>
      </c>
      <c r="AX234" s="4"/>
      <c r="AY234" s="8"/>
      <c r="AZ234" s="7"/>
      <c r="BA234" s="7"/>
      <c r="BB234" s="7">
        <v>1</v>
      </c>
      <c r="BC234" s="4">
        <v>7</v>
      </c>
      <c r="BD234" s="8">
        <v>257.04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>
        <v>0.4314</v>
      </c>
      <c r="BJ234" s="4">
        <v>1177</v>
      </c>
      <c r="BK234" s="8">
        <v>43721.61</v>
      </c>
      <c r="BL234" s="2" t="s">
        <v>1328</v>
      </c>
      <c r="BM234" s="7">
        <v>0.0025</v>
      </c>
      <c r="BN234" s="7">
        <v>0.0025</v>
      </c>
      <c r="BO234" s="4">
        <v>3</v>
      </c>
      <c r="BP234" s="8">
        <v>110.88</v>
      </c>
      <c r="BQ234" s="4"/>
      <c r="BR234" s="8"/>
      <c r="BS234" s="7"/>
      <c r="BT234" s="7"/>
      <c r="BU234" s="2" t="s">
        <v>106</v>
      </c>
      <c r="BV234" s="2" t="s">
        <v>97</v>
      </c>
      <c r="BW234" s="2" t="s">
        <v>1189</v>
      </c>
      <c r="BX234" s="2" t="s">
        <v>1329</v>
      </c>
      <c r="BY234" s="2" t="s">
        <v>109</v>
      </c>
      <c r="BZ234" s="2" t="s">
        <v>100</v>
      </c>
    </row>
    <row r="235">
      <c r="A235" s="2" t="s">
        <v>1330</v>
      </c>
      <c r="B235" s="2" t="s">
        <v>1183</v>
      </c>
      <c r="C235" s="2" t="s">
        <v>869</v>
      </c>
      <c r="D235" s="2" t="s">
        <v>1184</v>
      </c>
      <c r="E235" s="2" t="s">
        <v>776</v>
      </c>
      <c r="F235" s="2" t="s">
        <v>1323</v>
      </c>
      <c r="G235" s="2" t="s">
        <v>1323</v>
      </c>
      <c r="H235" s="2" t="s">
        <v>1323</v>
      </c>
      <c r="I235" s="2" t="s">
        <v>1324</v>
      </c>
      <c r="J235" s="2" t="s">
        <v>778</v>
      </c>
      <c r="K235" s="2" t="s">
        <v>742</v>
      </c>
      <c r="L235" s="3">
        <v>33.6</v>
      </c>
      <c r="M235" s="3">
        <v>35.28</v>
      </c>
      <c r="N235" s="3">
        <v>69.99</v>
      </c>
      <c r="O235" s="2" t="s">
        <v>97</v>
      </c>
      <c r="P235" s="2" t="s">
        <v>922</v>
      </c>
      <c r="Q235" s="2" t="s">
        <v>99</v>
      </c>
      <c r="R235" s="2" t="s">
        <v>100</v>
      </c>
      <c r="S235" s="2" t="s">
        <v>1325</v>
      </c>
      <c r="T235" s="2" t="s">
        <v>220</v>
      </c>
      <c r="U235" s="2" t="s">
        <v>780</v>
      </c>
      <c r="V235" s="2" t="s">
        <v>221</v>
      </c>
      <c r="W235" s="2" t="s">
        <v>103</v>
      </c>
      <c r="X235" s="2" t="s">
        <v>100</v>
      </c>
      <c r="Y235" s="2" t="s">
        <v>578</v>
      </c>
      <c r="Z235" s="4">
        <v>937</v>
      </c>
      <c r="AA235" s="4">
        <f>=ROUNDDOWN(9.86315789473684,0)</f>
      </c>
      <c r="AB235" s="5">
        <v>95</v>
      </c>
      <c r="AC235" s="2" t="s">
        <v>1327</v>
      </c>
      <c r="AD235" s="4">
        <v>304</v>
      </c>
      <c r="AE235" s="4">
        <v>3464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2</v>
      </c>
      <c r="AQ235" s="8">
        <v>73.92</v>
      </c>
      <c r="AR235" s="4"/>
      <c r="AS235" s="8"/>
      <c r="AT235" s="7"/>
      <c r="AU235" s="7"/>
      <c r="AV235" s="4">
        <v>2</v>
      </c>
      <c r="AW235" s="8">
        <v>73.92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>
        <v>1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0.2876</v>
      </c>
      <c r="BJ235" s="4">
        <v>1526</v>
      </c>
      <c r="BK235" s="8">
        <v>56840.26</v>
      </c>
      <c r="BL235" s="2" t="s">
        <v>1331</v>
      </c>
      <c r="BM235" s="7">
        <v>0.0013</v>
      </c>
      <c r="BN235" s="7">
        <v>0.0013</v>
      </c>
      <c r="BO235" s="4">
        <v>2</v>
      </c>
      <c r="BP235" s="8">
        <v>73.92</v>
      </c>
      <c r="BQ235" s="4"/>
      <c r="BR235" s="8"/>
      <c r="BS235" s="7"/>
      <c r="BT235" s="7"/>
      <c r="BU235" s="2" t="s">
        <v>106</v>
      </c>
      <c r="BV235" s="2" t="s">
        <v>97</v>
      </c>
      <c r="BW235" s="2" t="s">
        <v>442</v>
      </c>
      <c r="BX235" s="2" t="s">
        <v>1332</v>
      </c>
      <c r="BY235" s="2" t="s">
        <v>109</v>
      </c>
      <c r="BZ235" s="2" t="s">
        <v>100</v>
      </c>
    </row>
    <row r="236">
      <c r="A236" s="2" t="s">
        <v>1333</v>
      </c>
      <c r="B236" s="2" t="s">
        <v>1183</v>
      </c>
      <c r="C236" s="2" t="s">
        <v>869</v>
      </c>
      <c r="D236" s="2" t="s">
        <v>1184</v>
      </c>
      <c r="E236" s="2" t="s">
        <v>776</v>
      </c>
      <c r="F236" s="2" t="s">
        <v>1323</v>
      </c>
      <c r="G236" s="2" t="s">
        <v>1323</v>
      </c>
      <c r="H236" s="2" t="s">
        <v>1323</v>
      </c>
      <c r="I236" s="2" t="s">
        <v>1334</v>
      </c>
      <c r="J236" s="2" t="s">
        <v>1335</v>
      </c>
      <c r="K236" s="2" t="s">
        <v>742</v>
      </c>
      <c r="L236" s="3">
        <v>33.6</v>
      </c>
      <c r="M236" s="3">
        <v>35.28</v>
      </c>
      <c r="N236" s="3">
        <v>69.99</v>
      </c>
      <c r="O236" s="2" t="s">
        <v>97</v>
      </c>
      <c r="P236" s="2" t="s">
        <v>1276</v>
      </c>
      <c r="Q236" s="2" t="s">
        <v>99</v>
      </c>
      <c r="R236" s="2" t="s">
        <v>100</v>
      </c>
      <c r="S236" s="2" t="s">
        <v>1325</v>
      </c>
      <c r="T236" s="2" t="s">
        <v>220</v>
      </c>
      <c r="U236" s="2" t="s">
        <v>931</v>
      </c>
      <c r="V236" s="2" t="s">
        <v>221</v>
      </c>
      <c r="W236" s="2" t="s">
        <v>222</v>
      </c>
      <c r="X236" s="2" t="s">
        <v>100</v>
      </c>
      <c r="Y236" s="2" t="s">
        <v>100</v>
      </c>
      <c r="Z236" s="4"/>
      <c r="AA236" s="4">
        <f>=ROUNDDOWN({0},0)</f>
      </c>
      <c r="AB236" s="5"/>
      <c r="AC236" s="2" t="s">
        <v>1336</v>
      </c>
      <c r="AD236" s="4">
        <v>338</v>
      </c>
      <c r="AE236" s="4">
        <v>683</v>
      </c>
      <c r="AF236" s="6">
        <v>67</v>
      </c>
      <c r="AG236" s="6"/>
      <c r="AH236" s="7">
        <v>0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/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 t="s">
        <v>100</v>
      </c>
      <c r="BJ236" s="4"/>
      <c r="BK236" s="8"/>
      <c r="BL236" s="2" t="s">
        <v>100</v>
      </c>
      <c r="BM236" s="7"/>
      <c r="BN236" s="7"/>
      <c r="BO236" s="4"/>
      <c r="BP236" s="8"/>
      <c r="BQ236" s="4"/>
      <c r="BR236" s="8"/>
      <c r="BS236" s="7"/>
      <c r="BT236" s="7"/>
      <c r="BU236" s="2" t="s">
        <v>1076</v>
      </c>
      <c r="BV236" s="2" t="s">
        <v>97</v>
      </c>
      <c r="BW236" s="2" t="s">
        <v>100</v>
      </c>
      <c r="BX236" s="2" t="s">
        <v>100</v>
      </c>
      <c r="BY236" s="2" t="s">
        <v>109</v>
      </c>
      <c r="BZ236" s="2" t="s">
        <v>100</v>
      </c>
    </row>
    <row r="237">
      <c r="A237" s="2" t="s">
        <v>1337</v>
      </c>
      <c r="B237" s="2" t="s">
        <v>1183</v>
      </c>
      <c r="C237" s="2" t="s">
        <v>869</v>
      </c>
      <c r="D237" s="2" t="s">
        <v>1184</v>
      </c>
      <c r="E237" s="2" t="s">
        <v>776</v>
      </c>
      <c r="F237" s="2" t="s">
        <v>1323</v>
      </c>
      <c r="G237" s="2" t="s">
        <v>1323</v>
      </c>
      <c r="H237" s="2" t="s">
        <v>1323</v>
      </c>
      <c r="I237" s="2" t="s">
        <v>1324</v>
      </c>
      <c r="J237" s="2" t="s">
        <v>778</v>
      </c>
      <c r="K237" s="2" t="s">
        <v>218</v>
      </c>
      <c r="L237" s="3">
        <v>33.6</v>
      </c>
      <c r="M237" s="3">
        <v>35.28</v>
      </c>
      <c r="N237" s="3">
        <v>69.99</v>
      </c>
      <c r="O237" s="2" t="s">
        <v>97</v>
      </c>
      <c r="P237" s="2" t="s">
        <v>922</v>
      </c>
      <c r="Q237" s="2" t="s">
        <v>99</v>
      </c>
      <c r="R237" s="2" t="s">
        <v>100</v>
      </c>
      <c r="S237" s="2" t="s">
        <v>1325</v>
      </c>
      <c r="T237" s="2" t="s">
        <v>220</v>
      </c>
      <c r="U237" s="2" t="s">
        <v>780</v>
      </c>
      <c r="V237" s="2" t="s">
        <v>221</v>
      </c>
      <c r="W237" s="2" t="s">
        <v>103</v>
      </c>
      <c r="X237" s="2" t="s">
        <v>100</v>
      </c>
      <c r="Y237" s="2" t="s">
        <v>1338</v>
      </c>
      <c r="Z237" s="4">
        <v>1710</v>
      </c>
      <c r="AA237" s="4">
        <f>=ROUNDDOWN(13.4645669291339,0)</f>
      </c>
      <c r="AB237" s="5">
        <v>127</v>
      </c>
      <c r="AC237" s="2" t="s">
        <v>1327</v>
      </c>
      <c r="AD237" s="4">
        <v>591</v>
      </c>
      <c r="AE237" s="4">
        <v>3491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1</v>
      </c>
      <c r="AQ237" s="8">
        <v>36.96</v>
      </c>
      <c r="AR237" s="4"/>
      <c r="AS237" s="8"/>
      <c r="AT237" s="7"/>
      <c r="AU237" s="7"/>
      <c r="AV237" s="4">
        <v>1</v>
      </c>
      <c r="AW237" s="8">
        <v>36.96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>
        <v>1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0.1438</v>
      </c>
      <c r="BJ237" s="4">
        <v>2035</v>
      </c>
      <c r="BK237" s="8">
        <v>75791.84</v>
      </c>
      <c r="BL237" s="2" t="s">
        <v>1339</v>
      </c>
      <c r="BM237" s="7">
        <v>0.0005</v>
      </c>
      <c r="BN237" s="7">
        <v>0.0005</v>
      </c>
      <c r="BO237" s="4">
        <v>1</v>
      </c>
      <c r="BP237" s="8">
        <v>36.96</v>
      </c>
      <c r="BQ237" s="4"/>
      <c r="BR237" s="8"/>
      <c r="BS237" s="7"/>
      <c r="BT237" s="7"/>
      <c r="BU237" s="2" t="s">
        <v>106</v>
      </c>
      <c r="BV237" s="2" t="s">
        <v>97</v>
      </c>
      <c r="BW237" s="2" t="s">
        <v>284</v>
      </c>
      <c r="BX237" s="2" t="s">
        <v>1340</v>
      </c>
      <c r="BY237" s="2" t="s">
        <v>109</v>
      </c>
      <c r="BZ237" s="2" t="s">
        <v>100</v>
      </c>
    </row>
    <row r="238">
      <c r="A238" s="2" t="s">
        <v>1341</v>
      </c>
      <c r="B238" s="2" t="s">
        <v>1183</v>
      </c>
      <c r="C238" s="2" t="s">
        <v>869</v>
      </c>
      <c r="D238" s="2" t="s">
        <v>1184</v>
      </c>
      <c r="E238" s="2" t="s">
        <v>776</v>
      </c>
      <c r="F238" s="2" t="s">
        <v>1323</v>
      </c>
      <c r="G238" s="2" t="s">
        <v>1323</v>
      </c>
      <c r="H238" s="2" t="s">
        <v>1323</v>
      </c>
      <c r="I238" s="2" t="s">
        <v>1334</v>
      </c>
      <c r="J238" s="2" t="s">
        <v>1335</v>
      </c>
      <c r="K238" s="2" t="s">
        <v>218</v>
      </c>
      <c r="L238" s="3">
        <v>33.6</v>
      </c>
      <c r="M238" s="3">
        <v>35.28</v>
      </c>
      <c r="N238" s="3">
        <v>69.99</v>
      </c>
      <c r="O238" s="2" t="s">
        <v>97</v>
      </c>
      <c r="P238" s="2" t="s">
        <v>1276</v>
      </c>
      <c r="Q238" s="2" t="s">
        <v>99</v>
      </c>
      <c r="R238" s="2" t="s">
        <v>100</v>
      </c>
      <c r="S238" s="2" t="s">
        <v>1325</v>
      </c>
      <c r="T238" s="2" t="s">
        <v>220</v>
      </c>
      <c r="U238" s="2" t="s">
        <v>931</v>
      </c>
      <c r="V238" s="2" t="s">
        <v>221</v>
      </c>
      <c r="W238" s="2" t="s">
        <v>222</v>
      </c>
      <c r="X238" s="2" t="s">
        <v>100</v>
      </c>
      <c r="Y238" s="2" t="s">
        <v>100</v>
      </c>
      <c r="Z238" s="4"/>
      <c r="AA238" s="4">
        <f>=ROUNDDOWN({0},0)</f>
      </c>
      <c r="AB238" s="5"/>
      <c r="AC238" s="2" t="s">
        <v>1336</v>
      </c>
      <c r="AD238" s="4">
        <v>414</v>
      </c>
      <c r="AE238" s="4">
        <v>920</v>
      </c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/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/>
      <c r="BK238" s="8"/>
      <c r="BL238" s="2" t="s">
        <v>100</v>
      </c>
      <c r="BM238" s="7"/>
      <c r="BN238" s="7"/>
      <c r="BO238" s="4"/>
      <c r="BP238" s="8"/>
      <c r="BQ238" s="4"/>
      <c r="BR238" s="8"/>
      <c r="BS238" s="7"/>
      <c r="BT238" s="7"/>
      <c r="BU238" s="2" t="s">
        <v>1076</v>
      </c>
      <c r="BV238" s="2" t="s">
        <v>97</v>
      </c>
      <c r="BW238" s="2" t="s">
        <v>100</v>
      </c>
      <c r="BX238" s="2" t="s">
        <v>100</v>
      </c>
      <c r="BY238" s="2" t="s">
        <v>109</v>
      </c>
      <c r="BZ238" s="2" t="s">
        <v>100</v>
      </c>
    </row>
    <row r="239">
      <c r="A239" s="2" t="s">
        <v>1342</v>
      </c>
      <c r="B239" s="2" t="s">
        <v>1183</v>
      </c>
      <c r="C239" s="2" t="s">
        <v>869</v>
      </c>
      <c r="D239" s="2" t="s">
        <v>1184</v>
      </c>
      <c r="E239" s="2" t="s">
        <v>776</v>
      </c>
      <c r="F239" s="2" t="s">
        <v>1323</v>
      </c>
      <c r="G239" s="2" t="s">
        <v>1323</v>
      </c>
      <c r="H239" s="2" t="s">
        <v>1323</v>
      </c>
      <c r="I239" s="2" t="s">
        <v>1324</v>
      </c>
      <c r="J239" s="2" t="s">
        <v>778</v>
      </c>
      <c r="K239" s="2" t="s">
        <v>118</v>
      </c>
      <c r="L239" s="3">
        <v>33.6</v>
      </c>
      <c r="M239" s="3">
        <v>35.28</v>
      </c>
      <c r="N239" s="3">
        <v>69.99</v>
      </c>
      <c r="O239" s="2" t="s">
        <v>97</v>
      </c>
      <c r="P239" s="2" t="s">
        <v>175</v>
      </c>
      <c r="Q239" s="2" t="s">
        <v>99</v>
      </c>
      <c r="R239" s="2" t="s">
        <v>100</v>
      </c>
      <c r="S239" s="2" t="s">
        <v>1325</v>
      </c>
      <c r="T239" s="2" t="s">
        <v>220</v>
      </c>
      <c r="U239" s="2" t="s">
        <v>780</v>
      </c>
      <c r="V239" s="2" t="s">
        <v>221</v>
      </c>
      <c r="W239" s="2" t="s">
        <v>178</v>
      </c>
      <c r="X239" s="2" t="s">
        <v>100</v>
      </c>
      <c r="Y239" s="2" t="s">
        <v>1343</v>
      </c>
      <c r="Z239" s="4">
        <v>658</v>
      </c>
      <c r="AA239" s="4">
        <f>=ROUNDDOWN(16.8717948717949,0)</f>
      </c>
      <c r="AB239" s="5">
        <v>39</v>
      </c>
      <c r="AC239" s="2" t="s">
        <v>1336</v>
      </c>
      <c r="AD239" s="4">
        <v>268</v>
      </c>
      <c r="AE239" s="4">
        <v>1328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1</v>
      </c>
      <c r="AQ239" s="8">
        <v>35.28</v>
      </c>
      <c r="AR239" s="4"/>
      <c r="AS239" s="8"/>
      <c r="AT239" s="7"/>
      <c r="AU239" s="7"/>
      <c r="AV239" s="4">
        <v>1</v>
      </c>
      <c r="AW239" s="8">
        <v>35.28</v>
      </c>
      <c r="AX239" s="4"/>
      <c r="AY239" s="8"/>
      <c r="AZ239" s="7"/>
      <c r="BA239" s="7"/>
      <c r="BB239" s="7">
        <v>1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0.1373</v>
      </c>
      <c r="BJ239" s="4">
        <v>660</v>
      </c>
      <c r="BK239" s="8">
        <v>24455.65</v>
      </c>
      <c r="BL239" s="2" t="s">
        <v>1344</v>
      </c>
      <c r="BM239" s="7">
        <v>0.0015</v>
      </c>
      <c r="BN239" s="7">
        <v>0.0014</v>
      </c>
      <c r="BO239" s="4">
        <v>1</v>
      </c>
      <c r="BP239" s="8">
        <v>35.28</v>
      </c>
      <c r="BQ239" s="4"/>
      <c r="BR239" s="8"/>
      <c r="BS239" s="7"/>
      <c r="BT239" s="7"/>
      <c r="BU239" s="2" t="s">
        <v>106</v>
      </c>
      <c r="BV239" s="2" t="s">
        <v>97</v>
      </c>
      <c r="BW239" s="2" t="s">
        <v>225</v>
      </c>
      <c r="BX239" s="2" t="s">
        <v>1345</v>
      </c>
      <c r="BY239" s="2" t="s">
        <v>109</v>
      </c>
      <c r="BZ239" s="2" t="s">
        <v>100</v>
      </c>
    </row>
    <row r="240">
      <c r="A240" s="2" t="s">
        <v>1346</v>
      </c>
      <c r="B240" s="2" t="s">
        <v>1183</v>
      </c>
      <c r="C240" s="2" t="s">
        <v>869</v>
      </c>
      <c r="D240" s="2" t="s">
        <v>1184</v>
      </c>
      <c r="E240" s="2" t="s">
        <v>776</v>
      </c>
      <c r="F240" s="2" t="s">
        <v>1323</v>
      </c>
      <c r="G240" s="2" t="s">
        <v>1323</v>
      </c>
      <c r="H240" s="2" t="s">
        <v>1323</v>
      </c>
      <c r="I240" s="2" t="s">
        <v>1324</v>
      </c>
      <c r="J240" s="2" t="s">
        <v>778</v>
      </c>
      <c r="K240" s="2" t="s">
        <v>393</v>
      </c>
      <c r="L240" s="3">
        <v>33.6</v>
      </c>
      <c r="M240" s="3">
        <v>35.28</v>
      </c>
      <c r="N240" s="3">
        <v>69.99</v>
      </c>
      <c r="O240" s="2" t="s">
        <v>97</v>
      </c>
      <c r="P240" s="2" t="s">
        <v>175</v>
      </c>
      <c r="Q240" s="2" t="s">
        <v>99</v>
      </c>
      <c r="R240" s="2" t="s">
        <v>100</v>
      </c>
      <c r="S240" s="2" t="s">
        <v>1325</v>
      </c>
      <c r="T240" s="2" t="s">
        <v>220</v>
      </c>
      <c r="U240" s="2" t="s">
        <v>780</v>
      </c>
      <c r="V240" s="2" t="s">
        <v>221</v>
      </c>
      <c r="W240" s="2" t="s">
        <v>103</v>
      </c>
      <c r="X240" s="2" t="s">
        <v>100</v>
      </c>
      <c r="Y240" s="2" t="s">
        <v>330</v>
      </c>
      <c r="Z240" s="4">
        <v>280</v>
      </c>
      <c r="AA240" s="4">
        <f>=ROUNDDOWN(7.36842105263158,0)</f>
      </c>
      <c r="AB240" s="5">
        <v>38</v>
      </c>
      <c r="AC240" s="2" t="s">
        <v>1336</v>
      </c>
      <c r="AD240" s="4">
        <v>288</v>
      </c>
      <c r="AE240" s="4">
        <v>1808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/>
      <c r="BJ240" s="4">
        <v>603</v>
      </c>
      <c r="BK240" s="8">
        <v>22530.03</v>
      </c>
      <c r="BL240" s="2" t="s">
        <v>1347</v>
      </c>
      <c r="BM240" s="7"/>
      <c r="BN240" s="7"/>
      <c r="BO240" s="4"/>
      <c r="BP240" s="8"/>
      <c r="BQ240" s="4"/>
      <c r="BR240" s="8"/>
      <c r="BS240" s="7"/>
      <c r="BT240" s="7"/>
      <c r="BU240" s="2" t="s">
        <v>106</v>
      </c>
      <c r="BV240" s="2" t="s">
        <v>97</v>
      </c>
      <c r="BW240" s="2" t="s">
        <v>442</v>
      </c>
      <c r="BX240" s="2" t="s">
        <v>1348</v>
      </c>
      <c r="BY240" s="2" t="s">
        <v>109</v>
      </c>
      <c r="BZ240" s="2" t="s">
        <v>100</v>
      </c>
    </row>
    <row r="241">
      <c r="A241" s="2" t="s">
        <v>1349</v>
      </c>
      <c r="B241" s="2" t="s">
        <v>1183</v>
      </c>
      <c r="C241" s="2" t="s">
        <v>869</v>
      </c>
      <c r="D241" s="2" t="s">
        <v>1184</v>
      </c>
      <c r="E241" s="2" t="s">
        <v>776</v>
      </c>
      <c r="F241" s="2" t="s">
        <v>1323</v>
      </c>
      <c r="G241" s="2" t="s">
        <v>1323</v>
      </c>
      <c r="H241" s="2" t="s">
        <v>1323</v>
      </c>
      <c r="I241" s="2" t="s">
        <v>1324</v>
      </c>
      <c r="J241" s="2" t="s">
        <v>778</v>
      </c>
      <c r="K241" s="2" t="s">
        <v>243</v>
      </c>
      <c r="L241" s="3">
        <v>33.6</v>
      </c>
      <c r="M241" s="3">
        <v>35.28</v>
      </c>
      <c r="N241" s="3">
        <v>69.99</v>
      </c>
      <c r="O241" s="2" t="s">
        <v>97</v>
      </c>
      <c r="P241" s="2" t="s">
        <v>98</v>
      </c>
      <c r="Q241" s="2" t="s">
        <v>99</v>
      </c>
      <c r="R241" s="2" t="s">
        <v>100</v>
      </c>
      <c r="S241" s="2" t="s">
        <v>1325</v>
      </c>
      <c r="T241" s="2" t="s">
        <v>220</v>
      </c>
      <c r="U241" s="2" t="s">
        <v>780</v>
      </c>
      <c r="V241" s="2" t="s">
        <v>221</v>
      </c>
      <c r="W241" s="2" t="s">
        <v>103</v>
      </c>
      <c r="X241" s="2" t="s">
        <v>100</v>
      </c>
      <c r="Y241" s="2" t="s">
        <v>725</v>
      </c>
      <c r="Z241" s="4">
        <v>1008</v>
      </c>
      <c r="AA241" s="4">
        <f>=ROUNDDOWN(11.5862068965517,0)</f>
      </c>
      <c r="AB241" s="5">
        <v>87</v>
      </c>
      <c r="AC241" s="2" t="s">
        <v>1327</v>
      </c>
      <c r="AD241" s="4">
        <v>290</v>
      </c>
      <c r="AE241" s="4">
        <v>2552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 t="s">
        <v>100</v>
      </c>
      <c r="BJ241" s="4">
        <v>1408</v>
      </c>
      <c r="BK241" s="8">
        <v>52290.2</v>
      </c>
      <c r="BL241" s="2" t="s">
        <v>1350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97</v>
      </c>
      <c r="BW241" s="2" t="s">
        <v>634</v>
      </c>
      <c r="BX241" s="2" t="s">
        <v>1351</v>
      </c>
      <c r="BY241" s="2" t="s">
        <v>109</v>
      </c>
      <c r="BZ241" s="2" t="s">
        <v>100</v>
      </c>
    </row>
    <row r="242">
      <c r="A242" s="2" t="s">
        <v>1352</v>
      </c>
      <c r="B242" s="2" t="s">
        <v>1183</v>
      </c>
      <c r="C242" s="2" t="s">
        <v>869</v>
      </c>
      <c r="D242" s="2" t="s">
        <v>1184</v>
      </c>
      <c r="E242" s="2" t="s">
        <v>776</v>
      </c>
      <c r="F242" s="2" t="s">
        <v>1323</v>
      </c>
      <c r="G242" s="2" t="s">
        <v>1323</v>
      </c>
      <c r="H242" s="2" t="s">
        <v>1323</v>
      </c>
      <c r="I242" s="2" t="s">
        <v>1334</v>
      </c>
      <c r="J242" s="2" t="s">
        <v>1335</v>
      </c>
      <c r="K242" s="2" t="s">
        <v>243</v>
      </c>
      <c r="L242" s="3">
        <v>33.6</v>
      </c>
      <c r="M242" s="3">
        <v>35.28</v>
      </c>
      <c r="N242" s="3">
        <v>69.99</v>
      </c>
      <c r="O242" s="2" t="s">
        <v>97</v>
      </c>
      <c r="P242" s="2" t="s">
        <v>1276</v>
      </c>
      <c r="Q242" s="2" t="s">
        <v>99</v>
      </c>
      <c r="R242" s="2" t="s">
        <v>100</v>
      </c>
      <c r="S242" s="2" t="s">
        <v>1325</v>
      </c>
      <c r="T242" s="2" t="s">
        <v>220</v>
      </c>
      <c r="U242" s="2" t="s">
        <v>931</v>
      </c>
      <c r="V242" s="2" t="s">
        <v>221</v>
      </c>
      <c r="W242" s="2" t="s">
        <v>222</v>
      </c>
      <c r="X242" s="2" t="s">
        <v>100</v>
      </c>
      <c r="Y242" s="2" t="s">
        <v>100</v>
      </c>
      <c r="Z242" s="4"/>
      <c r="AA242" s="4">
        <f>=ROUNDDOWN({0},0)</f>
      </c>
      <c r="AB242" s="5"/>
      <c r="AC242" s="2" t="s">
        <v>1336</v>
      </c>
      <c r="AD242" s="4">
        <v>326</v>
      </c>
      <c r="AE242" s="4">
        <v>710</v>
      </c>
      <c r="AF242" s="6">
        <v>67</v>
      </c>
      <c r="AG242" s="6"/>
      <c r="AH242" s="7">
        <v>0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100</v>
      </c>
      <c r="AW242" s="8" t="s">
        <v>100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 t="s">
        <v>100</v>
      </c>
      <c r="BJ242" s="4"/>
      <c r="BK242" s="8"/>
      <c r="BL242" s="2" t="s">
        <v>100</v>
      </c>
      <c r="BM242" s="7"/>
      <c r="BN242" s="7"/>
      <c r="BO242" s="4"/>
      <c r="BP242" s="8"/>
      <c r="BQ242" s="4"/>
      <c r="BR242" s="8"/>
      <c r="BS242" s="7"/>
      <c r="BT242" s="7"/>
      <c r="BU242" s="2" t="s">
        <v>1076</v>
      </c>
      <c r="BV242" s="2" t="s">
        <v>97</v>
      </c>
      <c r="BW242" s="2" t="s">
        <v>100</v>
      </c>
      <c r="BX242" s="2" t="s">
        <v>100</v>
      </c>
      <c r="BY242" s="2" t="s">
        <v>109</v>
      </c>
      <c r="BZ242" s="2" t="s">
        <v>100</v>
      </c>
    </row>
    <row r="243">
      <c r="A243" s="2" t="s">
        <v>1353</v>
      </c>
      <c r="B243" s="2" t="s">
        <v>1183</v>
      </c>
      <c r="C243" s="2" t="s">
        <v>869</v>
      </c>
      <c r="D243" s="2" t="s">
        <v>1184</v>
      </c>
      <c r="E243" s="2" t="s">
        <v>776</v>
      </c>
      <c r="F243" s="2" t="s">
        <v>1323</v>
      </c>
      <c r="G243" s="2" t="s">
        <v>1323</v>
      </c>
      <c r="H243" s="2" t="s">
        <v>1323</v>
      </c>
      <c r="I243" s="2" t="s">
        <v>1324</v>
      </c>
      <c r="J243" s="2" t="s">
        <v>778</v>
      </c>
      <c r="K243" s="2" t="s">
        <v>1354</v>
      </c>
      <c r="L243" s="3">
        <v>33.6</v>
      </c>
      <c r="M243" s="3">
        <v>35.28</v>
      </c>
      <c r="N243" s="3">
        <v>69.99</v>
      </c>
      <c r="O243" s="2" t="s">
        <v>97</v>
      </c>
      <c r="P243" s="2" t="s">
        <v>126</v>
      </c>
      <c r="Q243" s="2" t="s">
        <v>99</v>
      </c>
      <c r="R243" s="2" t="s">
        <v>100</v>
      </c>
      <c r="S243" s="2" t="s">
        <v>1325</v>
      </c>
      <c r="T243" s="2" t="s">
        <v>220</v>
      </c>
      <c r="U243" s="2" t="s">
        <v>780</v>
      </c>
      <c r="V243" s="2" t="s">
        <v>221</v>
      </c>
      <c r="W243" s="2" t="s">
        <v>103</v>
      </c>
      <c r="X243" s="2" t="s">
        <v>100</v>
      </c>
      <c r="Y243" s="2" t="s">
        <v>1355</v>
      </c>
      <c r="Z243" s="4">
        <v>507</v>
      </c>
      <c r="AA243" s="4">
        <f>=ROUNDDOWN(17.4827586206897,0)</f>
      </c>
      <c r="AB243" s="5">
        <v>29</v>
      </c>
      <c r="AC243" s="2" t="s">
        <v>1356</v>
      </c>
      <c r="AD243" s="4">
        <v>332</v>
      </c>
      <c r="AE243" s="4">
        <v>932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>
        <v>455</v>
      </c>
      <c r="BK243" s="8">
        <v>17101.77</v>
      </c>
      <c r="BL243" s="2" t="s">
        <v>1357</v>
      </c>
      <c r="BM243" s="7"/>
      <c r="BN243" s="7"/>
      <c r="BO243" s="4"/>
      <c r="BP243" s="8"/>
      <c r="BQ243" s="4"/>
      <c r="BR243" s="8"/>
      <c r="BS243" s="7"/>
      <c r="BT243" s="7"/>
      <c r="BU243" s="2" t="s">
        <v>106</v>
      </c>
      <c r="BV243" s="2" t="s">
        <v>97</v>
      </c>
      <c r="BW243" s="2" t="s">
        <v>225</v>
      </c>
      <c r="BX243" s="2" t="s">
        <v>100</v>
      </c>
      <c r="BY243" s="2" t="s">
        <v>109</v>
      </c>
      <c r="BZ243" s="2" t="s">
        <v>100</v>
      </c>
    </row>
    <row r="244">
      <c r="A244" s="2" t="s">
        <v>1358</v>
      </c>
      <c r="B244" s="2" t="s">
        <v>1183</v>
      </c>
      <c r="C244" s="2" t="s">
        <v>869</v>
      </c>
      <c r="D244" s="2" t="s">
        <v>1184</v>
      </c>
      <c r="E244" s="2" t="s">
        <v>776</v>
      </c>
      <c r="F244" s="2" t="s">
        <v>1323</v>
      </c>
      <c r="G244" s="2" t="s">
        <v>1323</v>
      </c>
      <c r="H244" s="2" t="s">
        <v>1323</v>
      </c>
      <c r="I244" s="2" t="s">
        <v>1324</v>
      </c>
      <c r="J244" s="2" t="s">
        <v>778</v>
      </c>
      <c r="K244" s="2" t="s">
        <v>1359</v>
      </c>
      <c r="L244" s="3">
        <v>33.6</v>
      </c>
      <c r="M244" s="3">
        <v>35.28</v>
      </c>
      <c r="N244" s="3">
        <v>69.99</v>
      </c>
      <c r="O244" s="2" t="s">
        <v>97</v>
      </c>
      <c r="P244" s="2" t="s">
        <v>175</v>
      </c>
      <c r="Q244" s="2" t="s">
        <v>99</v>
      </c>
      <c r="R244" s="2" t="s">
        <v>100</v>
      </c>
      <c r="S244" s="2" t="s">
        <v>1325</v>
      </c>
      <c r="T244" s="2" t="s">
        <v>220</v>
      </c>
      <c r="U244" s="2" t="s">
        <v>780</v>
      </c>
      <c r="V244" s="2" t="s">
        <v>221</v>
      </c>
      <c r="W244" s="2" t="s">
        <v>103</v>
      </c>
      <c r="X244" s="2" t="s">
        <v>100</v>
      </c>
      <c r="Y244" s="2" t="s">
        <v>578</v>
      </c>
      <c r="Z244" s="4">
        <v>121</v>
      </c>
      <c r="AA244" s="4">
        <f>=ROUNDDOWN(2.57446808510638,0)</f>
      </c>
      <c r="AB244" s="5">
        <v>47</v>
      </c>
      <c r="AC244" s="2" t="s">
        <v>1327</v>
      </c>
      <c r="AD244" s="4">
        <v>129</v>
      </c>
      <c r="AE244" s="4">
        <v>1854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/>
      <c r="BJ244" s="4">
        <v>779</v>
      </c>
      <c r="BK244" s="8">
        <v>28815.69</v>
      </c>
      <c r="BL244" s="2" t="s">
        <v>1234</v>
      </c>
      <c r="BM244" s="7"/>
      <c r="BN244" s="7"/>
      <c r="BO244" s="4"/>
      <c r="BP244" s="8"/>
      <c r="BQ244" s="4"/>
      <c r="BR244" s="8"/>
      <c r="BS244" s="7"/>
      <c r="BT244" s="7"/>
      <c r="BU244" s="2" t="s">
        <v>106</v>
      </c>
      <c r="BV244" s="2" t="s">
        <v>97</v>
      </c>
      <c r="BW244" s="2" t="s">
        <v>442</v>
      </c>
      <c r="BX244" s="2" t="s">
        <v>427</v>
      </c>
      <c r="BY244" s="2" t="s">
        <v>109</v>
      </c>
      <c r="BZ244" s="2" t="s">
        <v>100</v>
      </c>
    </row>
    <row r="245">
      <c r="A245" s="2" t="s">
        <v>1360</v>
      </c>
      <c r="B245" s="2" t="s">
        <v>1183</v>
      </c>
      <c r="C245" s="2" t="s">
        <v>869</v>
      </c>
      <c r="D245" s="2" t="s">
        <v>1184</v>
      </c>
      <c r="E245" s="2" t="s">
        <v>776</v>
      </c>
      <c r="F245" s="2" t="s">
        <v>1323</v>
      </c>
      <c r="G245" s="2" t="s">
        <v>1323</v>
      </c>
      <c r="H245" s="2" t="s">
        <v>1323</v>
      </c>
      <c r="I245" s="2" t="s">
        <v>1334</v>
      </c>
      <c r="J245" s="2" t="s">
        <v>1335</v>
      </c>
      <c r="K245" s="2" t="s">
        <v>1108</v>
      </c>
      <c r="L245" s="3">
        <v>33.6</v>
      </c>
      <c r="M245" s="3">
        <v>35.28</v>
      </c>
      <c r="N245" s="3">
        <v>69.99</v>
      </c>
      <c r="O245" s="2" t="s">
        <v>97</v>
      </c>
      <c r="P245" s="2" t="s">
        <v>1276</v>
      </c>
      <c r="Q245" s="2" t="s">
        <v>99</v>
      </c>
      <c r="R245" s="2" t="s">
        <v>100</v>
      </c>
      <c r="S245" s="2" t="s">
        <v>1325</v>
      </c>
      <c r="T245" s="2" t="s">
        <v>220</v>
      </c>
      <c r="U245" s="2" t="s">
        <v>931</v>
      </c>
      <c r="V245" s="2" t="s">
        <v>221</v>
      </c>
      <c r="W245" s="2" t="s">
        <v>222</v>
      </c>
      <c r="X245" s="2" t="s">
        <v>100</v>
      </c>
      <c r="Y245" s="2" t="s">
        <v>100</v>
      </c>
      <c r="Z245" s="4"/>
      <c r="AA245" s="4">
        <f>=ROUNDDOWN({0},0)</f>
      </c>
      <c r="AB245" s="5"/>
      <c r="AC245" s="2" t="s">
        <v>1336</v>
      </c>
      <c r="AD245" s="4">
        <v>296</v>
      </c>
      <c r="AE245" s="4">
        <v>720</v>
      </c>
      <c r="AF245" s="6">
        <v>67</v>
      </c>
      <c r="AG245" s="6"/>
      <c r="AH245" s="7">
        <v>0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/>
      <c r="BJ245" s="4"/>
      <c r="BK245" s="8"/>
      <c r="BL245" s="2" t="s">
        <v>100</v>
      </c>
      <c r="BM245" s="7"/>
      <c r="BN245" s="7"/>
      <c r="BO245" s="4"/>
      <c r="BP245" s="8"/>
      <c r="BQ245" s="4"/>
      <c r="BR245" s="8"/>
      <c r="BS245" s="7"/>
      <c r="BT245" s="7"/>
      <c r="BU245" s="2" t="s">
        <v>1076</v>
      </c>
      <c r="BV245" s="2" t="s">
        <v>97</v>
      </c>
      <c r="BW245" s="2" t="s">
        <v>100</v>
      </c>
      <c r="BX245" s="2" t="s">
        <v>100</v>
      </c>
      <c r="BY245" s="2" t="s">
        <v>109</v>
      </c>
      <c r="BZ245" s="2" t="s">
        <v>100</v>
      </c>
    </row>
    <row r="246">
      <c r="A246" s="2" t="s">
        <v>1361</v>
      </c>
      <c r="B246" s="2" t="s">
        <v>1183</v>
      </c>
      <c r="C246" s="2" t="s">
        <v>869</v>
      </c>
      <c r="D246" s="2" t="s">
        <v>1184</v>
      </c>
      <c r="E246" s="2" t="s">
        <v>776</v>
      </c>
      <c r="F246" s="2" t="s">
        <v>1323</v>
      </c>
      <c r="G246" s="2" t="s">
        <v>1323</v>
      </c>
      <c r="H246" s="2" t="s">
        <v>1323</v>
      </c>
      <c r="I246" s="2" t="s">
        <v>1324</v>
      </c>
      <c r="J246" s="2" t="s">
        <v>778</v>
      </c>
      <c r="K246" s="2" t="s">
        <v>139</v>
      </c>
      <c r="L246" s="3">
        <v>33.6</v>
      </c>
      <c r="M246" s="3">
        <v>35.28</v>
      </c>
      <c r="N246" s="3">
        <v>69.99</v>
      </c>
      <c r="O246" s="2" t="s">
        <v>97</v>
      </c>
      <c r="P246" s="2" t="s">
        <v>113</v>
      </c>
      <c r="Q246" s="2" t="s">
        <v>99</v>
      </c>
      <c r="R246" s="2" t="s">
        <v>100</v>
      </c>
      <c r="S246" s="2" t="s">
        <v>1325</v>
      </c>
      <c r="T246" s="2" t="s">
        <v>220</v>
      </c>
      <c r="U246" s="2" t="s">
        <v>780</v>
      </c>
      <c r="V246" s="2" t="s">
        <v>221</v>
      </c>
      <c r="W246" s="2" t="s">
        <v>178</v>
      </c>
      <c r="X246" s="2" t="s">
        <v>100</v>
      </c>
      <c r="Y246" s="2" t="s">
        <v>695</v>
      </c>
      <c r="Z246" s="4">
        <v>756</v>
      </c>
      <c r="AA246" s="4">
        <f>=ROUNDDOWN(11.8125,0)</f>
      </c>
      <c r="AB246" s="5">
        <v>64</v>
      </c>
      <c r="AC246" s="2" t="s">
        <v>1327</v>
      </c>
      <c r="AD246" s="4">
        <v>304</v>
      </c>
      <c r="AE246" s="4">
        <v>2337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>
        <v>1016</v>
      </c>
      <c r="BK246" s="8">
        <v>38238.74</v>
      </c>
      <c r="BL246" s="2" t="s">
        <v>1362</v>
      </c>
      <c r="BM246" s="7"/>
      <c r="BN246" s="7"/>
      <c r="BO246" s="4"/>
      <c r="BP246" s="8"/>
      <c r="BQ246" s="4"/>
      <c r="BR246" s="8"/>
      <c r="BS246" s="7"/>
      <c r="BT246" s="7"/>
      <c r="BU246" s="2" t="s">
        <v>106</v>
      </c>
      <c r="BV246" s="2" t="s">
        <v>97</v>
      </c>
      <c r="BW246" s="2" t="s">
        <v>225</v>
      </c>
      <c r="BX246" s="2" t="s">
        <v>1363</v>
      </c>
      <c r="BY246" s="2" t="s">
        <v>109</v>
      </c>
      <c r="BZ246" s="2" t="s">
        <v>100</v>
      </c>
    </row>
    <row r="247">
      <c r="A247" s="2" t="s">
        <v>1364</v>
      </c>
      <c r="B247" s="2" t="s">
        <v>1183</v>
      </c>
      <c r="C247" s="2" t="s">
        <v>869</v>
      </c>
      <c r="D247" s="2" t="s">
        <v>1184</v>
      </c>
      <c r="E247" s="2" t="s">
        <v>776</v>
      </c>
      <c r="F247" s="2" t="s">
        <v>1323</v>
      </c>
      <c r="G247" s="2" t="s">
        <v>1323</v>
      </c>
      <c r="H247" s="2" t="s">
        <v>1323</v>
      </c>
      <c r="I247" s="2" t="s">
        <v>1324</v>
      </c>
      <c r="J247" s="2" t="s">
        <v>778</v>
      </c>
      <c r="K247" s="2" t="s">
        <v>320</v>
      </c>
      <c r="L247" s="3">
        <v>33.6</v>
      </c>
      <c r="M247" s="3">
        <v>35.28</v>
      </c>
      <c r="N247" s="3">
        <v>69.99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1325</v>
      </c>
      <c r="T247" s="2" t="s">
        <v>220</v>
      </c>
      <c r="U247" s="2" t="s">
        <v>780</v>
      </c>
      <c r="V247" s="2" t="s">
        <v>221</v>
      </c>
      <c r="W247" s="2" t="s">
        <v>103</v>
      </c>
      <c r="X247" s="2" t="s">
        <v>100</v>
      </c>
      <c r="Y247" s="2" t="s">
        <v>725</v>
      </c>
      <c r="Z247" s="4">
        <v>935</v>
      </c>
      <c r="AA247" s="4">
        <f>=ROUNDDOWN(10.7471264367816,0)</f>
      </c>
      <c r="AB247" s="5">
        <v>87</v>
      </c>
      <c r="AC247" s="2" t="s">
        <v>1327</v>
      </c>
      <c r="AD247" s="4">
        <v>299</v>
      </c>
      <c r="AE247" s="4">
        <v>2719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>
        <v>1402</v>
      </c>
      <c r="BK247" s="8">
        <v>51806.85</v>
      </c>
      <c r="BL247" s="2" t="s">
        <v>1365</v>
      </c>
      <c r="BM247" s="7"/>
      <c r="BN247" s="7"/>
      <c r="BO247" s="4"/>
      <c r="BP247" s="8"/>
      <c r="BQ247" s="4"/>
      <c r="BR247" s="8"/>
      <c r="BS247" s="7"/>
      <c r="BT247" s="7"/>
      <c r="BU247" s="2" t="s">
        <v>106</v>
      </c>
      <c r="BV247" s="2" t="s">
        <v>97</v>
      </c>
      <c r="BW247" s="2" t="s">
        <v>634</v>
      </c>
      <c r="BX247" s="2" t="s">
        <v>1366</v>
      </c>
      <c r="BY247" s="2" t="s">
        <v>109</v>
      </c>
      <c r="BZ247" s="2" t="s">
        <v>100</v>
      </c>
    </row>
    <row r="248">
      <c r="A248" s="2" t="s">
        <v>1367</v>
      </c>
      <c r="B248" s="2" t="s">
        <v>1183</v>
      </c>
      <c r="C248" s="2" t="s">
        <v>869</v>
      </c>
      <c r="D248" s="2" t="s">
        <v>1184</v>
      </c>
      <c r="E248" s="2" t="s">
        <v>776</v>
      </c>
      <c r="F248" s="2" t="s">
        <v>1368</v>
      </c>
      <c r="G248" s="2" t="s">
        <v>1368</v>
      </c>
      <c r="H248" s="2" t="s">
        <v>1368</v>
      </c>
      <c r="I248" s="2" t="s">
        <v>1369</v>
      </c>
      <c r="J248" s="2" t="s">
        <v>763</v>
      </c>
      <c r="K248" s="2" t="s">
        <v>742</v>
      </c>
      <c r="L248" s="3">
        <v>42.75</v>
      </c>
      <c r="M248" s="3">
        <v>44.89</v>
      </c>
      <c r="N248" s="3">
        <v>94.99</v>
      </c>
      <c r="O248" s="2" t="s">
        <v>97</v>
      </c>
      <c r="P248" s="2" t="s">
        <v>126</v>
      </c>
      <c r="Q248" s="2" t="s">
        <v>99</v>
      </c>
      <c r="R248" s="2" t="s">
        <v>100</v>
      </c>
      <c r="S248" s="2" t="s">
        <v>1370</v>
      </c>
      <c r="T248" s="2" t="s">
        <v>220</v>
      </c>
      <c r="U248" s="2" t="s">
        <v>780</v>
      </c>
      <c r="V248" s="2" t="s">
        <v>221</v>
      </c>
      <c r="W248" s="2" t="s">
        <v>536</v>
      </c>
      <c r="X248" s="2" t="s">
        <v>103</v>
      </c>
      <c r="Y248" s="2" t="s">
        <v>1371</v>
      </c>
      <c r="Z248" s="4">
        <v>402</v>
      </c>
      <c r="AA248" s="4">
        <f>=ROUNDDOWN(57.4285714285714,0)</f>
      </c>
      <c r="AB248" s="5">
        <v>7</v>
      </c>
      <c r="AC248" s="2" t="s">
        <v>1372</v>
      </c>
      <c r="AD248" s="4">
        <v>490</v>
      </c>
      <c r="AE248" s="4">
        <v>490</v>
      </c>
      <c r="AF248" s="6">
        <v>73</v>
      </c>
      <c r="AG248" s="6"/>
      <c r="AH248" s="7">
        <v>0.9737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>
        <v>86</v>
      </c>
      <c r="BK248" s="8">
        <v>4027.19</v>
      </c>
      <c r="BL248" s="2" t="s">
        <v>1373</v>
      </c>
      <c r="BM248" s="7"/>
      <c r="BN248" s="7"/>
      <c r="BO248" s="4"/>
      <c r="BP248" s="8"/>
      <c r="BQ248" s="4"/>
      <c r="BR248" s="8"/>
      <c r="BS248" s="7"/>
      <c r="BT248" s="7"/>
      <c r="BU248" s="2" t="s">
        <v>200</v>
      </c>
      <c r="BV248" s="2" t="s">
        <v>97</v>
      </c>
      <c r="BW248" s="2" t="s">
        <v>100</v>
      </c>
      <c r="BX248" s="2" t="s">
        <v>100</v>
      </c>
      <c r="BY248" s="2" t="s">
        <v>109</v>
      </c>
      <c r="BZ248" s="2" t="s">
        <v>100</v>
      </c>
    </row>
    <row r="249">
      <c r="A249" s="2" t="s">
        <v>1374</v>
      </c>
      <c r="B249" s="2" t="s">
        <v>1183</v>
      </c>
      <c r="C249" s="2" t="s">
        <v>869</v>
      </c>
      <c r="D249" s="2" t="s">
        <v>1184</v>
      </c>
      <c r="E249" s="2" t="s">
        <v>776</v>
      </c>
      <c r="F249" s="2" t="s">
        <v>1368</v>
      </c>
      <c r="G249" s="2" t="s">
        <v>1368</v>
      </c>
      <c r="H249" s="2" t="s">
        <v>1368</v>
      </c>
      <c r="I249" s="2" t="s">
        <v>1369</v>
      </c>
      <c r="J249" s="2" t="s">
        <v>763</v>
      </c>
      <c r="K249" s="2" t="s">
        <v>1375</v>
      </c>
      <c r="L249" s="3">
        <v>42.75</v>
      </c>
      <c r="M249" s="3">
        <v>44.89</v>
      </c>
      <c r="N249" s="3">
        <v>94.99</v>
      </c>
      <c r="O249" s="2" t="s">
        <v>97</v>
      </c>
      <c r="P249" s="2" t="s">
        <v>175</v>
      </c>
      <c r="Q249" s="2" t="s">
        <v>99</v>
      </c>
      <c r="R249" s="2" t="s">
        <v>100</v>
      </c>
      <c r="S249" s="2" t="s">
        <v>1370</v>
      </c>
      <c r="T249" s="2" t="s">
        <v>220</v>
      </c>
      <c r="U249" s="2" t="s">
        <v>780</v>
      </c>
      <c r="V249" s="2" t="s">
        <v>221</v>
      </c>
      <c r="W249" s="2" t="s">
        <v>536</v>
      </c>
      <c r="X249" s="2" t="s">
        <v>103</v>
      </c>
      <c r="Y249" s="2" t="s">
        <v>1376</v>
      </c>
      <c r="Z249" s="4">
        <v>316</v>
      </c>
      <c r="AA249" s="4">
        <f>=ROUNDDOWN(24.3076923076923,0)</f>
      </c>
      <c r="AB249" s="5">
        <v>13</v>
      </c>
      <c r="AC249" s="2" t="s">
        <v>1372</v>
      </c>
      <c r="AD249" s="4">
        <v>490</v>
      </c>
      <c r="AE249" s="4">
        <v>490</v>
      </c>
      <c r="AF249" s="6">
        <v>73</v>
      </c>
      <c r="AG249" s="6"/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/>
      <c r="BJ249" s="4">
        <v>214</v>
      </c>
      <c r="BK249" s="8">
        <v>9960.5</v>
      </c>
      <c r="BL249" s="2" t="s">
        <v>1377</v>
      </c>
      <c r="BM249" s="7"/>
      <c r="BN249" s="7"/>
      <c r="BO249" s="4"/>
      <c r="BP249" s="8"/>
      <c r="BQ249" s="4"/>
      <c r="BR249" s="8"/>
      <c r="BS249" s="7"/>
      <c r="BT249" s="7"/>
      <c r="BU249" s="2" t="s">
        <v>106</v>
      </c>
      <c r="BV249" s="2" t="s">
        <v>97</v>
      </c>
      <c r="BW249" s="2" t="s">
        <v>1378</v>
      </c>
      <c r="BX249" s="2" t="s">
        <v>1379</v>
      </c>
      <c r="BY249" s="2" t="s">
        <v>109</v>
      </c>
      <c r="BZ249" s="2" t="s">
        <v>100</v>
      </c>
    </row>
    <row r="250">
      <c r="A250" s="2" t="s">
        <v>1380</v>
      </c>
      <c r="B250" s="2" t="s">
        <v>1183</v>
      </c>
      <c r="C250" s="2" t="s">
        <v>869</v>
      </c>
      <c r="D250" s="2" t="s">
        <v>1184</v>
      </c>
      <c r="E250" s="2" t="s">
        <v>776</v>
      </c>
      <c r="F250" s="2" t="s">
        <v>1368</v>
      </c>
      <c r="G250" s="2" t="s">
        <v>1368</v>
      </c>
      <c r="H250" s="2" t="s">
        <v>1368</v>
      </c>
      <c r="I250" s="2" t="s">
        <v>1369</v>
      </c>
      <c r="J250" s="2" t="s">
        <v>763</v>
      </c>
      <c r="K250" s="2" t="s">
        <v>243</v>
      </c>
      <c r="L250" s="3">
        <v>42.75</v>
      </c>
      <c r="M250" s="3">
        <v>44.89</v>
      </c>
      <c r="N250" s="3">
        <v>94.99</v>
      </c>
      <c r="O250" s="2" t="s">
        <v>97</v>
      </c>
      <c r="P250" s="2" t="s">
        <v>126</v>
      </c>
      <c r="Q250" s="2" t="s">
        <v>99</v>
      </c>
      <c r="R250" s="2" t="s">
        <v>100</v>
      </c>
      <c r="S250" s="2" t="s">
        <v>1370</v>
      </c>
      <c r="T250" s="2" t="s">
        <v>220</v>
      </c>
      <c r="U250" s="2" t="s">
        <v>780</v>
      </c>
      <c r="V250" s="2" t="s">
        <v>221</v>
      </c>
      <c r="W250" s="2" t="s">
        <v>536</v>
      </c>
      <c r="X250" s="2" t="s">
        <v>103</v>
      </c>
      <c r="Y250" s="2" t="s">
        <v>1371</v>
      </c>
      <c r="Z250" s="4">
        <v>364</v>
      </c>
      <c r="AA250" s="4">
        <f>=ROUNDDOWN(45.5,0)</f>
      </c>
      <c r="AB250" s="5">
        <v>8</v>
      </c>
      <c r="AC250" s="2" t="s">
        <v>1372</v>
      </c>
      <c r="AD250" s="4">
        <v>490</v>
      </c>
      <c r="AE250" s="4">
        <v>490</v>
      </c>
      <c r="AF250" s="6">
        <v>73</v>
      </c>
      <c r="AG250" s="6"/>
      <c r="AH250" s="7">
        <v>0.9649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/>
      <c r="BJ250" s="4">
        <v>119</v>
      </c>
      <c r="BK250" s="8">
        <v>5548.48</v>
      </c>
      <c r="BL250" s="2" t="s">
        <v>1381</v>
      </c>
      <c r="BM250" s="7"/>
      <c r="BN250" s="7"/>
      <c r="BO250" s="4"/>
      <c r="BP250" s="8"/>
      <c r="BQ250" s="4"/>
      <c r="BR250" s="8"/>
      <c r="BS250" s="7"/>
      <c r="BT250" s="7"/>
      <c r="BU250" s="2" t="s">
        <v>200</v>
      </c>
      <c r="BV250" s="2" t="s">
        <v>97</v>
      </c>
      <c r="BW250" s="2" t="s">
        <v>100</v>
      </c>
      <c r="BX250" s="2" t="s">
        <v>100</v>
      </c>
      <c r="BY250" s="2" t="s">
        <v>109</v>
      </c>
      <c r="BZ250" s="2" t="s">
        <v>100</v>
      </c>
    </row>
    <row r="251">
      <c r="A251" s="2" t="s">
        <v>1382</v>
      </c>
      <c r="B251" s="2" t="s">
        <v>1183</v>
      </c>
      <c r="C251" s="2" t="s">
        <v>869</v>
      </c>
      <c r="D251" s="2" t="s">
        <v>1184</v>
      </c>
      <c r="E251" s="2" t="s">
        <v>776</v>
      </c>
      <c r="F251" s="2" t="s">
        <v>1368</v>
      </c>
      <c r="G251" s="2" t="s">
        <v>1368</v>
      </c>
      <c r="H251" s="2" t="s">
        <v>1368</v>
      </c>
      <c r="I251" s="2" t="s">
        <v>1369</v>
      </c>
      <c r="J251" s="2" t="s">
        <v>763</v>
      </c>
      <c r="K251" s="2" t="s">
        <v>118</v>
      </c>
      <c r="L251" s="3">
        <v>42.75</v>
      </c>
      <c r="M251" s="3">
        <v>44.89</v>
      </c>
      <c r="N251" s="3">
        <v>94.99</v>
      </c>
      <c r="O251" s="2" t="s">
        <v>97</v>
      </c>
      <c r="P251" s="2" t="s">
        <v>175</v>
      </c>
      <c r="Q251" s="2" t="s">
        <v>99</v>
      </c>
      <c r="R251" s="2" t="s">
        <v>100</v>
      </c>
      <c r="S251" s="2" t="s">
        <v>1370</v>
      </c>
      <c r="T251" s="2" t="s">
        <v>220</v>
      </c>
      <c r="U251" s="2" t="s">
        <v>780</v>
      </c>
      <c r="V251" s="2" t="s">
        <v>221</v>
      </c>
      <c r="W251" s="2" t="s">
        <v>536</v>
      </c>
      <c r="X251" s="2" t="s">
        <v>103</v>
      </c>
      <c r="Y251" s="2" t="s">
        <v>1383</v>
      </c>
      <c r="Z251" s="4">
        <v>435</v>
      </c>
      <c r="AA251" s="4">
        <f>=ROUNDDOWN(39.5454545454545,0)</f>
      </c>
      <c r="AB251" s="5">
        <v>11</v>
      </c>
      <c r="AC251" s="2" t="s">
        <v>1372</v>
      </c>
      <c r="AD251" s="4">
        <v>490</v>
      </c>
      <c r="AE251" s="4">
        <v>490</v>
      </c>
      <c r="AF251" s="6">
        <v>73</v>
      </c>
      <c r="AG251" s="6"/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/>
      <c r="BJ251" s="4">
        <v>192</v>
      </c>
      <c r="BK251" s="8">
        <v>9073.83</v>
      </c>
      <c r="BL251" s="2" t="s">
        <v>1384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97</v>
      </c>
      <c r="BW251" s="2" t="s">
        <v>1227</v>
      </c>
      <c r="BX251" s="2" t="s">
        <v>1379</v>
      </c>
      <c r="BY251" s="2" t="s">
        <v>109</v>
      </c>
      <c r="BZ251" s="2" t="s">
        <v>100</v>
      </c>
    </row>
    <row r="252">
      <c r="A252" s="2" t="s">
        <v>1385</v>
      </c>
      <c r="B252" s="2" t="s">
        <v>1183</v>
      </c>
      <c r="C252" s="2" t="s">
        <v>869</v>
      </c>
      <c r="D252" s="2" t="s">
        <v>1184</v>
      </c>
      <c r="E252" s="2" t="s">
        <v>776</v>
      </c>
      <c r="F252" s="2" t="s">
        <v>1368</v>
      </c>
      <c r="G252" s="2" t="s">
        <v>1368</v>
      </c>
      <c r="H252" s="2" t="s">
        <v>1368</v>
      </c>
      <c r="I252" s="2" t="s">
        <v>1369</v>
      </c>
      <c r="J252" s="2" t="s">
        <v>763</v>
      </c>
      <c r="K252" s="2" t="s">
        <v>429</v>
      </c>
      <c r="L252" s="3">
        <v>42.75</v>
      </c>
      <c r="M252" s="3">
        <v>44.89</v>
      </c>
      <c r="N252" s="3">
        <v>94.99</v>
      </c>
      <c r="O252" s="2" t="s">
        <v>97</v>
      </c>
      <c r="P252" s="2" t="s">
        <v>98</v>
      </c>
      <c r="Q252" s="2" t="s">
        <v>99</v>
      </c>
      <c r="R252" s="2" t="s">
        <v>100</v>
      </c>
      <c r="S252" s="2" t="s">
        <v>1370</v>
      </c>
      <c r="T252" s="2" t="s">
        <v>220</v>
      </c>
      <c r="U252" s="2" t="s">
        <v>780</v>
      </c>
      <c r="V252" s="2" t="s">
        <v>221</v>
      </c>
      <c r="W252" s="2" t="s">
        <v>536</v>
      </c>
      <c r="X252" s="2" t="s">
        <v>103</v>
      </c>
      <c r="Y252" s="2" t="s">
        <v>1376</v>
      </c>
      <c r="Z252" s="4">
        <v>303</v>
      </c>
      <c r="AA252" s="4">
        <f>=ROUNDDOWN(20.2,0)</f>
      </c>
      <c r="AB252" s="5">
        <v>15</v>
      </c>
      <c r="AC252" s="2" t="s">
        <v>1372</v>
      </c>
      <c r="AD252" s="4">
        <v>490</v>
      </c>
      <c r="AE252" s="4">
        <v>490</v>
      </c>
      <c r="AF252" s="6">
        <v>73</v>
      </c>
      <c r="AG252" s="6"/>
      <c r="AH252" s="7">
        <v>0.9737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/>
      <c r="BJ252" s="4">
        <v>197</v>
      </c>
      <c r="BK252" s="8">
        <v>9286.34</v>
      </c>
      <c r="BL252" s="2" t="s">
        <v>1386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97</v>
      </c>
      <c r="BW252" s="2" t="s">
        <v>1378</v>
      </c>
      <c r="BX252" s="2" t="s">
        <v>1387</v>
      </c>
      <c r="BY252" s="2" t="s">
        <v>109</v>
      </c>
      <c r="BZ252" s="2" t="s">
        <v>100</v>
      </c>
    </row>
    <row r="253">
      <c r="A253" s="2" t="s">
        <v>1388</v>
      </c>
      <c r="B253" s="2" t="s">
        <v>1183</v>
      </c>
      <c r="C253" s="2" t="s">
        <v>869</v>
      </c>
      <c r="D253" s="2" t="s">
        <v>1184</v>
      </c>
      <c r="E253" s="2" t="s">
        <v>776</v>
      </c>
      <c r="F253" s="2" t="s">
        <v>1368</v>
      </c>
      <c r="G253" s="2" t="s">
        <v>1368</v>
      </c>
      <c r="H253" s="2" t="s">
        <v>1368</v>
      </c>
      <c r="I253" s="2" t="s">
        <v>1369</v>
      </c>
      <c r="J253" s="2" t="s">
        <v>763</v>
      </c>
      <c r="K253" s="2" t="s">
        <v>218</v>
      </c>
      <c r="L253" s="3">
        <v>42.75</v>
      </c>
      <c r="M253" s="3">
        <v>44.89</v>
      </c>
      <c r="N253" s="3">
        <v>94.99</v>
      </c>
      <c r="O253" s="2" t="s">
        <v>97</v>
      </c>
      <c r="P253" s="2" t="s">
        <v>98</v>
      </c>
      <c r="Q253" s="2" t="s">
        <v>99</v>
      </c>
      <c r="R253" s="2" t="s">
        <v>100</v>
      </c>
      <c r="S253" s="2" t="s">
        <v>1370</v>
      </c>
      <c r="T253" s="2" t="s">
        <v>220</v>
      </c>
      <c r="U253" s="2" t="s">
        <v>780</v>
      </c>
      <c r="V253" s="2" t="s">
        <v>221</v>
      </c>
      <c r="W253" s="2" t="s">
        <v>536</v>
      </c>
      <c r="X253" s="2" t="s">
        <v>103</v>
      </c>
      <c r="Y253" s="2" t="s">
        <v>1376</v>
      </c>
      <c r="Z253" s="4">
        <v>281</v>
      </c>
      <c r="AA253" s="4">
        <f>=ROUNDDOWN(20.0714285714286,0)</f>
      </c>
      <c r="AB253" s="5">
        <v>14</v>
      </c>
      <c r="AC253" s="2" t="s">
        <v>1372</v>
      </c>
      <c r="AD253" s="4">
        <v>700</v>
      </c>
      <c r="AE253" s="4">
        <v>700</v>
      </c>
      <c r="AF253" s="6">
        <v>73</v>
      </c>
      <c r="AG253" s="6"/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/>
      <c r="BJ253" s="4">
        <v>226</v>
      </c>
      <c r="BK253" s="8">
        <v>10645.95</v>
      </c>
      <c r="BL253" s="2" t="s">
        <v>1389</v>
      </c>
      <c r="BM253" s="7"/>
      <c r="BN253" s="7"/>
      <c r="BO253" s="4"/>
      <c r="BP253" s="8"/>
      <c r="BQ253" s="4"/>
      <c r="BR253" s="8"/>
      <c r="BS253" s="7"/>
      <c r="BT253" s="7"/>
      <c r="BU253" s="2" t="s">
        <v>106</v>
      </c>
      <c r="BV253" s="2" t="s">
        <v>97</v>
      </c>
      <c r="BW253" s="2" t="s">
        <v>578</v>
      </c>
      <c r="BX253" s="2" t="s">
        <v>1390</v>
      </c>
      <c r="BY253" s="2" t="s">
        <v>109</v>
      </c>
      <c r="BZ253" s="2" t="s">
        <v>100</v>
      </c>
    </row>
    <row r="254">
      <c r="A254" s="2" t="s">
        <v>1391</v>
      </c>
      <c r="B254" s="2" t="s">
        <v>1183</v>
      </c>
      <c r="C254" s="2" t="s">
        <v>869</v>
      </c>
      <c r="D254" s="2" t="s">
        <v>1184</v>
      </c>
      <c r="E254" s="2" t="s">
        <v>776</v>
      </c>
      <c r="F254" s="2" t="s">
        <v>939</v>
      </c>
      <c r="G254" s="2" t="s">
        <v>939</v>
      </c>
      <c r="H254" s="2" t="s">
        <v>939</v>
      </c>
      <c r="I254" s="2" t="s">
        <v>1392</v>
      </c>
      <c r="J254" s="2" t="s">
        <v>763</v>
      </c>
      <c r="K254" s="2" t="s">
        <v>133</v>
      </c>
      <c r="L254" s="3">
        <v>50.4</v>
      </c>
      <c r="M254" s="3">
        <v>52.92</v>
      </c>
      <c r="N254" s="3">
        <v>104.99</v>
      </c>
      <c r="O254" s="2" t="s">
        <v>97</v>
      </c>
      <c r="P254" s="2" t="s">
        <v>113</v>
      </c>
      <c r="Q254" s="2" t="s">
        <v>99</v>
      </c>
      <c r="R254" s="2" t="s">
        <v>100</v>
      </c>
      <c r="S254" s="2" t="s">
        <v>1393</v>
      </c>
      <c r="T254" s="2" t="s">
        <v>220</v>
      </c>
      <c r="U254" s="2" t="s">
        <v>780</v>
      </c>
      <c r="V254" s="2" t="s">
        <v>221</v>
      </c>
      <c r="W254" s="2" t="s">
        <v>536</v>
      </c>
      <c r="X254" s="2" t="s">
        <v>150</v>
      </c>
      <c r="Y254" s="2" t="s">
        <v>1394</v>
      </c>
      <c r="Z254" s="4">
        <v>265</v>
      </c>
      <c r="AA254" s="4">
        <f>=ROUNDDOWN(12.0454545454545,0)</f>
      </c>
      <c r="AB254" s="5">
        <v>22</v>
      </c>
      <c r="AC254" s="2" t="s">
        <v>313</v>
      </c>
      <c r="AD254" s="4">
        <v>300</v>
      </c>
      <c r="AE254" s="4">
        <v>600</v>
      </c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/>
      <c r="BJ254" s="4">
        <v>309</v>
      </c>
      <c r="BK254" s="8">
        <v>17649.2</v>
      </c>
      <c r="BL254" s="2" t="s">
        <v>1395</v>
      </c>
      <c r="BM254" s="7"/>
      <c r="BN254" s="7"/>
      <c r="BO254" s="4"/>
      <c r="BP254" s="8"/>
      <c r="BQ254" s="4"/>
      <c r="BR254" s="8"/>
      <c r="BS254" s="7"/>
      <c r="BT254" s="7"/>
      <c r="BU254" s="2" t="s">
        <v>106</v>
      </c>
      <c r="BV254" s="2" t="s">
        <v>97</v>
      </c>
      <c r="BW254" s="2" t="s">
        <v>1189</v>
      </c>
      <c r="BX254" s="2" t="s">
        <v>1396</v>
      </c>
      <c r="BY254" s="2" t="s">
        <v>109</v>
      </c>
      <c r="BZ254" s="2" t="s">
        <v>100</v>
      </c>
    </row>
    <row r="255">
      <c r="A255" s="2" t="s">
        <v>1397</v>
      </c>
      <c r="B255" s="2" t="s">
        <v>1183</v>
      </c>
      <c r="C255" s="2" t="s">
        <v>869</v>
      </c>
      <c r="D255" s="2" t="s">
        <v>1184</v>
      </c>
      <c r="E255" s="2" t="s">
        <v>776</v>
      </c>
      <c r="F255" s="2" t="s">
        <v>939</v>
      </c>
      <c r="G255" s="2" t="s">
        <v>939</v>
      </c>
      <c r="H255" s="2" t="s">
        <v>939</v>
      </c>
      <c r="I255" s="2" t="s">
        <v>1392</v>
      </c>
      <c r="J255" s="2" t="s">
        <v>763</v>
      </c>
      <c r="K255" s="2" t="s">
        <v>742</v>
      </c>
      <c r="L255" s="3">
        <v>50.4</v>
      </c>
      <c r="M255" s="3">
        <v>52.92</v>
      </c>
      <c r="N255" s="3">
        <v>104.99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1393</v>
      </c>
      <c r="T255" s="2" t="s">
        <v>220</v>
      </c>
      <c r="U255" s="2" t="s">
        <v>780</v>
      </c>
      <c r="V255" s="2" t="s">
        <v>221</v>
      </c>
      <c r="W255" s="2" t="s">
        <v>536</v>
      </c>
      <c r="X255" s="2" t="s">
        <v>150</v>
      </c>
      <c r="Y255" s="2" t="s">
        <v>1398</v>
      </c>
      <c r="Z255" s="4">
        <v>159</v>
      </c>
      <c r="AA255" s="4">
        <f>=ROUNDDOWN(9.9375,0)</f>
      </c>
      <c r="AB255" s="5">
        <v>16</v>
      </c>
      <c r="AC255" s="2" t="s">
        <v>313</v>
      </c>
      <c r="AD255" s="4">
        <v>600</v>
      </c>
      <c r="AE255" s="4">
        <v>900</v>
      </c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>
        <v>261</v>
      </c>
      <c r="BK255" s="8">
        <v>14450.29</v>
      </c>
      <c r="BL255" s="2" t="s">
        <v>1399</v>
      </c>
      <c r="BM255" s="7"/>
      <c r="BN255" s="7"/>
      <c r="BO255" s="4"/>
      <c r="BP255" s="8"/>
      <c r="BQ255" s="4"/>
      <c r="BR255" s="8"/>
      <c r="BS255" s="7"/>
      <c r="BT255" s="7"/>
      <c r="BU255" s="2" t="s">
        <v>200</v>
      </c>
      <c r="BV255" s="2" t="s">
        <v>97</v>
      </c>
      <c r="BW255" s="2" t="s">
        <v>100</v>
      </c>
      <c r="BX255" s="2" t="s">
        <v>100</v>
      </c>
      <c r="BY255" s="2" t="s">
        <v>109</v>
      </c>
      <c r="BZ255" s="2" t="s">
        <v>100</v>
      </c>
    </row>
    <row r="256">
      <c r="A256" s="2" t="s">
        <v>1400</v>
      </c>
      <c r="B256" s="2" t="s">
        <v>1183</v>
      </c>
      <c r="C256" s="2" t="s">
        <v>869</v>
      </c>
      <c r="D256" s="2" t="s">
        <v>1184</v>
      </c>
      <c r="E256" s="2" t="s">
        <v>776</v>
      </c>
      <c r="F256" s="2" t="s">
        <v>939</v>
      </c>
      <c r="G256" s="2" t="s">
        <v>939</v>
      </c>
      <c r="H256" s="2" t="s">
        <v>939</v>
      </c>
      <c r="I256" s="2" t="s">
        <v>1392</v>
      </c>
      <c r="J256" s="2" t="s">
        <v>763</v>
      </c>
      <c r="K256" s="2" t="s">
        <v>243</v>
      </c>
      <c r="L256" s="3">
        <v>50.4</v>
      </c>
      <c r="M256" s="3">
        <v>52.92</v>
      </c>
      <c r="N256" s="3">
        <v>104.99</v>
      </c>
      <c r="O256" s="2" t="s">
        <v>97</v>
      </c>
      <c r="P256" s="2" t="s">
        <v>175</v>
      </c>
      <c r="Q256" s="2" t="s">
        <v>99</v>
      </c>
      <c r="R256" s="2" t="s">
        <v>100</v>
      </c>
      <c r="S256" s="2" t="s">
        <v>1393</v>
      </c>
      <c r="T256" s="2" t="s">
        <v>220</v>
      </c>
      <c r="U256" s="2" t="s">
        <v>780</v>
      </c>
      <c r="V256" s="2" t="s">
        <v>221</v>
      </c>
      <c r="W256" s="2" t="s">
        <v>536</v>
      </c>
      <c r="X256" s="2" t="s">
        <v>150</v>
      </c>
      <c r="Y256" s="2" t="s">
        <v>1394</v>
      </c>
      <c r="Z256" s="4">
        <v>229</v>
      </c>
      <c r="AA256" s="4">
        <f>=ROUNDDOWN(13.4705882352941,0)</f>
      </c>
      <c r="AB256" s="5">
        <v>17</v>
      </c>
      <c r="AC256" s="2" t="s">
        <v>313</v>
      </c>
      <c r="AD256" s="4">
        <v>300</v>
      </c>
      <c r="AE256" s="4">
        <v>600</v>
      </c>
      <c r="AF256" s="6">
        <v>67</v>
      </c>
      <c r="AG256" s="6"/>
      <c r="AH256" s="7">
        <v>0.7018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/>
      <c r="BJ256" s="4">
        <v>192</v>
      </c>
      <c r="BK256" s="8">
        <v>11142.57</v>
      </c>
      <c r="BL256" s="2" t="s">
        <v>1401</v>
      </c>
      <c r="BM256" s="7"/>
      <c r="BN256" s="7"/>
      <c r="BO256" s="4"/>
      <c r="BP256" s="8"/>
      <c r="BQ256" s="4"/>
      <c r="BR256" s="8"/>
      <c r="BS256" s="7"/>
      <c r="BT256" s="7"/>
      <c r="BU256" s="2" t="s">
        <v>106</v>
      </c>
      <c r="BV256" s="2" t="s">
        <v>97</v>
      </c>
      <c r="BW256" s="2" t="s">
        <v>1189</v>
      </c>
      <c r="BX256" s="2" t="s">
        <v>1402</v>
      </c>
      <c r="BY256" s="2" t="s">
        <v>109</v>
      </c>
      <c r="BZ256" s="2" t="s">
        <v>100</v>
      </c>
    </row>
    <row r="257">
      <c r="A257" s="2" t="s">
        <v>1403</v>
      </c>
      <c r="B257" s="2" t="s">
        <v>1183</v>
      </c>
      <c r="C257" s="2" t="s">
        <v>869</v>
      </c>
      <c r="D257" s="2" t="s">
        <v>1184</v>
      </c>
      <c r="E257" s="2" t="s">
        <v>776</v>
      </c>
      <c r="F257" s="2" t="s">
        <v>939</v>
      </c>
      <c r="G257" s="2" t="s">
        <v>939</v>
      </c>
      <c r="H257" s="2" t="s">
        <v>939</v>
      </c>
      <c r="I257" s="2" t="s">
        <v>1392</v>
      </c>
      <c r="J257" s="2" t="s">
        <v>763</v>
      </c>
      <c r="K257" s="2" t="s">
        <v>1108</v>
      </c>
      <c r="L257" s="3">
        <v>50.4</v>
      </c>
      <c r="M257" s="3">
        <v>52.92</v>
      </c>
      <c r="N257" s="3">
        <v>104.99</v>
      </c>
      <c r="O257" s="2" t="s">
        <v>97</v>
      </c>
      <c r="P257" s="2" t="s">
        <v>175</v>
      </c>
      <c r="Q257" s="2" t="s">
        <v>99</v>
      </c>
      <c r="R257" s="2" t="s">
        <v>100</v>
      </c>
      <c r="S257" s="2" t="s">
        <v>1393</v>
      </c>
      <c r="T257" s="2" t="s">
        <v>220</v>
      </c>
      <c r="U257" s="2" t="s">
        <v>780</v>
      </c>
      <c r="V257" s="2" t="s">
        <v>221</v>
      </c>
      <c r="W257" s="2" t="s">
        <v>536</v>
      </c>
      <c r="X257" s="2" t="s">
        <v>150</v>
      </c>
      <c r="Y257" s="2" t="s">
        <v>1394</v>
      </c>
      <c r="Z257" s="4">
        <v>280</v>
      </c>
      <c r="AA257" s="4">
        <f>=ROUNDDOWN(20,0)</f>
      </c>
      <c r="AB257" s="5">
        <v>14</v>
      </c>
      <c r="AC257" s="2" t="s">
        <v>313</v>
      </c>
      <c r="AD257" s="4">
        <v>300</v>
      </c>
      <c r="AE257" s="4">
        <v>600</v>
      </c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/>
      <c r="BJ257" s="4">
        <v>197</v>
      </c>
      <c r="BK257" s="8">
        <v>11136.62</v>
      </c>
      <c r="BL257" s="2" t="s">
        <v>1404</v>
      </c>
      <c r="BM257" s="7"/>
      <c r="BN257" s="7"/>
      <c r="BO257" s="4"/>
      <c r="BP257" s="8"/>
      <c r="BQ257" s="4"/>
      <c r="BR257" s="8"/>
      <c r="BS257" s="7"/>
      <c r="BT257" s="7"/>
      <c r="BU257" s="2" t="s">
        <v>106</v>
      </c>
      <c r="BV257" s="2" t="s">
        <v>97</v>
      </c>
      <c r="BW257" s="2" t="s">
        <v>1189</v>
      </c>
      <c r="BX257" s="2" t="s">
        <v>1405</v>
      </c>
      <c r="BY257" s="2" t="s">
        <v>109</v>
      </c>
      <c r="BZ257" s="2" t="s">
        <v>100</v>
      </c>
    </row>
    <row r="258">
      <c r="A258" s="2" t="s">
        <v>1406</v>
      </c>
      <c r="B258" s="2" t="s">
        <v>1183</v>
      </c>
      <c r="C258" s="2" t="s">
        <v>869</v>
      </c>
      <c r="D258" s="2" t="s">
        <v>1184</v>
      </c>
      <c r="E258" s="2" t="s">
        <v>776</v>
      </c>
      <c r="F258" s="2" t="s">
        <v>939</v>
      </c>
      <c r="G258" s="2" t="s">
        <v>939</v>
      </c>
      <c r="H258" s="2" t="s">
        <v>939</v>
      </c>
      <c r="I258" s="2" t="s">
        <v>1392</v>
      </c>
      <c r="J258" s="2" t="s">
        <v>763</v>
      </c>
      <c r="K258" s="2" t="s">
        <v>218</v>
      </c>
      <c r="L258" s="3">
        <v>50.4</v>
      </c>
      <c r="M258" s="3">
        <v>52.92</v>
      </c>
      <c r="N258" s="3">
        <v>104.99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1393</v>
      </c>
      <c r="T258" s="2" t="s">
        <v>220</v>
      </c>
      <c r="U258" s="2" t="s">
        <v>780</v>
      </c>
      <c r="V258" s="2" t="s">
        <v>221</v>
      </c>
      <c r="W258" s="2" t="s">
        <v>536</v>
      </c>
      <c r="X258" s="2" t="s">
        <v>150</v>
      </c>
      <c r="Y258" s="2" t="s">
        <v>1394</v>
      </c>
      <c r="Z258" s="4">
        <v>549</v>
      </c>
      <c r="AA258" s="4">
        <f>=ROUNDDOWN(24.9545454545455,0)</f>
      </c>
      <c r="AB258" s="5">
        <v>22</v>
      </c>
      <c r="AC258" s="2" t="s">
        <v>1407</v>
      </c>
      <c r="AD258" s="4">
        <v>300</v>
      </c>
      <c r="AE258" s="4">
        <v>300</v>
      </c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>
        <v>348</v>
      </c>
      <c r="BK258" s="8">
        <v>19563.39</v>
      </c>
      <c r="BL258" s="2" t="s">
        <v>1408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97</v>
      </c>
      <c r="BW258" s="2" t="s">
        <v>1189</v>
      </c>
      <c r="BX258" s="2" t="s">
        <v>1409</v>
      </c>
      <c r="BY258" s="2" t="s">
        <v>109</v>
      </c>
      <c r="BZ258" s="2" t="s">
        <v>100</v>
      </c>
    </row>
    <row r="259">
      <c r="A259" s="2" t="s">
        <v>1410</v>
      </c>
      <c r="B259" s="2" t="s">
        <v>1183</v>
      </c>
      <c r="C259" s="2" t="s">
        <v>1021</v>
      </c>
      <c r="D259" s="2" t="s">
        <v>1184</v>
      </c>
      <c r="E259" s="2" t="s">
        <v>776</v>
      </c>
      <c r="F259" s="2" t="s">
        <v>1411</v>
      </c>
      <c r="G259" s="2" t="s">
        <v>1411</v>
      </c>
      <c r="H259" s="2" t="s">
        <v>1411</v>
      </c>
      <c r="I259" s="2" t="s">
        <v>1412</v>
      </c>
      <c r="J259" s="2" t="s">
        <v>763</v>
      </c>
      <c r="K259" s="2" t="s">
        <v>125</v>
      </c>
      <c r="L259" s="3">
        <v>22</v>
      </c>
      <c r="M259" s="3">
        <v>23.1</v>
      </c>
      <c r="N259" s="3">
        <v>49.99</v>
      </c>
      <c r="O259" s="2" t="s">
        <v>97</v>
      </c>
      <c r="P259" s="2" t="s">
        <v>126</v>
      </c>
      <c r="Q259" s="2" t="s">
        <v>99</v>
      </c>
      <c r="R259" s="2" t="s">
        <v>100</v>
      </c>
      <c r="S259" s="2" t="s">
        <v>1413</v>
      </c>
      <c r="T259" s="2" t="s">
        <v>220</v>
      </c>
      <c r="U259" s="2" t="s">
        <v>780</v>
      </c>
      <c r="V259" s="2" t="s">
        <v>221</v>
      </c>
      <c r="W259" s="2" t="s">
        <v>222</v>
      </c>
      <c r="X259" s="2" t="s">
        <v>100</v>
      </c>
      <c r="Y259" s="2" t="s">
        <v>1414</v>
      </c>
      <c r="Z259" s="4">
        <v>338</v>
      </c>
      <c r="AA259" s="4">
        <f>=ROUNDDOWN(28.1666666666667,0)</f>
      </c>
      <c r="AB259" s="5">
        <v>12</v>
      </c>
      <c r="AC259" s="2" t="s">
        <v>1336</v>
      </c>
      <c r="AD259" s="4">
        <v>70</v>
      </c>
      <c r="AE259" s="4">
        <v>280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4</v>
      </c>
      <c r="AQ259" s="8">
        <v>92.4</v>
      </c>
      <c r="AR259" s="4"/>
      <c r="AS259" s="8"/>
      <c r="AT259" s="7"/>
      <c r="AU259" s="7"/>
      <c r="AV259" s="4">
        <v>4</v>
      </c>
      <c r="AW259" s="8">
        <v>92.4</v>
      </c>
      <c r="AX259" s="4"/>
      <c r="AY259" s="8"/>
      <c r="AZ259" s="7"/>
      <c r="BA259" s="7"/>
      <c r="BB259" s="7">
        <v>1</v>
      </c>
      <c r="BC259" s="4">
        <v>7</v>
      </c>
      <c r="BD259" s="8">
        <v>161.7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>
        <v>0.5714</v>
      </c>
      <c r="BJ259" s="4">
        <v>201</v>
      </c>
      <c r="BK259" s="8">
        <v>4906.14</v>
      </c>
      <c r="BL259" s="2" t="s">
        <v>1415</v>
      </c>
      <c r="BM259" s="7">
        <v>0.0199</v>
      </c>
      <c r="BN259" s="7">
        <v>0.0188</v>
      </c>
      <c r="BO259" s="4">
        <v>4</v>
      </c>
      <c r="BP259" s="8">
        <v>92.4</v>
      </c>
      <c r="BQ259" s="4"/>
      <c r="BR259" s="8"/>
      <c r="BS259" s="7"/>
      <c r="BT259" s="7"/>
      <c r="BU259" s="2" t="s">
        <v>106</v>
      </c>
      <c r="BV259" s="2" t="s">
        <v>97</v>
      </c>
      <c r="BW259" s="2" t="s">
        <v>225</v>
      </c>
      <c r="BX259" s="2" t="s">
        <v>1416</v>
      </c>
      <c r="BY259" s="2" t="s">
        <v>109</v>
      </c>
      <c r="BZ259" s="2" t="s">
        <v>100</v>
      </c>
    </row>
    <row r="260">
      <c r="A260" s="2" t="s">
        <v>1417</v>
      </c>
      <c r="B260" s="2" t="s">
        <v>1183</v>
      </c>
      <c r="C260" s="2" t="s">
        <v>1021</v>
      </c>
      <c r="D260" s="2" t="s">
        <v>1184</v>
      </c>
      <c r="E260" s="2" t="s">
        <v>776</v>
      </c>
      <c r="F260" s="2" t="s">
        <v>1411</v>
      </c>
      <c r="G260" s="2" t="s">
        <v>1411</v>
      </c>
      <c r="H260" s="2" t="s">
        <v>1411</v>
      </c>
      <c r="I260" s="2" t="s">
        <v>1412</v>
      </c>
      <c r="J260" s="2" t="s">
        <v>763</v>
      </c>
      <c r="K260" s="2" t="s">
        <v>218</v>
      </c>
      <c r="L260" s="3">
        <v>22</v>
      </c>
      <c r="M260" s="3">
        <v>23.1</v>
      </c>
      <c r="N260" s="3">
        <v>49.99</v>
      </c>
      <c r="O260" s="2" t="s">
        <v>97</v>
      </c>
      <c r="P260" s="2" t="s">
        <v>126</v>
      </c>
      <c r="Q260" s="2" t="s">
        <v>99</v>
      </c>
      <c r="R260" s="2" t="s">
        <v>100</v>
      </c>
      <c r="S260" s="2" t="s">
        <v>1418</v>
      </c>
      <c r="T260" s="2" t="s">
        <v>220</v>
      </c>
      <c r="U260" s="2" t="s">
        <v>780</v>
      </c>
      <c r="V260" s="2" t="s">
        <v>221</v>
      </c>
      <c r="W260" s="2" t="s">
        <v>222</v>
      </c>
      <c r="X260" s="2" t="s">
        <v>100</v>
      </c>
      <c r="Y260" s="2" t="s">
        <v>1414</v>
      </c>
      <c r="Z260" s="4">
        <v>213</v>
      </c>
      <c r="AA260" s="4">
        <f>=ROUNDDOWN(21.3,0)</f>
      </c>
      <c r="AB260" s="5">
        <v>10</v>
      </c>
      <c r="AC260" s="2" t="s">
        <v>1336</v>
      </c>
      <c r="AD260" s="4">
        <v>100</v>
      </c>
      <c r="AE260" s="4">
        <v>260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>
        <v>2</v>
      </c>
      <c r="AQ260" s="8">
        <v>46.2</v>
      </c>
      <c r="AR260" s="4"/>
      <c r="AS260" s="8"/>
      <c r="AT260" s="7"/>
      <c r="AU260" s="7"/>
      <c r="AV260" s="4">
        <v>2</v>
      </c>
      <c r="AW260" s="8">
        <v>46.2</v>
      </c>
      <c r="AX260" s="4"/>
      <c r="AY260" s="8"/>
      <c r="AZ260" s="7"/>
      <c r="BA260" s="7"/>
      <c r="BB260" s="7">
        <v>1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>
        <v>0.2857</v>
      </c>
      <c r="BJ260" s="4">
        <v>142</v>
      </c>
      <c r="BK260" s="8">
        <v>3539.65</v>
      </c>
      <c r="BL260" s="2" t="s">
        <v>1419</v>
      </c>
      <c r="BM260" s="7">
        <v>0.0141</v>
      </c>
      <c r="BN260" s="7">
        <v>0.0131</v>
      </c>
      <c r="BO260" s="4">
        <v>2</v>
      </c>
      <c r="BP260" s="8">
        <v>46.2</v>
      </c>
      <c r="BQ260" s="4"/>
      <c r="BR260" s="8"/>
      <c r="BS260" s="7"/>
      <c r="BT260" s="7"/>
      <c r="BU260" s="2" t="s">
        <v>106</v>
      </c>
      <c r="BV260" s="2" t="s">
        <v>97</v>
      </c>
      <c r="BW260" s="2" t="s">
        <v>225</v>
      </c>
      <c r="BX260" s="2" t="s">
        <v>355</v>
      </c>
      <c r="BY260" s="2" t="s">
        <v>109</v>
      </c>
      <c r="BZ260" s="2" t="s">
        <v>100</v>
      </c>
    </row>
    <row r="261">
      <c r="A261" s="2" t="s">
        <v>1420</v>
      </c>
      <c r="B261" s="2" t="s">
        <v>1183</v>
      </c>
      <c r="C261" s="2" t="s">
        <v>1021</v>
      </c>
      <c r="D261" s="2" t="s">
        <v>1184</v>
      </c>
      <c r="E261" s="2" t="s">
        <v>776</v>
      </c>
      <c r="F261" s="2" t="s">
        <v>1411</v>
      </c>
      <c r="G261" s="2" t="s">
        <v>1411</v>
      </c>
      <c r="H261" s="2" t="s">
        <v>1411</v>
      </c>
      <c r="I261" s="2" t="s">
        <v>1412</v>
      </c>
      <c r="J261" s="2" t="s">
        <v>763</v>
      </c>
      <c r="K261" s="2" t="s">
        <v>243</v>
      </c>
      <c r="L261" s="3">
        <v>22</v>
      </c>
      <c r="M261" s="3">
        <v>23.1</v>
      </c>
      <c r="N261" s="3">
        <v>49.99</v>
      </c>
      <c r="O261" s="2" t="s">
        <v>97</v>
      </c>
      <c r="P261" s="2" t="s">
        <v>126</v>
      </c>
      <c r="Q261" s="2" t="s">
        <v>99</v>
      </c>
      <c r="R261" s="2" t="s">
        <v>100</v>
      </c>
      <c r="S261" s="2" t="s">
        <v>1421</v>
      </c>
      <c r="T261" s="2" t="s">
        <v>220</v>
      </c>
      <c r="U261" s="2" t="s">
        <v>780</v>
      </c>
      <c r="V261" s="2" t="s">
        <v>221</v>
      </c>
      <c r="W261" s="2" t="s">
        <v>222</v>
      </c>
      <c r="X261" s="2" t="s">
        <v>100</v>
      </c>
      <c r="Y261" s="2" t="s">
        <v>1414</v>
      </c>
      <c r="Z261" s="4">
        <v>318</v>
      </c>
      <c r="AA261" s="4">
        <f>=ROUNDDOWN(39.75,0)</f>
      </c>
      <c r="AB261" s="5">
        <v>8</v>
      </c>
      <c r="AC261" s="2" t="s">
        <v>1336</v>
      </c>
      <c r="AD261" s="4">
        <v>60</v>
      </c>
      <c r="AE261" s="4">
        <v>240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1</v>
      </c>
      <c r="AQ261" s="8">
        <v>23.1</v>
      </c>
      <c r="AR261" s="4"/>
      <c r="AS261" s="8"/>
      <c r="AT261" s="7"/>
      <c r="AU261" s="7"/>
      <c r="AV261" s="4">
        <v>1</v>
      </c>
      <c r="AW261" s="8">
        <v>23.1</v>
      </c>
      <c r="AX261" s="4"/>
      <c r="AY261" s="8"/>
      <c r="AZ261" s="7"/>
      <c r="BA261" s="7"/>
      <c r="BB261" s="7">
        <v>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>
        <v>0.1429</v>
      </c>
      <c r="BJ261" s="4">
        <v>127</v>
      </c>
      <c r="BK261" s="8">
        <v>2973.05</v>
      </c>
      <c r="BL261" s="2" t="s">
        <v>1422</v>
      </c>
      <c r="BM261" s="7">
        <v>0.0079</v>
      </c>
      <c r="BN261" s="7">
        <v>0.0078</v>
      </c>
      <c r="BO261" s="4">
        <v>1</v>
      </c>
      <c r="BP261" s="8">
        <v>23.1</v>
      </c>
      <c r="BQ261" s="4"/>
      <c r="BR261" s="8"/>
      <c r="BS261" s="7"/>
      <c r="BT261" s="7"/>
      <c r="BU261" s="2" t="s">
        <v>106</v>
      </c>
      <c r="BV261" s="2" t="s">
        <v>97</v>
      </c>
      <c r="BW261" s="2" t="s">
        <v>225</v>
      </c>
      <c r="BX261" s="2" t="s">
        <v>1423</v>
      </c>
      <c r="BY261" s="2" t="s">
        <v>109</v>
      </c>
      <c r="BZ261" s="2" t="s">
        <v>100</v>
      </c>
    </row>
    <row r="262">
      <c r="A262" s="2" t="s">
        <v>1424</v>
      </c>
      <c r="B262" s="2" t="s">
        <v>1183</v>
      </c>
      <c r="C262" s="2" t="s">
        <v>1021</v>
      </c>
      <c r="D262" s="2" t="s">
        <v>1184</v>
      </c>
      <c r="E262" s="2" t="s">
        <v>776</v>
      </c>
      <c r="F262" s="2" t="s">
        <v>1411</v>
      </c>
      <c r="G262" s="2" t="s">
        <v>1411</v>
      </c>
      <c r="H262" s="2" t="s">
        <v>1411</v>
      </c>
      <c r="I262" s="2" t="s">
        <v>1412</v>
      </c>
      <c r="J262" s="2" t="s">
        <v>763</v>
      </c>
      <c r="K262" s="2" t="s">
        <v>160</v>
      </c>
      <c r="L262" s="3">
        <v>22</v>
      </c>
      <c r="M262" s="3">
        <v>23.1</v>
      </c>
      <c r="N262" s="3">
        <v>49.99</v>
      </c>
      <c r="O262" s="2" t="s">
        <v>97</v>
      </c>
      <c r="P262" s="2" t="s">
        <v>126</v>
      </c>
      <c r="Q262" s="2" t="s">
        <v>99</v>
      </c>
      <c r="R262" s="2" t="s">
        <v>100</v>
      </c>
      <c r="S262" s="2" t="s">
        <v>1425</v>
      </c>
      <c r="T262" s="2" t="s">
        <v>220</v>
      </c>
      <c r="U262" s="2" t="s">
        <v>780</v>
      </c>
      <c r="V262" s="2" t="s">
        <v>221</v>
      </c>
      <c r="W262" s="2" t="s">
        <v>222</v>
      </c>
      <c r="X262" s="2" t="s">
        <v>100</v>
      </c>
      <c r="Y262" s="2" t="s">
        <v>1414</v>
      </c>
      <c r="Z262" s="4">
        <v>264</v>
      </c>
      <c r="AA262" s="4">
        <f>=ROUNDDOWN(17.6,0)</f>
      </c>
      <c r="AB262" s="5">
        <v>15</v>
      </c>
      <c r="AC262" s="2" t="s">
        <v>1336</v>
      </c>
      <c r="AD262" s="4">
        <v>210</v>
      </c>
      <c r="AE262" s="4">
        <v>440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/>
      <c r="BJ262" s="4">
        <v>225</v>
      </c>
      <c r="BK262" s="8">
        <v>5350.57</v>
      </c>
      <c r="BL262" s="2" t="s">
        <v>1426</v>
      </c>
      <c r="BM262" s="7"/>
      <c r="BN262" s="7"/>
      <c r="BO262" s="4"/>
      <c r="BP262" s="8"/>
      <c r="BQ262" s="4"/>
      <c r="BR262" s="8"/>
      <c r="BS262" s="7"/>
      <c r="BT262" s="7"/>
      <c r="BU262" s="2" t="s">
        <v>106</v>
      </c>
      <c r="BV262" s="2" t="s">
        <v>97</v>
      </c>
      <c r="BW262" s="2" t="s">
        <v>225</v>
      </c>
      <c r="BX262" s="2" t="s">
        <v>1427</v>
      </c>
      <c r="BY262" s="2" t="s">
        <v>109</v>
      </c>
      <c r="BZ262" s="2" t="s">
        <v>100</v>
      </c>
    </row>
    <row r="263">
      <c r="A263" s="2" t="s">
        <v>1428</v>
      </c>
      <c r="B263" s="2" t="s">
        <v>1183</v>
      </c>
      <c r="C263" s="2" t="s">
        <v>1021</v>
      </c>
      <c r="D263" s="2" t="s">
        <v>1184</v>
      </c>
      <c r="E263" s="2" t="s">
        <v>776</v>
      </c>
      <c r="F263" s="2" t="s">
        <v>1411</v>
      </c>
      <c r="G263" s="2" t="s">
        <v>1411</v>
      </c>
      <c r="H263" s="2" t="s">
        <v>1411</v>
      </c>
      <c r="I263" s="2" t="s">
        <v>1412</v>
      </c>
      <c r="J263" s="2" t="s">
        <v>763</v>
      </c>
      <c r="K263" s="2" t="s">
        <v>742</v>
      </c>
      <c r="L263" s="3">
        <v>22</v>
      </c>
      <c r="M263" s="3">
        <v>23.1</v>
      </c>
      <c r="N263" s="3">
        <v>49.99</v>
      </c>
      <c r="O263" s="2" t="s">
        <v>97</v>
      </c>
      <c r="P263" s="2" t="s">
        <v>126</v>
      </c>
      <c r="Q263" s="2" t="s">
        <v>99</v>
      </c>
      <c r="R263" s="2" t="s">
        <v>100</v>
      </c>
      <c r="S263" s="2" t="s">
        <v>1429</v>
      </c>
      <c r="T263" s="2" t="s">
        <v>220</v>
      </c>
      <c r="U263" s="2" t="s">
        <v>780</v>
      </c>
      <c r="V263" s="2" t="s">
        <v>221</v>
      </c>
      <c r="W263" s="2" t="s">
        <v>222</v>
      </c>
      <c r="X263" s="2" t="s">
        <v>100</v>
      </c>
      <c r="Y263" s="2" t="s">
        <v>1414</v>
      </c>
      <c r="Z263" s="4">
        <v>162</v>
      </c>
      <c r="AA263" s="4">
        <f>=ROUNDDOWN(18,0)</f>
      </c>
      <c r="AB263" s="5">
        <v>9</v>
      </c>
      <c r="AC263" s="2" t="s">
        <v>1336</v>
      </c>
      <c r="AD263" s="4">
        <v>220</v>
      </c>
      <c r="AE263" s="4">
        <v>380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/>
      <c r="BJ263" s="4">
        <v>136</v>
      </c>
      <c r="BK263" s="8">
        <v>3196.53</v>
      </c>
      <c r="BL263" s="2" t="s">
        <v>1430</v>
      </c>
      <c r="BM263" s="7"/>
      <c r="BN263" s="7"/>
      <c r="BO263" s="4"/>
      <c r="BP263" s="8"/>
      <c r="BQ263" s="4"/>
      <c r="BR263" s="8"/>
      <c r="BS263" s="7"/>
      <c r="BT263" s="7"/>
      <c r="BU263" s="2" t="s">
        <v>106</v>
      </c>
      <c r="BV263" s="2" t="s">
        <v>97</v>
      </c>
      <c r="BW263" s="2" t="s">
        <v>225</v>
      </c>
      <c r="BX263" s="2" t="s">
        <v>100</v>
      </c>
      <c r="BY263" s="2" t="s">
        <v>109</v>
      </c>
      <c r="BZ263" s="2" t="s">
        <v>100</v>
      </c>
    </row>
    <row r="264">
      <c r="A264" s="2" t="s">
        <v>1431</v>
      </c>
      <c r="B264" s="2" t="s">
        <v>1183</v>
      </c>
      <c r="C264" s="2" t="s">
        <v>1021</v>
      </c>
      <c r="D264" s="2" t="s">
        <v>1184</v>
      </c>
      <c r="E264" s="2" t="s">
        <v>776</v>
      </c>
      <c r="F264" s="2" t="s">
        <v>1432</v>
      </c>
      <c r="G264" s="2" t="s">
        <v>1432</v>
      </c>
      <c r="H264" s="2" t="s">
        <v>1432</v>
      </c>
      <c r="I264" s="2" t="s">
        <v>1433</v>
      </c>
      <c r="J264" s="2" t="s">
        <v>763</v>
      </c>
      <c r="K264" s="2" t="s">
        <v>218</v>
      </c>
      <c r="L264" s="3">
        <v>26.4</v>
      </c>
      <c r="M264" s="3">
        <v>27.72</v>
      </c>
      <c r="N264" s="3">
        <v>54.99</v>
      </c>
      <c r="O264" s="2" t="s">
        <v>97</v>
      </c>
      <c r="P264" s="2" t="s">
        <v>113</v>
      </c>
      <c r="Q264" s="2" t="s">
        <v>99</v>
      </c>
      <c r="R264" s="2" t="s">
        <v>100</v>
      </c>
      <c r="S264" s="2" t="s">
        <v>1434</v>
      </c>
      <c r="T264" s="2" t="s">
        <v>220</v>
      </c>
      <c r="U264" s="2" t="s">
        <v>1435</v>
      </c>
      <c r="V264" s="2" t="s">
        <v>221</v>
      </c>
      <c r="W264" s="2" t="s">
        <v>222</v>
      </c>
      <c r="X264" s="2" t="s">
        <v>100</v>
      </c>
      <c r="Y264" s="2" t="s">
        <v>1376</v>
      </c>
      <c r="Z264" s="4">
        <v>1876</v>
      </c>
      <c r="AA264" s="4">
        <f>=ROUNDDOWN(42.6363636363636,0)</f>
      </c>
      <c r="AB264" s="5">
        <v>44</v>
      </c>
      <c r="AC264" s="2" t="s">
        <v>1436</v>
      </c>
      <c r="AD264" s="4">
        <v>500</v>
      </c>
      <c r="AE264" s="4">
        <v>500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>
        <v>2</v>
      </c>
      <c r="AQ264" s="8">
        <v>57.76</v>
      </c>
      <c r="AR264" s="4"/>
      <c r="AS264" s="8"/>
      <c r="AT264" s="7"/>
      <c r="AU264" s="7"/>
      <c r="AV264" s="4">
        <v>2</v>
      </c>
      <c r="AW264" s="8">
        <v>57.76</v>
      </c>
      <c r="AX264" s="4"/>
      <c r="AY264" s="8"/>
      <c r="AZ264" s="7"/>
      <c r="BA264" s="7"/>
      <c r="BB264" s="7">
        <v>1</v>
      </c>
      <c r="BC264" s="4">
        <v>3</v>
      </c>
      <c r="BD264" s="8">
        <v>86.64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>
        <v>0.6667</v>
      </c>
      <c r="BJ264" s="4">
        <v>673</v>
      </c>
      <c r="BK264" s="8">
        <v>19679.51</v>
      </c>
      <c r="BL264" s="2" t="s">
        <v>1437</v>
      </c>
      <c r="BM264" s="7">
        <v>0.003</v>
      </c>
      <c r="BN264" s="7">
        <v>0.0029</v>
      </c>
      <c r="BO264" s="4">
        <v>2</v>
      </c>
      <c r="BP264" s="8">
        <v>57.76</v>
      </c>
      <c r="BQ264" s="4"/>
      <c r="BR264" s="8"/>
      <c r="BS264" s="7"/>
      <c r="BT264" s="7"/>
      <c r="BU264" s="2" t="s">
        <v>106</v>
      </c>
      <c r="BV264" s="2" t="s">
        <v>97</v>
      </c>
      <c r="BW264" s="2" t="s">
        <v>1189</v>
      </c>
      <c r="BX264" s="2" t="s">
        <v>1438</v>
      </c>
      <c r="BY264" s="2" t="s">
        <v>109</v>
      </c>
      <c r="BZ264" s="2" t="s">
        <v>100</v>
      </c>
    </row>
    <row r="265">
      <c r="A265" s="2" t="s">
        <v>1439</v>
      </c>
      <c r="B265" s="2" t="s">
        <v>1183</v>
      </c>
      <c r="C265" s="2" t="s">
        <v>1021</v>
      </c>
      <c r="D265" s="2" t="s">
        <v>1184</v>
      </c>
      <c r="E265" s="2" t="s">
        <v>776</v>
      </c>
      <c r="F265" s="2" t="s">
        <v>1432</v>
      </c>
      <c r="G265" s="2" t="s">
        <v>1432</v>
      </c>
      <c r="H265" s="2" t="s">
        <v>1432</v>
      </c>
      <c r="I265" s="2" t="s">
        <v>1433</v>
      </c>
      <c r="J265" s="2" t="s">
        <v>763</v>
      </c>
      <c r="K265" s="2" t="s">
        <v>1440</v>
      </c>
      <c r="L265" s="3">
        <v>26.4</v>
      </c>
      <c r="M265" s="3">
        <v>27.72</v>
      </c>
      <c r="N265" s="3">
        <v>54.99</v>
      </c>
      <c r="O265" s="2" t="s">
        <v>97</v>
      </c>
      <c r="P265" s="2" t="s">
        <v>175</v>
      </c>
      <c r="Q265" s="2" t="s">
        <v>99</v>
      </c>
      <c r="R265" s="2" t="s">
        <v>100</v>
      </c>
      <c r="S265" s="2" t="s">
        <v>1441</v>
      </c>
      <c r="T265" s="2" t="s">
        <v>220</v>
      </c>
      <c r="U265" s="2" t="s">
        <v>1435</v>
      </c>
      <c r="V265" s="2" t="s">
        <v>221</v>
      </c>
      <c r="W265" s="2" t="s">
        <v>222</v>
      </c>
      <c r="X265" s="2" t="s">
        <v>100</v>
      </c>
      <c r="Y265" s="2" t="s">
        <v>1442</v>
      </c>
      <c r="Z265" s="4">
        <v>386</v>
      </c>
      <c r="AA265" s="4">
        <f>=ROUNDDOWN(16.0833333333333,0)</f>
      </c>
      <c r="AB265" s="5">
        <v>24</v>
      </c>
      <c r="AC265" s="2" t="s">
        <v>1443</v>
      </c>
      <c r="AD265" s="4">
        <v>400</v>
      </c>
      <c r="AE265" s="4">
        <v>1300</v>
      </c>
      <c r="AF265" s="6">
        <v>69</v>
      </c>
      <c r="AG265" s="6"/>
      <c r="AH265" s="7">
        <v>0.9649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1</v>
      </c>
      <c r="AQ265" s="8">
        <v>28.88</v>
      </c>
      <c r="AR265" s="4"/>
      <c r="AS265" s="8"/>
      <c r="AT265" s="7"/>
      <c r="AU265" s="7"/>
      <c r="AV265" s="4">
        <v>1</v>
      </c>
      <c r="AW265" s="8">
        <v>28.88</v>
      </c>
      <c r="AX265" s="4"/>
      <c r="AY265" s="8"/>
      <c r="AZ265" s="7"/>
      <c r="BA265" s="7"/>
      <c r="BB265" s="7">
        <v>1</v>
      </c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>
        <v>0.3333</v>
      </c>
      <c r="BJ265" s="4">
        <v>369</v>
      </c>
      <c r="BK265" s="8">
        <v>10603.51</v>
      </c>
      <c r="BL265" s="2" t="s">
        <v>1444</v>
      </c>
      <c r="BM265" s="7">
        <v>0.0027</v>
      </c>
      <c r="BN265" s="7">
        <v>0.0027</v>
      </c>
      <c r="BO265" s="4">
        <v>1</v>
      </c>
      <c r="BP265" s="8">
        <v>28.88</v>
      </c>
      <c r="BQ265" s="4"/>
      <c r="BR265" s="8"/>
      <c r="BS265" s="7"/>
      <c r="BT265" s="7"/>
      <c r="BU265" s="2" t="s">
        <v>106</v>
      </c>
      <c r="BV265" s="2" t="s">
        <v>97</v>
      </c>
      <c r="BW265" s="2" t="s">
        <v>1445</v>
      </c>
      <c r="BX265" s="2" t="s">
        <v>1256</v>
      </c>
      <c r="BY265" s="2" t="s">
        <v>109</v>
      </c>
      <c r="BZ265" s="2" t="s">
        <v>100</v>
      </c>
    </row>
    <row r="266">
      <c r="A266" s="2" t="s">
        <v>1446</v>
      </c>
      <c r="B266" s="2" t="s">
        <v>1183</v>
      </c>
      <c r="C266" s="2" t="s">
        <v>1021</v>
      </c>
      <c r="D266" s="2" t="s">
        <v>1184</v>
      </c>
      <c r="E266" s="2" t="s">
        <v>776</v>
      </c>
      <c r="F266" s="2" t="s">
        <v>1432</v>
      </c>
      <c r="G266" s="2" t="s">
        <v>1432</v>
      </c>
      <c r="H266" s="2" t="s">
        <v>1432</v>
      </c>
      <c r="I266" s="2" t="s">
        <v>1433</v>
      </c>
      <c r="J266" s="2" t="s">
        <v>763</v>
      </c>
      <c r="K266" s="2" t="s">
        <v>174</v>
      </c>
      <c r="L266" s="3">
        <v>26.4</v>
      </c>
      <c r="M266" s="3">
        <v>27.72</v>
      </c>
      <c r="N266" s="3">
        <v>54.99</v>
      </c>
      <c r="O266" s="2" t="s">
        <v>97</v>
      </c>
      <c r="P266" s="2" t="s">
        <v>1276</v>
      </c>
      <c r="Q266" s="2" t="s">
        <v>99</v>
      </c>
      <c r="R266" s="2" t="s">
        <v>100</v>
      </c>
      <c r="S266" s="2" t="s">
        <v>1447</v>
      </c>
      <c r="T266" s="2" t="s">
        <v>220</v>
      </c>
      <c r="U266" s="2" t="s">
        <v>1435</v>
      </c>
      <c r="V266" s="2" t="s">
        <v>221</v>
      </c>
      <c r="W266" s="2" t="s">
        <v>222</v>
      </c>
      <c r="X266" s="2" t="s">
        <v>100</v>
      </c>
      <c r="Y266" s="2" t="s">
        <v>1448</v>
      </c>
      <c r="Z266" s="4">
        <v>670</v>
      </c>
      <c r="AA266" s="4">
        <f>=ROUNDDOWN(14.2553191489362,0)</f>
      </c>
      <c r="AB266" s="5">
        <v>47</v>
      </c>
      <c r="AC266" s="2" t="s">
        <v>1449</v>
      </c>
      <c r="AD266" s="4">
        <v>650</v>
      </c>
      <c r="AE266" s="4">
        <v>650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100</v>
      </c>
      <c r="BD266" s="8" t="s">
        <v>100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/>
      <c r="BJ266" s="4">
        <v>103</v>
      </c>
      <c r="BK266" s="8">
        <v>2862.95</v>
      </c>
      <c r="BL266" s="2" t="s">
        <v>1450</v>
      </c>
      <c r="BM266" s="7"/>
      <c r="BN266" s="7"/>
      <c r="BO266" s="4"/>
      <c r="BP266" s="8"/>
      <c r="BQ266" s="4"/>
      <c r="BR266" s="8"/>
      <c r="BS266" s="7"/>
      <c r="BT266" s="7"/>
      <c r="BU266" s="2" t="s">
        <v>1076</v>
      </c>
      <c r="BV266" s="2" t="s">
        <v>97</v>
      </c>
      <c r="BW266" s="2" t="s">
        <v>100</v>
      </c>
      <c r="BX266" s="2" t="s">
        <v>100</v>
      </c>
      <c r="BY266" s="2" t="s">
        <v>109</v>
      </c>
      <c r="BZ266" s="2" t="s">
        <v>100</v>
      </c>
    </row>
    <row r="267">
      <c r="A267" s="2" t="s">
        <v>1451</v>
      </c>
      <c r="B267" s="2" t="s">
        <v>1183</v>
      </c>
      <c r="C267" s="2" t="s">
        <v>1021</v>
      </c>
      <c r="D267" s="2" t="s">
        <v>1184</v>
      </c>
      <c r="E267" s="2" t="s">
        <v>776</v>
      </c>
      <c r="F267" s="2" t="s">
        <v>1432</v>
      </c>
      <c r="G267" s="2" t="s">
        <v>1432</v>
      </c>
      <c r="H267" s="2" t="s">
        <v>1432</v>
      </c>
      <c r="I267" s="2" t="s">
        <v>1433</v>
      </c>
      <c r="J267" s="2" t="s">
        <v>763</v>
      </c>
      <c r="K267" s="2" t="s">
        <v>243</v>
      </c>
      <c r="L267" s="3">
        <v>26.4</v>
      </c>
      <c r="M267" s="3">
        <v>27.72</v>
      </c>
      <c r="N267" s="3">
        <v>54.99</v>
      </c>
      <c r="O267" s="2" t="s">
        <v>97</v>
      </c>
      <c r="P267" s="2" t="s">
        <v>113</v>
      </c>
      <c r="Q267" s="2" t="s">
        <v>99</v>
      </c>
      <c r="R267" s="2" t="s">
        <v>100</v>
      </c>
      <c r="S267" s="2" t="s">
        <v>1452</v>
      </c>
      <c r="T267" s="2" t="s">
        <v>220</v>
      </c>
      <c r="U267" s="2" t="s">
        <v>1435</v>
      </c>
      <c r="V267" s="2" t="s">
        <v>221</v>
      </c>
      <c r="W267" s="2" t="s">
        <v>222</v>
      </c>
      <c r="X267" s="2" t="s">
        <v>100</v>
      </c>
      <c r="Y267" s="2" t="s">
        <v>1376</v>
      </c>
      <c r="Z267" s="4">
        <v>1004</v>
      </c>
      <c r="AA267" s="4">
        <f>=ROUNDDOWN(21.8260869565217,0)</f>
      </c>
      <c r="AB267" s="5">
        <v>46</v>
      </c>
      <c r="AC267" s="2" t="s">
        <v>1443</v>
      </c>
      <c r="AD267" s="4">
        <v>650</v>
      </c>
      <c r="AE267" s="4">
        <v>1450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/>
      <c r="BJ267" s="4">
        <v>714</v>
      </c>
      <c r="BK267" s="8">
        <v>20286.93</v>
      </c>
      <c r="BL267" s="2" t="s">
        <v>1453</v>
      </c>
      <c r="BM267" s="7"/>
      <c r="BN267" s="7"/>
      <c r="BO267" s="4"/>
      <c r="BP267" s="8"/>
      <c r="BQ267" s="4"/>
      <c r="BR267" s="8"/>
      <c r="BS267" s="7"/>
      <c r="BT267" s="7"/>
      <c r="BU267" s="2" t="s">
        <v>106</v>
      </c>
      <c r="BV267" s="2" t="s">
        <v>97</v>
      </c>
      <c r="BW267" s="2" t="s">
        <v>1189</v>
      </c>
      <c r="BX267" s="2" t="s">
        <v>1454</v>
      </c>
      <c r="BY267" s="2" t="s">
        <v>109</v>
      </c>
      <c r="BZ267" s="2" t="s">
        <v>100</v>
      </c>
    </row>
    <row r="268">
      <c r="A268" s="2" t="s">
        <v>1455</v>
      </c>
      <c r="B268" s="2" t="s">
        <v>1183</v>
      </c>
      <c r="C268" s="2" t="s">
        <v>1021</v>
      </c>
      <c r="D268" s="2" t="s">
        <v>1184</v>
      </c>
      <c r="E268" s="2" t="s">
        <v>776</v>
      </c>
      <c r="F268" s="2" t="s">
        <v>1432</v>
      </c>
      <c r="G268" s="2" t="s">
        <v>1432</v>
      </c>
      <c r="H268" s="2" t="s">
        <v>1432</v>
      </c>
      <c r="I268" s="2" t="s">
        <v>1433</v>
      </c>
      <c r="J268" s="2" t="s">
        <v>763</v>
      </c>
      <c r="K268" s="2" t="s">
        <v>1456</v>
      </c>
      <c r="L268" s="3">
        <v>26.4</v>
      </c>
      <c r="M268" s="3">
        <v>27.72</v>
      </c>
      <c r="N268" s="3">
        <v>54.99</v>
      </c>
      <c r="O268" s="2" t="s">
        <v>97</v>
      </c>
      <c r="P268" s="2" t="s">
        <v>113</v>
      </c>
      <c r="Q268" s="2" t="s">
        <v>99</v>
      </c>
      <c r="R268" s="2" t="s">
        <v>100</v>
      </c>
      <c r="S268" s="2" t="s">
        <v>1457</v>
      </c>
      <c r="T268" s="2" t="s">
        <v>220</v>
      </c>
      <c r="U268" s="2" t="s">
        <v>1435</v>
      </c>
      <c r="V268" s="2" t="s">
        <v>221</v>
      </c>
      <c r="W268" s="2" t="s">
        <v>222</v>
      </c>
      <c r="X268" s="2" t="s">
        <v>100</v>
      </c>
      <c r="Y268" s="2" t="s">
        <v>1376</v>
      </c>
      <c r="Z268" s="4">
        <v>235</v>
      </c>
      <c r="AA268" s="4">
        <f>=ROUNDDOWN(4.51923076923077,0)</f>
      </c>
      <c r="AB268" s="5">
        <v>52</v>
      </c>
      <c r="AC268" s="2" t="s">
        <v>1443</v>
      </c>
      <c r="AD268" s="4">
        <v>650</v>
      </c>
      <c r="AE268" s="4">
        <v>2350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830</v>
      </c>
      <c r="BK268" s="8">
        <v>23403.12</v>
      </c>
      <c r="BL268" s="2" t="s">
        <v>1458</v>
      </c>
      <c r="BM268" s="7"/>
      <c r="BN268" s="7"/>
      <c r="BO268" s="4"/>
      <c r="BP268" s="8"/>
      <c r="BQ268" s="4"/>
      <c r="BR268" s="8"/>
      <c r="BS268" s="7"/>
      <c r="BT268" s="7"/>
      <c r="BU268" s="2" t="s">
        <v>106</v>
      </c>
      <c r="BV268" s="2" t="s">
        <v>97</v>
      </c>
      <c r="BW268" s="2" t="s">
        <v>1189</v>
      </c>
      <c r="BX268" s="2" t="s">
        <v>1459</v>
      </c>
      <c r="BY268" s="2" t="s">
        <v>109</v>
      </c>
      <c r="BZ268" s="2" t="s">
        <v>100</v>
      </c>
    </row>
    <row r="269">
      <c r="A269" s="2" t="s">
        <v>1460</v>
      </c>
      <c r="B269" s="2" t="s">
        <v>1183</v>
      </c>
      <c r="C269" s="2" t="s">
        <v>1021</v>
      </c>
      <c r="D269" s="2" t="s">
        <v>1184</v>
      </c>
      <c r="E269" s="2" t="s">
        <v>776</v>
      </c>
      <c r="F269" s="2" t="s">
        <v>1432</v>
      </c>
      <c r="G269" s="2" t="s">
        <v>1432</v>
      </c>
      <c r="H269" s="2" t="s">
        <v>1432</v>
      </c>
      <c r="I269" s="2" t="s">
        <v>1433</v>
      </c>
      <c r="J269" s="2" t="s">
        <v>763</v>
      </c>
      <c r="K269" s="2" t="s">
        <v>771</v>
      </c>
      <c r="L269" s="3">
        <v>26.4</v>
      </c>
      <c r="M269" s="3">
        <v>27.72</v>
      </c>
      <c r="N269" s="3">
        <v>54.99</v>
      </c>
      <c r="O269" s="2" t="s">
        <v>97</v>
      </c>
      <c r="P269" s="2" t="s">
        <v>126</v>
      </c>
      <c r="Q269" s="2" t="s">
        <v>99</v>
      </c>
      <c r="R269" s="2" t="s">
        <v>100</v>
      </c>
      <c r="S269" s="2" t="s">
        <v>1461</v>
      </c>
      <c r="T269" s="2" t="s">
        <v>220</v>
      </c>
      <c r="U269" s="2" t="s">
        <v>1435</v>
      </c>
      <c r="V269" s="2" t="s">
        <v>221</v>
      </c>
      <c r="W269" s="2" t="s">
        <v>222</v>
      </c>
      <c r="X269" s="2" t="s">
        <v>100</v>
      </c>
      <c r="Y269" s="2" t="s">
        <v>1462</v>
      </c>
      <c r="Z269" s="4">
        <v>555</v>
      </c>
      <c r="AA269" s="4">
        <f>=ROUNDDOWN(29.2105263157895,0)</f>
      </c>
      <c r="AB269" s="5">
        <v>19</v>
      </c>
      <c r="AC269" s="2" t="s">
        <v>1443</v>
      </c>
      <c r="AD269" s="4">
        <v>400</v>
      </c>
      <c r="AE269" s="4">
        <v>1300</v>
      </c>
      <c r="AF269" s="6">
        <v>69</v>
      </c>
      <c r="AG269" s="6"/>
      <c r="AH269" s="7">
        <v>0.8947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/>
      <c r="BJ269" s="4">
        <v>250</v>
      </c>
      <c r="BK269" s="8">
        <v>7257.23</v>
      </c>
      <c r="BL269" s="2" t="s">
        <v>1463</v>
      </c>
      <c r="BM269" s="7"/>
      <c r="BN269" s="7"/>
      <c r="BO269" s="4"/>
      <c r="BP269" s="8"/>
      <c r="BQ269" s="4"/>
      <c r="BR269" s="8"/>
      <c r="BS269" s="7"/>
      <c r="BT269" s="7"/>
      <c r="BU269" s="2" t="s">
        <v>200</v>
      </c>
      <c r="BV269" s="2" t="s">
        <v>97</v>
      </c>
      <c r="BW269" s="2" t="s">
        <v>100</v>
      </c>
      <c r="BX269" s="2" t="s">
        <v>100</v>
      </c>
      <c r="BY269" s="2" t="s">
        <v>109</v>
      </c>
      <c r="BZ269" s="2" t="s">
        <v>100</v>
      </c>
    </row>
    <row r="270">
      <c r="A270" s="2" t="s">
        <v>1464</v>
      </c>
      <c r="B270" s="2" t="s">
        <v>1183</v>
      </c>
      <c r="C270" s="2" t="s">
        <v>799</v>
      </c>
      <c r="D270" s="2" t="s">
        <v>1184</v>
      </c>
      <c r="E270" s="2" t="s">
        <v>776</v>
      </c>
      <c r="F270" s="2" t="s">
        <v>1465</v>
      </c>
      <c r="G270" s="2" t="s">
        <v>1466</v>
      </c>
      <c r="H270" s="2" t="s">
        <v>1467</v>
      </c>
      <c r="I270" s="2" t="s">
        <v>1468</v>
      </c>
      <c r="J270" s="2" t="s">
        <v>778</v>
      </c>
      <c r="K270" s="2" t="s">
        <v>320</v>
      </c>
      <c r="L270" s="3">
        <v>18.4</v>
      </c>
      <c r="M270" s="3">
        <v>19.32</v>
      </c>
      <c r="N270" s="3">
        <v>39.99</v>
      </c>
      <c r="O270" s="2" t="s">
        <v>97</v>
      </c>
      <c r="P270" s="2" t="s">
        <v>126</v>
      </c>
      <c r="Q270" s="2" t="s">
        <v>99</v>
      </c>
      <c r="R270" s="2" t="s">
        <v>100</v>
      </c>
      <c r="S270" s="2" t="s">
        <v>100</v>
      </c>
      <c r="T270" s="2" t="s">
        <v>100</v>
      </c>
      <c r="U270" s="2" t="s">
        <v>100</v>
      </c>
      <c r="V270" s="2" t="s">
        <v>221</v>
      </c>
      <c r="W270" s="2" t="s">
        <v>222</v>
      </c>
      <c r="X270" s="2" t="s">
        <v>100</v>
      </c>
      <c r="Y270" s="2" t="s">
        <v>725</v>
      </c>
      <c r="Z270" s="4">
        <v>983</v>
      </c>
      <c r="AA270" s="4">
        <f>=ROUNDDOWN(30.71875,0)</f>
      </c>
      <c r="AB270" s="5">
        <v>32</v>
      </c>
      <c r="AC270" s="2" t="s">
        <v>1192</v>
      </c>
      <c r="AD270" s="4">
        <v>620</v>
      </c>
      <c r="AE270" s="4">
        <v>620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4</v>
      </c>
      <c r="AQ270" s="8">
        <v>76.2</v>
      </c>
      <c r="AR270" s="4"/>
      <c r="AS270" s="8"/>
      <c r="AT270" s="7"/>
      <c r="AU270" s="7"/>
      <c r="AV270" s="4">
        <v>4</v>
      </c>
      <c r="AW270" s="8">
        <v>76.2</v>
      </c>
      <c r="AX270" s="4"/>
      <c r="AY270" s="8"/>
      <c r="AZ270" s="7"/>
      <c r="BA270" s="7"/>
      <c r="BB270" s="7">
        <v>1</v>
      </c>
      <c r="BC270" s="4">
        <v>9</v>
      </c>
      <c r="BD270" s="8">
        <v>171.45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>
        <v>0.4444</v>
      </c>
      <c r="BJ270" s="4">
        <v>523</v>
      </c>
      <c r="BK270" s="8">
        <v>10026.83</v>
      </c>
      <c r="BL270" s="2" t="s">
        <v>1469</v>
      </c>
      <c r="BM270" s="7">
        <v>0.0076</v>
      </c>
      <c r="BN270" s="7">
        <v>0.0076</v>
      </c>
      <c r="BO270" s="4">
        <v>4</v>
      </c>
      <c r="BP270" s="8">
        <v>76.2</v>
      </c>
      <c r="BQ270" s="4"/>
      <c r="BR270" s="8"/>
      <c r="BS270" s="7"/>
      <c r="BT270" s="7"/>
      <c r="BU270" s="2" t="s">
        <v>106</v>
      </c>
      <c r="BV270" s="2" t="s">
        <v>97</v>
      </c>
      <c r="BW270" s="2" t="s">
        <v>634</v>
      </c>
      <c r="BX270" s="2" t="s">
        <v>1470</v>
      </c>
      <c r="BY270" s="2" t="s">
        <v>109</v>
      </c>
      <c r="BZ270" s="2" t="s">
        <v>100</v>
      </c>
    </row>
    <row r="271">
      <c r="A271" s="2" t="s">
        <v>1471</v>
      </c>
      <c r="B271" s="2" t="s">
        <v>1183</v>
      </c>
      <c r="C271" s="2" t="s">
        <v>799</v>
      </c>
      <c r="D271" s="2" t="s">
        <v>1184</v>
      </c>
      <c r="E271" s="2" t="s">
        <v>776</v>
      </c>
      <c r="F271" s="2" t="s">
        <v>1465</v>
      </c>
      <c r="G271" s="2" t="s">
        <v>1466</v>
      </c>
      <c r="H271" s="2" t="s">
        <v>1467</v>
      </c>
      <c r="I271" s="2" t="s">
        <v>1468</v>
      </c>
      <c r="J271" s="2" t="s">
        <v>778</v>
      </c>
      <c r="K271" s="2" t="s">
        <v>193</v>
      </c>
      <c r="L271" s="3">
        <v>18.4</v>
      </c>
      <c r="M271" s="3">
        <v>19.32</v>
      </c>
      <c r="N271" s="3">
        <v>39.99</v>
      </c>
      <c r="O271" s="2" t="s">
        <v>97</v>
      </c>
      <c r="P271" s="2" t="s">
        <v>126</v>
      </c>
      <c r="Q271" s="2" t="s">
        <v>99</v>
      </c>
      <c r="R271" s="2" t="s">
        <v>100</v>
      </c>
      <c r="S271" s="2" t="s">
        <v>1472</v>
      </c>
      <c r="T271" s="2" t="s">
        <v>220</v>
      </c>
      <c r="U271" s="2" t="s">
        <v>780</v>
      </c>
      <c r="V271" s="2" t="s">
        <v>221</v>
      </c>
      <c r="W271" s="2" t="s">
        <v>222</v>
      </c>
      <c r="X271" s="2" t="s">
        <v>100</v>
      </c>
      <c r="Y271" s="2" t="s">
        <v>1473</v>
      </c>
      <c r="Z271" s="4">
        <v>842</v>
      </c>
      <c r="AA271" s="4">
        <f>=ROUNDDOWN(30.0714285714286,0)</f>
      </c>
      <c r="AB271" s="5">
        <v>28</v>
      </c>
      <c r="AC271" s="2" t="s">
        <v>1192</v>
      </c>
      <c r="AD271" s="4">
        <v>620</v>
      </c>
      <c r="AE271" s="4">
        <v>620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>
        <v>3</v>
      </c>
      <c r="AQ271" s="8">
        <v>57.15</v>
      </c>
      <c r="AR271" s="4"/>
      <c r="AS271" s="8"/>
      <c r="AT271" s="7"/>
      <c r="AU271" s="7"/>
      <c r="AV271" s="4">
        <v>3</v>
      </c>
      <c r="AW271" s="8">
        <v>57.15</v>
      </c>
      <c r="AX271" s="4"/>
      <c r="AY271" s="8"/>
      <c r="AZ271" s="7"/>
      <c r="BA271" s="7"/>
      <c r="BB271" s="7">
        <v>1</v>
      </c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>
        <v>0.3333</v>
      </c>
      <c r="BJ271" s="4">
        <v>434</v>
      </c>
      <c r="BK271" s="8">
        <v>8305.76</v>
      </c>
      <c r="BL271" s="2" t="s">
        <v>1474</v>
      </c>
      <c r="BM271" s="7">
        <v>0.0069</v>
      </c>
      <c r="BN271" s="7">
        <v>0.0069</v>
      </c>
      <c r="BO271" s="4">
        <v>3</v>
      </c>
      <c r="BP271" s="8">
        <v>57.15</v>
      </c>
      <c r="BQ271" s="4"/>
      <c r="BR271" s="8"/>
      <c r="BS271" s="7"/>
      <c r="BT271" s="7"/>
      <c r="BU271" s="2" t="s">
        <v>106</v>
      </c>
      <c r="BV271" s="2" t="s">
        <v>97</v>
      </c>
      <c r="BW271" s="2" t="s">
        <v>1189</v>
      </c>
      <c r="BX271" s="2" t="s">
        <v>1475</v>
      </c>
      <c r="BY271" s="2" t="s">
        <v>109</v>
      </c>
      <c r="BZ271" s="2" t="s">
        <v>100</v>
      </c>
    </row>
    <row r="272">
      <c r="A272" s="2" t="s">
        <v>1476</v>
      </c>
      <c r="B272" s="2" t="s">
        <v>1183</v>
      </c>
      <c r="C272" s="2" t="s">
        <v>799</v>
      </c>
      <c r="D272" s="2" t="s">
        <v>1184</v>
      </c>
      <c r="E272" s="2" t="s">
        <v>776</v>
      </c>
      <c r="F272" s="2" t="s">
        <v>1465</v>
      </c>
      <c r="G272" s="2" t="s">
        <v>1466</v>
      </c>
      <c r="H272" s="2" t="s">
        <v>1467</v>
      </c>
      <c r="I272" s="2" t="s">
        <v>1468</v>
      </c>
      <c r="J272" s="2" t="s">
        <v>778</v>
      </c>
      <c r="K272" s="2" t="s">
        <v>407</v>
      </c>
      <c r="L272" s="3">
        <v>18.4</v>
      </c>
      <c r="M272" s="3">
        <v>19.32</v>
      </c>
      <c r="N272" s="3">
        <v>39.99</v>
      </c>
      <c r="O272" s="2" t="s">
        <v>97</v>
      </c>
      <c r="P272" s="2" t="s">
        <v>113</v>
      </c>
      <c r="Q272" s="2" t="s">
        <v>99</v>
      </c>
      <c r="R272" s="2" t="s">
        <v>100</v>
      </c>
      <c r="S272" s="2" t="s">
        <v>100</v>
      </c>
      <c r="T272" s="2" t="s">
        <v>100</v>
      </c>
      <c r="U272" s="2" t="s">
        <v>100</v>
      </c>
      <c r="V272" s="2" t="s">
        <v>221</v>
      </c>
      <c r="W272" s="2" t="s">
        <v>222</v>
      </c>
      <c r="X272" s="2" t="s">
        <v>100</v>
      </c>
      <c r="Y272" s="2" t="s">
        <v>725</v>
      </c>
      <c r="Z272" s="4">
        <v>1024</v>
      </c>
      <c r="AA272" s="4">
        <f>=ROUNDDOWN(22.7555555555556,0)</f>
      </c>
      <c r="AB272" s="5">
        <v>45</v>
      </c>
      <c r="AC272" s="2" t="s">
        <v>1192</v>
      </c>
      <c r="AD272" s="4">
        <v>620</v>
      </c>
      <c r="AE272" s="4">
        <v>1240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>
        <v>2</v>
      </c>
      <c r="AQ272" s="8">
        <v>38.1</v>
      </c>
      <c r="AR272" s="4"/>
      <c r="AS272" s="8"/>
      <c r="AT272" s="7"/>
      <c r="AU272" s="7"/>
      <c r="AV272" s="4">
        <v>2</v>
      </c>
      <c r="AW272" s="8">
        <v>38.1</v>
      </c>
      <c r="AX272" s="4"/>
      <c r="AY272" s="8"/>
      <c r="AZ272" s="7"/>
      <c r="BA272" s="7"/>
      <c r="BB272" s="7">
        <v>1</v>
      </c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0.2222</v>
      </c>
      <c r="BJ272" s="4">
        <v>783</v>
      </c>
      <c r="BK272" s="8">
        <v>14781.23</v>
      </c>
      <c r="BL272" s="2" t="s">
        <v>1477</v>
      </c>
      <c r="BM272" s="7">
        <v>0.0026</v>
      </c>
      <c r="BN272" s="7">
        <v>0.0026</v>
      </c>
      <c r="BO272" s="4">
        <v>2</v>
      </c>
      <c r="BP272" s="8">
        <v>38.1</v>
      </c>
      <c r="BQ272" s="4"/>
      <c r="BR272" s="8"/>
      <c r="BS272" s="7"/>
      <c r="BT272" s="7"/>
      <c r="BU272" s="2" t="s">
        <v>106</v>
      </c>
      <c r="BV272" s="2" t="s">
        <v>97</v>
      </c>
      <c r="BW272" s="2" t="s">
        <v>634</v>
      </c>
      <c r="BX272" s="2" t="s">
        <v>1478</v>
      </c>
      <c r="BY272" s="2" t="s">
        <v>109</v>
      </c>
      <c r="BZ272" s="2" t="s">
        <v>100</v>
      </c>
    </row>
    <row r="273">
      <c r="A273" s="2" t="s">
        <v>1479</v>
      </c>
      <c r="B273" s="2" t="s">
        <v>1183</v>
      </c>
      <c r="C273" s="2" t="s">
        <v>799</v>
      </c>
      <c r="D273" s="2" t="s">
        <v>1184</v>
      </c>
      <c r="E273" s="2" t="s">
        <v>776</v>
      </c>
      <c r="F273" s="2" t="s">
        <v>1465</v>
      </c>
      <c r="G273" s="2" t="s">
        <v>1466</v>
      </c>
      <c r="H273" s="2" t="s">
        <v>1467</v>
      </c>
      <c r="I273" s="2" t="s">
        <v>1468</v>
      </c>
      <c r="J273" s="2" t="s">
        <v>778</v>
      </c>
      <c r="K273" s="2" t="s">
        <v>174</v>
      </c>
      <c r="L273" s="3">
        <v>18.4</v>
      </c>
      <c r="M273" s="3">
        <v>19.32</v>
      </c>
      <c r="N273" s="3">
        <v>39.99</v>
      </c>
      <c r="O273" s="2" t="s">
        <v>97</v>
      </c>
      <c r="P273" s="2" t="s">
        <v>126</v>
      </c>
      <c r="Q273" s="2" t="s">
        <v>99</v>
      </c>
      <c r="R273" s="2" t="s">
        <v>100</v>
      </c>
      <c r="S273" s="2" t="s">
        <v>1480</v>
      </c>
      <c r="T273" s="2" t="s">
        <v>220</v>
      </c>
      <c r="U273" s="2" t="s">
        <v>780</v>
      </c>
      <c r="V273" s="2" t="s">
        <v>221</v>
      </c>
      <c r="W273" s="2" t="s">
        <v>222</v>
      </c>
      <c r="X273" s="2" t="s">
        <v>100</v>
      </c>
      <c r="Y273" s="2" t="s">
        <v>1481</v>
      </c>
      <c r="Z273" s="4">
        <v>672</v>
      </c>
      <c r="AA273" s="4">
        <f>=ROUNDDOWN(35.3684210526316,0)</f>
      </c>
      <c r="AB273" s="5">
        <v>19</v>
      </c>
      <c r="AC273" s="2" t="s">
        <v>100</v>
      </c>
      <c r="AD273" s="4"/>
      <c r="AE273" s="4"/>
      <c r="AF273" s="6">
        <v>69</v>
      </c>
      <c r="AG273" s="6"/>
      <c r="AH273" s="7">
        <v>0.8947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/>
      <c r="BJ273" s="4">
        <v>203</v>
      </c>
      <c r="BK273" s="8">
        <v>3908.44</v>
      </c>
      <c r="BL273" s="2" t="s">
        <v>1482</v>
      </c>
      <c r="BM273" s="7"/>
      <c r="BN273" s="7"/>
      <c r="BO273" s="4"/>
      <c r="BP273" s="8"/>
      <c r="BQ273" s="4"/>
      <c r="BR273" s="8"/>
      <c r="BS273" s="7"/>
      <c r="BT273" s="7"/>
      <c r="BU273" s="2" t="s">
        <v>200</v>
      </c>
      <c r="BV273" s="2" t="s">
        <v>97</v>
      </c>
      <c r="BW273" s="2" t="s">
        <v>100</v>
      </c>
      <c r="BX273" s="2" t="s">
        <v>100</v>
      </c>
      <c r="BY273" s="2" t="s">
        <v>109</v>
      </c>
      <c r="BZ273" s="2" t="s">
        <v>110</v>
      </c>
    </row>
    <row r="274">
      <c r="A274" s="2" t="s">
        <v>1483</v>
      </c>
      <c r="B274" s="2" t="s">
        <v>1183</v>
      </c>
      <c r="C274" s="2" t="s">
        <v>799</v>
      </c>
      <c r="D274" s="2" t="s">
        <v>1184</v>
      </c>
      <c r="E274" s="2" t="s">
        <v>776</v>
      </c>
      <c r="F274" s="2" t="s">
        <v>1465</v>
      </c>
      <c r="G274" s="2" t="s">
        <v>1466</v>
      </c>
      <c r="H274" s="2" t="s">
        <v>1467</v>
      </c>
      <c r="I274" s="2" t="s">
        <v>1468</v>
      </c>
      <c r="J274" s="2" t="s">
        <v>778</v>
      </c>
      <c r="K274" s="2" t="s">
        <v>133</v>
      </c>
      <c r="L274" s="3">
        <v>18.4</v>
      </c>
      <c r="M274" s="3">
        <v>19.32</v>
      </c>
      <c r="N274" s="3">
        <v>39.99</v>
      </c>
      <c r="O274" s="2" t="s">
        <v>97</v>
      </c>
      <c r="P274" s="2" t="s">
        <v>126</v>
      </c>
      <c r="Q274" s="2" t="s">
        <v>99</v>
      </c>
      <c r="R274" s="2" t="s">
        <v>100</v>
      </c>
      <c r="S274" s="2" t="s">
        <v>100</v>
      </c>
      <c r="T274" s="2" t="s">
        <v>100</v>
      </c>
      <c r="U274" s="2" t="s">
        <v>100</v>
      </c>
      <c r="V274" s="2" t="s">
        <v>221</v>
      </c>
      <c r="W274" s="2" t="s">
        <v>222</v>
      </c>
      <c r="X274" s="2" t="s">
        <v>100</v>
      </c>
      <c r="Y274" s="2" t="s">
        <v>725</v>
      </c>
      <c r="Z274" s="4">
        <v>1185</v>
      </c>
      <c r="AA274" s="4">
        <f>=ROUNDDOWN(32.9166666666667,0)</f>
      </c>
      <c r="AB274" s="5">
        <v>36</v>
      </c>
      <c r="AC274" s="2" t="s">
        <v>1484</v>
      </c>
      <c r="AD274" s="4">
        <v>620</v>
      </c>
      <c r="AE274" s="4">
        <v>620</v>
      </c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/>
      <c r="BJ274" s="4">
        <v>620</v>
      </c>
      <c r="BK274" s="8">
        <v>11918.58</v>
      </c>
      <c r="BL274" s="2" t="s">
        <v>1485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97</v>
      </c>
      <c r="BW274" s="2" t="s">
        <v>634</v>
      </c>
      <c r="BX274" s="2" t="s">
        <v>1187</v>
      </c>
      <c r="BY274" s="2" t="s">
        <v>109</v>
      </c>
      <c r="BZ274" s="2" t="s">
        <v>100</v>
      </c>
    </row>
    <row r="275">
      <c r="A275" s="2" t="s">
        <v>1486</v>
      </c>
      <c r="B275" s="2" t="s">
        <v>1183</v>
      </c>
      <c r="C275" s="2" t="s">
        <v>799</v>
      </c>
      <c r="D275" s="2" t="s">
        <v>1184</v>
      </c>
      <c r="E275" s="2" t="s">
        <v>776</v>
      </c>
      <c r="F275" s="2" t="s">
        <v>1465</v>
      </c>
      <c r="G275" s="2" t="s">
        <v>1466</v>
      </c>
      <c r="H275" s="2" t="s">
        <v>1467</v>
      </c>
      <c r="I275" s="2" t="s">
        <v>1468</v>
      </c>
      <c r="J275" s="2" t="s">
        <v>778</v>
      </c>
      <c r="K275" s="2" t="s">
        <v>1487</v>
      </c>
      <c r="L275" s="3">
        <v>18.4</v>
      </c>
      <c r="M275" s="3">
        <v>19.32</v>
      </c>
      <c r="N275" s="3">
        <v>39.99</v>
      </c>
      <c r="O275" s="2" t="s">
        <v>97</v>
      </c>
      <c r="P275" s="2" t="s">
        <v>126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100</v>
      </c>
      <c r="V275" s="2" t="s">
        <v>221</v>
      </c>
      <c r="W275" s="2" t="s">
        <v>222</v>
      </c>
      <c r="X275" s="2" t="s">
        <v>100</v>
      </c>
      <c r="Y275" s="2" t="s">
        <v>725</v>
      </c>
      <c r="Z275" s="4">
        <v>693</v>
      </c>
      <c r="AA275" s="4">
        <f>=ROUNDDOWN(24.75,0)</f>
      </c>
      <c r="AB275" s="5">
        <v>28</v>
      </c>
      <c r="AC275" s="2" t="s">
        <v>1192</v>
      </c>
      <c r="AD275" s="4">
        <v>620</v>
      </c>
      <c r="AE275" s="4">
        <v>620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/>
      <c r="BJ275" s="4">
        <v>425</v>
      </c>
      <c r="BK275" s="8">
        <v>8213.03</v>
      </c>
      <c r="BL275" s="2" t="s">
        <v>1485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97</v>
      </c>
      <c r="BW275" s="2" t="s">
        <v>634</v>
      </c>
      <c r="BX275" s="2" t="s">
        <v>1470</v>
      </c>
      <c r="BY275" s="2" t="s">
        <v>109</v>
      </c>
      <c r="BZ275" s="2" t="s">
        <v>100</v>
      </c>
    </row>
    <row r="276">
      <c r="A276" s="2" t="s">
        <v>1488</v>
      </c>
      <c r="B276" s="2" t="s">
        <v>1183</v>
      </c>
      <c r="C276" s="2" t="s">
        <v>799</v>
      </c>
      <c r="D276" s="2" t="s">
        <v>1184</v>
      </c>
      <c r="E276" s="2" t="s">
        <v>776</v>
      </c>
      <c r="F276" s="2" t="s">
        <v>1465</v>
      </c>
      <c r="G276" s="2" t="s">
        <v>1466</v>
      </c>
      <c r="H276" s="2" t="s">
        <v>1467</v>
      </c>
      <c r="I276" s="2" t="s">
        <v>1468</v>
      </c>
      <c r="J276" s="2" t="s">
        <v>778</v>
      </c>
      <c r="K276" s="2" t="s">
        <v>771</v>
      </c>
      <c r="L276" s="3">
        <v>18.4</v>
      </c>
      <c r="M276" s="3">
        <v>19.32</v>
      </c>
      <c r="N276" s="3">
        <v>39.99</v>
      </c>
      <c r="O276" s="2" t="s">
        <v>97</v>
      </c>
      <c r="P276" s="2" t="s">
        <v>126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100</v>
      </c>
      <c r="V276" s="2" t="s">
        <v>221</v>
      </c>
      <c r="W276" s="2" t="s">
        <v>222</v>
      </c>
      <c r="X276" s="2" t="s">
        <v>100</v>
      </c>
      <c r="Y276" s="2" t="s">
        <v>725</v>
      </c>
      <c r="Z276" s="4">
        <v>1671</v>
      </c>
      <c r="AA276" s="4">
        <f>=ROUNDDOWN(50.6363636363636,0)</f>
      </c>
      <c r="AB276" s="5">
        <v>33</v>
      </c>
      <c r="AC276" s="2" t="s">
        <v>100</v>
      </c>
      <c r="AD276" s="4"/>
      <c r="AE276" s="4"/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/>
      <c r="BJ276" s="4">
        <v>485</v>
      </c>
      <c r="BK276" s="8">
        <v>9142.52</v>
      </c>
      <c r="BL276" s="2" t="s">
        <v>1489</v>
      </c>
      <c r="BM276" s="7"/>
      <c r="BN276" s="7"/>
      <c r="BO276" s="4"/>
      <c r="BP276" s="8"/>
      <c r="BQ276" s="4"/>
      <c r="BR276" s="8"/>
      <c r="BS276" s="7"/>
      <c r="BT276" s="7"/>
      <c r="BU276" s="2" t="s">
        <v>106</v>
      </c>
      <c r="BV276" s="2" t="s">
        <v>97</v>
      </c>
      <c r="BW276" s="2" t="s">
        <v>634</v>
      </c>
      <c r="BX276" s="2" t="s">
        <v>1490</v>
      </c>
      <c r="BY276" s="2" t="s">
        <v>109</v>
      </c>
      <c r="BZ276" s="2" t="s">
        <v>100</v>
      </c>
    </row>
    <row r="277">
      <c r="A277" s="2" t="s">
        <v>1491</v>
      </c>
      <c r="B277" s="2" t="s">
        <v>1183</v>
      </c>
      <c r="C277" s="2" t="s">
        <v>799</v>
      </c>
      <c r="D277" s="2" t="s">
        <v>1184</v>
      </c>
      <c r="E277" s="2" t="s">
        <v>776</v>
      </c>
      <c r="F277" s="2" t="s">
        <v>1465</v>
      </c>
      <c r="G277" s="2" t="s">
        <v>1466</v>
      </c>
      <c r="H277" s="2" t="s">
        <v>1467</v>
      </c>
      <c r="I277" s="2" t="s">
        <v>1468</v>
      </c>
      <c r="J277" s="2" t="s">
        <v>778</v>
      </c>
      <c r="K277" s="2" t="s">
        <v>125</v>
      </c>
      <c r="L277" s="3">
        <v>18.4</v>
      </c>
      <c r="M277" s="3">
        <v>19.32</v>
      </c>
      <c r="N277" s="3">
        <v>39.99</v>
      </c>
      <c r="O277" s="2" t="s">
        <v>97</v>
      </c>
      <c r="P277" s="2" t="s">
        <v>134</v>
      </c>
      <c r="Q277" s="2" t="s">
        <v>99</v>
      </c>
      <c r="R277" s="2" t="s">
        <v>100</v>
      </c>
      <c r="S277" s="2" t="s">
        <v>1492</v>
      </c>
      <c r="T277" s="2" t="s">
        <v>220</v>
      </c>
      <c r="U277" s="2" t="s">
        <v>780</v>
      </c>
      <c r="V277" s="2" t="s">
        <v>221</v>
      </c>
      <c r="W277" s="2" t="s">
        <v>222</v>
      </c>
      <c r="X277" s="2" t="s">
        <v>100</v>
      </c>
      <c r="Y277" s="2" t="s">
        <v>1481</v>
      </c>
      <c r="Z277" s="4">
        <v>308</v>
      </c>
      <c r="AA277" s="4">
        <f>=ROUNDDOWN(25.6666666666667,0)</f>
      </c>
      <c r="AB277" s="5">
        <v>12</v>
      </c>
      <c r="AC277" s="2" t="s">
        <v>100</v>
      </c>
      <c r="AD277" s="4"/>
      <c r="AE277" s="4"/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/>
      <c r="BJ277" s="4">
        <v>135</v>
      </c>
      <c r="BK277" s="8">
        <v>2539.89</v>
      </c>
      <c r="BL277" s="2" t="s">
        <v>1493</v>
      </c>
      <c r="BM277" s="7"/>
      <c r="BN277" s="7"/>
      <c r="BO277" s="4"/>
      <c r="BP277" s="8"/>
      <c r="BQ277" s="4"/>
      <c r="BR277" s="8"/>
      <c r="BS277" s="7"/>
      <c r="BT277" s="7"/>
      <c r="BU277" s="2" t="s">
        <v>200</v>
      </c>
      <c r="BV277" s="2" t="s">
        <v>97</v>
      </c>
      <c r="BW277" s="2" t="s">
        <v>100</v>
      </c>
      <c r="BX277" s="2" t="s">
        <v>100</v>
      </c>
      <c r="BY277" s="2" t="s">
        <v>109</v>
      </c>
      <c r="BZ277" s="2" t="s">
        <v>100</v>
      </c>
    </row>
    <row r="278">
      <c r="A278" s="2" t="s">
        <v>1494</v>
      </c>
      <c r="B278" s="2" t="s">
        <v>1183</v>
      </c>
      <c r="C278" s="2" t="s">
        <v>1050</v>
      </c>
      <c r="D278" s="2" t="s">
        <v>1184</v>
      </c>
      <c r="E278" s="2" t="s">
        <v>776</v>
      </c>
      <c r="F278" s="2" t="s">
        <v>1495</v>
      </c>
      <c r="G278" s="2" t="s">
        <v>1495</v>
      </c>
      <c r="H278" s="2" t="s">
        <v>1495</v>
      </c>
      <c r="I278" s="2" t="s">
        <v>1496</v>
      </c>
      <c r="J278" s="2" t="s">
        <v>763</v>
      </c>
      <c r="K278" s="2" t="s">
        <v>133</v>
      </c>
      <c r="L278" s="3">
        <v>36.5</v>
      </c>
      <c r="M278" s="3">
        <v>38.33</v>
      </c>
      <c r="N278" s="3">
        <v>79.99</v>
      </c>
      <c r="O278" s="2" t="s">
        <v>97</v>
      </c>
      <c r="P278" s="2" t="s">
        <v>1017</v>
      </c>
      <c r="Q278" s="2" t="s">
        <v>99</v>
      </c>
      <c r="R278" s="2" t="s">
        <v>100</v>
      </c>
      <c r="S278" s="2" t="s">
        <v>1497</v>
      </c>
      <c r="T278" s="2" t="s">
        <v>220</v>
      </c>
      <c r="U278" s="2" t="s">
        <v>780</v>
      </c>
      <c r="V278" s="2" t="s">
        <v>221</v>
      </c>
      <c r="W278" s="2" t="s">
        <v>536</v>
      </c>
      <c r="X278" s="2" t="s">
        <v>100</v>
      </c>
      <c r="Y278" s="2" t="s">
        <v>1498</v>
      </c>
      <c r="Z278" s="4">
        <v>294</v>
      </c>
      <c r="AA278" s="4">
        <f>=ROUNDDOWN(29.4,0)</f>
      </c>
      <c r="AB278" s="5">
        <v>10</v>
      </c>
      <c r="AC278" s="2" t="s">
        <v>1499</v>
      </c>
      <c r="AD278" s="4">
        <v>230</v>
      </c>
      <c r="AE278" s="4">
        <v>230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/>
      <c r="BJ278" s="4">
        <v>120</v>
      </c>
      <c r="BK278" s="8">
        <v>4809.55</v>
      </c>
      <c r="BL278" s="2" t="s">
        <v>1055</v>
      </c>
      <c r="BM278" s="7"/>
      <c r="BN278" s="7"/>
      <c r="BO278" s="4"/>
      <c r="BP278" s="8"/>
      <c r="BQ278" s="4"/>
      <c r="BR278" s="8"/>
      <c r="BS278" s="7"/>
      <c r="BT278" s="7"/>
      <c r="BU278" s="2" t="s">
        <v>200</v>
      </c>
      <c r="BV278" s="2" t="s">
        <v>97</v>
      </c>
      <c r="BW278" s="2" t="s">
        <v>100</v>
      </c>
      <c r="BX278" s="2" t="s">
        <v>100</v>
      </c>
      <c r="BY278" s="2" t="s">
        <v>109</v>
      </c>
      <c r="BZ278" s="2" t="s">
        <v>100</v>
      </c>
    </row>
    <row r="279">
      <c r="A279" s="2" t="s">
        <v>1500</v>
      </c>
      <c r="B279" s="2" t="s">
        <v>1183</v>
      </c>
      <c r="C279" s="2" t="s">
        <v>1050</v>
      </c>
      <c r="D279" s="2" t="s">
        <v>1184</v>
      </c>
      <c r="E279" s="2" t="s">
        <v>776</v>
      </c>
      <c r="F279" s="2" t="s">
        <v>1495</v>
      </c>
      <c r="G279" s="2" t="s">
        <v>1495</v>
      </c>
      <c r="H279" s="2" t="s">
        <v>1495</v>
      </c>
      <c r="I279" s="2" t="s">
        <v>1496</v>
      </c>
      <c r="J279" s="2" t="s">
        <v>763</v>
      </c>
      <c r="K279" s="2" t="s">
        <v>742</v>
      </c>
      <c r="L279" s="3">
        <v>36.5</v>
      </c>
      <c r="M279" s="3">
        <v>38.33</v>
      </c>
      <c r="N279" s="3">
        <v>79.99</v>
      </c>
      <c r="O279" s="2" t="s">
        <v>97</v>
      </c>
      <c r="P279" s="2" t="s">
        <v>1017</v>
      </c>
      <c r="Q279" s="2" t="s">
        <v>99</v>
      </c>
      <c r="R279" s="2" t="s">
        <v>100</v>
      </c>
      <c r="S279" s="2" t="s">
        <v>1501</v>
      </c>
      <c r="T279" s="2" t="s">
        <v>220</v>
      </c>
      <c r="U279" s="2" t="s">
        <v>780</v>
      </c>
      <c r="V279" s="2" t="s">
        <v>221</v>
      </c>
      <c r="W279" s="2" t="s">
        <v>536</v>
      </c>
      <c r="X279" s="2" t="s">
        <v>100</v>
      </c>
      <c r="Y279" s="2" t="s">
        <v>1498</v>
      </c>
      <c r="Z279" s="4">
        <v>76</v>
      </c>
      <c r="AA279" s="4">
        <f>=ROUNDDOWN(8.44444444444444,0)</f>
      </c>
      <c r="AB279" s="5">
        <v>9</v>
      </c>
      <c r="AC279" s="2" t="s">
        <v>1499</v>
      </c>
      <c r="AD279" s="4">
        <v>380</v>
      </c>
      <c r="AE279" s="4">
        <v>380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/>
      <c r="BJ279" s="4">
        <v>104</v>
      </c>
      <c r="BK279" s="8">
        <v>4202.43</v>
      </c>
      <c r="BL279" s="2" t="s">
        <v>1502</v>
      </c>
      <c r="BM279" s="7"/>
      <c r="BN279" s="7"/>
      <c r="BO279" s="4"/>
      <c r="BP279" s="8"/>
      <c r="BQ279" s="4"/>
      <c r="BR279" s="8"/>
      <c r="BS279" s="7"/>
      <c r="BT279" s="7"/>
      <c r="BU279" s="2" t="s">
        <v>200</v>
      </c>
      <c r="BV279" s="2" t="s">
        <v>97</v>
      </c>
      <c r="BW279" s="2" t="s">
        <v>100</v>
      </c>
      <c r="BX279" s="2" t="s">
        <v>100</v>
      </c>
      <c r="BY279" s="2" t="s">
        <v>109</v>
      </c>
      <c r="BZ279" s="2" t="s">
        <v>100</v>
      </c>
    </row>
    <row r="280">
      <c r="A280" s="2" t="s">
        <v>1503</v>
      </c>
      <c r="B280" s="2" t="s">
        <v>1183</v>
      </c>
      <c r="C280" s="2" t="s">
        <v>1050</v>
      </c>
      <c r="D280" s="2" t="s">
        <v>1184</v>
      </c>
      <c r="E280" s="2" t="s">
        <v>776</v>
      </c>
      <c r="F280" s="2" t="s">
        <v>1495</v>
      </c>
      <c r="G280" s="2" t="s">
        <v>1495</v>
      </c>
      <c r="H280" s="2" t="s">
        <v>1495</v>
      </c>
      <c r="I280" s="2" t="s">
        <v>1496</v>
      </c>
      <c r="J280" s="2" t="s">
        <v>763</v>
      </c>
      <c r="K280" s="2" t="s">
        <v>243</v>
      </c>
      <c r="L280" s="3">
        <v>36.5</v>
      </c>
      <c r="M280" s="3">
        <v>38.33</v>
      </c>
      <c r="N280" s="3">
        <v>79.99</v>
      </c>
      <c r="O280" s="2" t="s">
        <v>97</v>
      </c>
      <c r="P280" s="2" t="s">
        <v>1017</v>
      </c>
      <c r="Q280" s="2" t="s">
        <v>99</v>
      </c>
      <c r="R280" s="2" t="s">
        <v>100</v>
      </c>
      <c r="S280" s="2" t="s">
        <v>1504</v>
      </c>
      <c r="T280" s="2" t="s">
        <v>220</v>
      </c>
      <c r="U280" s="2" t="s">
        <v>780</v>
      </c>
      <c r="V280" s="2" t="s">
        <v>221</v>
      </c>
      <c r="W280" s="2" t="s">
        <v>536</v>
      </c>
      <c r="X280" s="2" t="s">
        <v>100</v>
      </c>
      <c r="Y280" s="2" t="s">
        <v>1498</v>
      </c>
      <c r="Z280" s="4">
        <v>184</v>
      </c>
      <c r="AA280" s="4">
        <f>=ROUNDDOWN(20.4444444444444,0)</f>
      </c>
      <c r="AB280" s="5">
        <v>9</v>
      </c>
      <c r="AC280" s="2" t="s">
        <v>1499</v>
      </c>
      <c r="AD280" s="4">
        <v>420</v>
      </c>
      <c r="AE280" s="4">
        <v>420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/>
      <c r="BJ280" s="4">
        <v>127</v>
      </c>
      <c r="BK280" s="8">
        <v>5054.05</v>
      </c>
      <c r="BL280" s="2" t="s">
        <v>1505</v>
      </c>
      <c r="BM280" s="7"/>
      <c r="BN280" s="7"/>
      <c r="BO280" s="4"/>
      <c r="BP280" s="8"/>
      <c r="BQ280" s="4"/>
      <c r="BR280" s="8"/>
      <c r="BS280" s="7"/>
      <c r="BT280" s="7"/>
      <c r="BU280" s="2" t="s">
        <v>200</v>
      </c>
      <c r="BV280" s="2" t="s">
        <v>97</v>
      </c>
      <c r="BW280" s="2" t="s">
        <v>100</v>
      </c>
      <c r="BX280" s="2" t="s">
        <v>100</v>
      </c>
      <c r="BY280" s="2" t="s">
        <v>109</v>
      </c>
      <c r="BZ280" s="2" t="s">
        <v>100</v>
      </c>
    </row>
    <row r="281">
      <c r="A281" s="2" t="s">
        <v>1506</v>
      </c>
      <c r="B281" s="2" t="s">
        <v>1183</v>
      </c>
      <c r="C281" s="2" t="s">
        <v>1050</v>
      </c>
      <c r="D281" s="2" t="s">
        <v>1184</v>
      </c>
      <c r="E281" s="2" t="s">
        <v>776</v>
      </c>
      <c r="F281" s="2" t="s">
        <v>1495</v>
      </c>
      <c r="G281" s="2" t="s">
        <v>1495</v>
      </c>
      <c r="H281" s="2" t="s">
        <v>1495</v>
      </c>
      <c r="I281" s="2" t="s">
        <v>1496</v>
      </c>
      <c r="J281" s="2" t="s">
        <v>763</v>
      </c>
      <c r="K281" s="2" t="s">
        <v>267</v>
      </c>
      <c r="L281" s="3">
        <v>36.5</v>
      </c>
      <c r="M281" s="3">
        <v>38.33</v>
      </c>
      <c r="N281" s="3">
        <v>79.99</v>
      </c>
      <c r="O281" s="2" t="s">
        <v>97</v>
      </c>
      <c r="P281" s="2" t="s">
        <v>1017</v>
      </c>
      <c r="Q281" s="2" t="s">
        <v>99</v>
      </c>
      <c r="R281" s="2" t="s">
        <v>100</v>
      </c>
      <c r="S281" s="2" t="s">
        <v>1507</v>
      </c>
      <c r="T281" s="2" t="s">
        <v>220</v>
      </c>
      <c r="U281" s="2" t="s">
        <v>780</v>
      </c>
      <c r="V281" s="2" t="s">
        <v>221</v>
      </c>
      <c r="W281" s="2" t="s">
        <v>536</v>
      </c>
      <c r="X281" s="2" t="s">
        <v>100</v>
      </c>
      <c r="Y281" s="2" t="s">
        <v>1498</v>
      </c>
      <c r="Z281" s="4">
        <v>240</v>
      </c>
      <c r="AA281" s="4">
        <f>=ROUNDDOWN(24,0)</f>
      </c>
      <c r="AB281" s="5">
        <v>10</v>
      </c>
      <c r="AC281" s="2" t="s">
        <v>1499</v>
      </c>
      <c r="AD281" s="4">
        <v>350</v>
      </c>
      <c r="AE281" s="4">
        <v>350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/>
      <c r="BJ281" s="4">
        <v>134</v>
      </c>
      <c r="BK281" s="8">
        <v>5475.87</v>
      </c>
      <c r="BL281" s="2" t="s">
        <v>1505</v>
      </c>
      <c r="BM281" s="7"/>
      <c r="BN281" s="7"/>
      <c r="BO281" s="4"/>
      <c r="BP281" s="8"/>
      <c r="BQ281" s="4"/>
      <c r="BR281" s="8"/>
      <c r="BS281" s="7"/>
      <c r="BT281" s="7"/>
      <c r="BU281" s="2" t="s">
        <v>200</v>
      </c>
      <c r="BV281" s="2" t="s">
        <v>97</v>
      </c>
      <c r="BW281" s="2" t="s">
        <v>100</v>
      </c>
      <c r="BX281" s="2" t="s">
        <v>100</v>
      </c>
      <c r="BY281" s="2" t="s">
        <v>109</v>
      </c>
      <c r="BZ281" s="2" t="s">
        <v>100</v>
      </c>
    </row>
    <row r="282">
      <c r="A282" s="2" t="s">
        <v>1508</v>
      </c>
      <c r="B282" s="2" t="s">
        <v>1183</v>
      </c>
      <c r="C282" s="2" t="s">
        <v>1050</v>
      </c>
      <c r="D282" s="2" t="s">
        <v>1184</v>
      </c>
      <c r="E282" s="2" t="s">
        <v>776</v>
      </c>
      <c r="F282" s="2" t="s">
        <v>1495</v>
      </c>
      <c r="G282" s="2" t="s">
        <v>1495</v>
      </c>
      <c r="H282" s="2" t="s">
        <v>1495</v>
      </c>
      <c r="I282" s="2" t="s">
        <v>1496</v>
      </c>
      <c r="J282" s="2" t="s">
        <v>763</v>
      </c>
      <c r="K282" s="2" t="s">
        <v>320</v>
      </c>
      <c r="L282" s="3">
        <v>36.5</v>
      </c>
      <c r="M282" s="3">
        <v>38.33</v>
      </c>
      <c r="N282" s="3">
        <v>79.99</v>
      </c>
      <c r="O282" s="2" t="s">
        <v>97</v>
      </c>
      <c r="P282" s="2" t="s">
        <v>1017</v>
      </c>
      <c r="Q282" s="2" t="s">
        <v>99</v>
      </c>
      <c r="R282" s="2" t="s">
        <v>100</v>
      </c>
      <c r="S282" s="2" t="s">
        <v>1509</v>
      </c>
      <c r="T282" s="2" t="s">
        <v>220</v>
      </c>
      <c r="U282" s="2" t="s">
        <v>780</v>
      </c>
      <c r="V282" s="2" t="s">
        <v>221</v>
      </c>
      <c r="W282" s="2" t="s">
        <v>536</v>
      </c>
      <c r="X282" s="2" t="s">
        <v>100</v>
      </c>
      <c r="Y282" s="2" t="s">
        <v>1498</v>
      </c>
      <c r="Z282" s="4">
        <v>282</v>
      </c>
      <c r="AA282" s="4">
        <f>=ROUNDDOWN(31.3333333333333,0)</f>
      </c>
      <c r="AB282" s="5">
        <v>9</v>
      </c>
      <c r="AC282" s="2" t="s">
        <v>1499</v>
      </c>
      <c r="AD282" s="4">
        <v>260</v>
      </c>
      <c r="AE282" s="4">
        <v>260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>
        <v>88</v>
      </c>
      <c r="BK282" s="8">
        <v>3437.5</v>
      </c>
      <c r="BL282" s="2" t="s">
        <v>1510</v>
      </c>
      <c r="BM282" s="7"/>
      <c r="BN282" s="7"/>
      <c r="BO282" s="4"/>
      <c r="BP282" s="8"/>
      <c r="BQ282" s="4"/>
      <c r="BR282" s="8"/>
      <c r="BS282" s="7"/>
      <c r="BT282" s="7"/>
      <c r="BU282" s="2" t="s">
        <v>200</v>
      </c>
      <c r="BV282" s="2" t="s">
        <v>97</v>
      </c>
      <c r="BW282" s="2" t="s">
        <v>100</v>
      </c>
      <c r="BX282" s="2" t="s">
        <v>100</v>
      </c>
      <c r="BY282" s="2" t="s">
        <v>109</v>
      </c>
      <c r="BZ282" s="2" t="s">
        <v>100</v>
      </c>
    </row>
    <row r="283">
      <c r="A283" s="2" t="s">
        <v>1511</v>
      </c>
      <c r="B283" s="2" t="s">
        <v>1183</v>
      </c>
      <c r="C283" s="2" t="s">
        <v>1050</v>
      </c>
      <c r="D283" s="2" t="s">
        <v>1184</v>
      </c>
      <c r="E283" s="2" t="s">
        <v>776</v>
      </c>
      <c r="F283" s="2" t="s">
        <v>1495</v>
      </c>
      <c r="G283" s="2" t="s">
        <v>1495</v>
      </c>
      <c r="H283" s="2" t="s">
        <v>1495</v>
      </c>
      <c r="I283" s="2" t="s">
        <v>1496</v>
      </c>
      <c r="J283" s="2" t="s">
        <v>763</v>
      </c>
      <c r="K283" s="2" t="s">
        <v>218</v>
      </c>
      <c r="L283" s="3">
        <v>36.5</v>
      </c>
      <c r="M283" s="3">
        <v>38.33</v>
      </c>
      <c r="N283" s="3">
        <v>79.99</v>
      </c>
      <c r="O283" s="2" t="s">
        <v>97</v>
      </c>
      <c r="P283" s="2" t="s">
        <v>1017</v>
      </c>
      <c r="Q283" s="2" t="s">
        <v>99</v>
      </c>
      <c r="R283" s="2" t="s">
        <v>100</v>
      </c>
      <c r="S283" s="2" t="s">
        <v>1512</v>
      </c>
      <c r="T283" s="2" t="s">
        <v>220</v>
      </c>
      <c r="U283" s="2" t="s">
        <v>780</v>
      </c>
      <c r="V283" s="2" t="s">
        <v>221</v>
      </c>
      <c r="W283" s="2" t="s">
        <v>536</v>
      </c>
      <c r="X283" s="2" t="s">
        <v>100</v>
      </c>
      <c r="Y283" s="2" t="s">
        <v>1498</v>
      </c>
      <c r="Z283" s="4">
        <v>310</v>
      </c>
      <c r="AA283" s="4">
        <f>=ROUNDDOWN(38.75,0)</f>
      </c>
      <c r="AB283" s="5">
        <v>8</v>
      </c>
      <c r="AC283" s="2" t="s">
        <v>1499</v>
      </c>
      <c r="AD283" s="4">
        <v>220</v>
      </c>
      <c r="AE283" s="4">
        <v>220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/>
      <c r="BJ283" s="4">
        <v>103</v>
      </c>
      <c r="BK283" s="8">
        <v>4144.83</v>
      </c>
      <c r="BL283" s="2" t="s">
        <v>1513</v>
      </c>
      <c r="BM283" s="7"/>
      <c r="BN283" s="7"/>
      <c r="BO283" s="4"/>
      <c r="BP283" s="8"/>
      <c r="BQ283" s="4"/>
      <c r="BR283" s="8"/>
      <c r="BS283" s="7"/>
      <c r="BT283" s="7"/>
      <c r="BU283" s="2" t="s">
        <v>200</v>
      </c>
      <c r="BV283" s="2" t="s">
        <v>97</v>
      </c>
      <c r="BW283" s="2" t="s">
        <v>100</v>
      </c>
      <c r="BX283" s="2" t="s">
        <v>100</v>
      </c>
      <c r="BY283" s="2" t="s">
        <v>109</v>
      </c>
      <c r="BZ283" s="2" t="s">
        <v>100</v>
      </c>
    </row>
    <row r="284">
      <c r="A284" s="2" t="s">
        <v>1514</v>
      </c>
      <c r="B284" s="2" t="s">
        <v>1183</v>
      </c>
      <c r="C284" s="2" t="s">
        <v>1050</v>
      </c>
      <c r="D284" s="2" t="s">
        <v>1184</v>
      </c>
      <c r="E284" s="2" t="s">
        <v>776</v>
      </c>
      <c r="F284" s="2" t="s">
        <v>1051</v>
      </c>
      <c r="G284" s="2" t="s">
        <v>1051</v>
      </c>
      <c r="H284" s="2" t="s">
        <v>1051</v>
      </c>
      <c r="I284" s="2" t="s">
        <v>1515</v>
      </c>
      <c r="J284" s="2" t="s">
        <v>763</v>
      </c>
      <c r="K284" s="2" t="s">
        <v>133</v>
      </c>
      <c r="L284" s="3">
        <v>38</v>
      </c>
      <c r="M284" s="3">
        <v>39.9</v>
      </c>
      <c r="N284" s="3">
        <v>79.99</v>
      </c>
      <c r="O284" s="2" t="s">
        <v>97</v>
      </c>
      <c r="P284" s="2" t="s">
        <v>113</v>
      </c>
      <c r="Q284" s="2" t="s">
        <v>99</v>
      </c>
      <c r="R284" s="2" t="s">
        <v>100</v>
      </c>
      <c r="S284" s="2" t="s">
        <v>1516</v>
      </c>
      <c r="T284" s="2" t="s">
        <v>220</v>
      </c>
      <c r="U284" s="2" t="s">
        <v>780</v>
      </c>
      <c r="V284" s="2" t="s">
        <v>221</v>
      </c>
      <c r="W284" s="2" t="s">
        <v>103</v>
      </c>
      <c r="X284" s="2" t="s">
        <v>100</v>
      </c>
      <c r="Y284" s="2" t="s">
        <v>892</v>
      </c>
      <c r="Z284" s="4">
        <v>300</v>
      </c>
      <c r="AA284" s="4">
        <f>=ROUNDDOWN(13.6363636363636,0)</f>
      </c>
      <c r="AB284" s="5">
        <v>22</v>
      </c>
      <c r="AC284" s="2" t="s">
        <v>313</v>
      </c>
      <c r="AD284" s="4">
        <v>808</v>
      </c>
      <c r="AE284" s="4">
        <v>808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>
        <v>285</v>
      </c>
      <c r="BK284" s="8">
        <v>11981.83</v>
      </c>
      <c r="BL284" s="2" t="s">
        <v>1517</v>
      </c>
      <c r="BM284" s="7"/>
      <c r="BN284" s="7"/>
      <c r="BO284" s="4"/>
      <c r="BP284" s="8"/>
      <c r="BQ284" s="4"/>
      <c r="BR284" s="8"/>
      <c r="BS284" s="7"/>
      <c r="BT284" s="7"/>
      <c r="BU284" s="2" t="s">
        <v>200</v>
      </c>
      <c r="BV284" s="2" t="s">
        <v>97</v>
      </c>
      <c r="BW284" s="2" t="s">
        <v>100</v>
      </c>
      <c r="BX284" s="2" t="s">
        <v>100</v>
      </c>
      <c r="BY284" s="2" t="s">
        <v>109</v>
      </c>
      <c r="BZ284" s="2" t="s">
        <v>100</v>
      </c>
    </row>
    <row r="285">
      <c r="A285" s="2" t="s">
        <v>1518</v>
      </c>
      <c r="B285" s="2" t="s">
        <v>1183</v>
      </c>
      <c r="C285" s="2" t="s">
        <v>1050</v>
      </c>
      <c r="D285" s="2" t="s">
        <v>1184</v>
      </c>
      <c r="E285" s="2" t="s">
        <v>776</v>
      </c>
      <c r="F285" s="2" t="s">
        <v>1051</v>
      </c>
      <c r="G285" s="2" t="s">
        <v>1051</v>
      </c>
      <c r="H285" s="2" t="s">
        <v>1051</v>
      </c>
      <c r="I285" s="2" t="s">
        <v>1515</v>
      </c>
      <c r="J285" s="2" t="s">
        <v>763</v>
      </c>
      <c r="K285" s="2" t="s">
        <v>742</v>
      </c>
      <c r="L285" s="3">
        <v>38</v>
      </c>
      <c r="M285" s="3">
        <v>39.9</v>
      </c>
      <c r="N285" s="3">
        <v>79.99</v>
      </c>
      <c r="O285" s="2" t="s">
        <v>97</v>
      </c>
      <c r="P285" s="2" t="s">
        <v>175</v>
      </c>
      <c r="Q285" s="2" t="s">
        <v>99</v>
      </c>
      <c r="R285" s="2" t="s">
        <v>100</v>
      </c>
      <c r="S285" s="2" t="s">
        <v>1519</v>
      </c>
      <c r="T285" s="2" t="s">
        <v>220</v>
      </c>
      <c r="U285" s="2" t="s">
        <v>780</v>
      </c>
      <c r="V285" s="2" t="s">
        <v>221</v>
      </c>
      <c r="W285" s="2" t="s">
        <v>103</v>
      </c>
      <c r="X285" s="2" t="s">
        <v>100</v>
      </c>
      <c r="Y285" s="2" t="s">
        <v>892</v>
      </c>
      <c r="Z285" s="4">
        <v>496</v>
      </c>
      <c r="AA285" s="4">
        <f>=ROUNDDOWN(38.1538461538462,0)</f>
      </c>
      <c r="AB285" s="5">
        <v>13</v>
      </c>
      <c r="AC285" s="2" t="s">
        <v>100</v>
      </c>
      <c r="AD285" s="4"/>
      <c r="AE285" s="4"/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/>
      <c r="BJ285" s="4">
        <v>156</v>
      </c>
      <c r="BK285" s="8">
        <v>6519.22</v>
      </c>
      <c r="BL285" s="2" t="s">
        <v>1520</v>
      </c>
      <c r="BM285" s="7"/>
      <c r="BN285" s="7"/>
      <c r="BO285" s="4"/>
      <c r="BP285" s="8"/>
      <c r="BQ285" s="4"/>
      <c r="BR285" s="8"/>
      <c r="BS285" s="7"/>
      <c r="BT285" s="7"/>
      <c r="BU285" s="2" t="s">
        <v>200</v>
      </c>
      <c r="BV285" s="2" t="s">
        <v>97</v>
      </c>
      <c r="BW285" s="2" t="s">
        <v>100</v>
      </c>
      <c r="BX285" s="2" t="s">
        <v>100</v>
      </c>
      <c r="BY285" s="2" t="s">
        <v>109</v>
      </c>
      <c r="BZ285" s="2" t="s">
        <v>100</v>
      </c>
    </row>
    <row r="286">
      <c r="A286" s="2" t="s">
        <v>1521</v>
      </c>
      <c r="B286" s="2" t="s">
        <v>1183</v>
      </c>
      <c r="C286" s="2" t="s">
        <v>1050</v>
      </c>
      <c r="D286" s="2" t="s">
        <v>1184</v>
      </c>
      <c r="E286" s="2" t="s">
        <v>776</v>
      </c>
      <c r="F286" s="2" t="s">
        <v>1051</v>
      </c>
      <c r="G286" s="2" t="s">
        <v>1051</v>
      </c>
      <c r="H286" s="2" t="s">
        <v>1051</v>
      </c>
      <c r="I286" s="2" t="s">
        <v>1515</v>
      </c>
      <c r="J286" s="2" t="s">
        <v>763</v>
      </c>
      <c r="K286" s="2" t="s">
        <v>243</v>
      </c>
      <c r="L286" s="3">
        <v>38</v>
      </c>
      <c r="M286" s="3">
        <v>39.9</v>
      </c>
      <c r="N286" s="3">
        <v>79.99</v>
      </c>
      <c r="O286" s="2" t="s">
        <v>97</v>
      </c>
      <c r="P286" s="2" t="s">
        <v>175</v>
      </c>
      <c r="Q286" s="2" t="s">
        <v>99</v>
      </c>
      <c r="R286" s="2" t="s">
        <v>100</v>
      </c>
      <c r="S286" s="2" t="s">
        <v>1053</v>
      </c>
      <c r="T286" s="2" t="s">
        <v>220</v>
      </c>
      <c r="U286" s="2" t="s">
        <v>780</v>
      </c>
      <c r="V286" s="2" t="s">
        <v>221</v>
      </c>
      <c r="W286" s="2" t="s">
        <v>103</v>
      </c>
      <c r="X286" s="2" t="s">
        <v>100</v>
      </c>
      <c r="Y286" s="2" t="s">
        <v>892</v>
      </c>
      <c r="Z286" s="4">
        <v>658</v>
      </c>
      <c r="AA286" s="4">
        <f>=ROUNDDOWN(47,0)</f>
      </c>
      <c r="AB286" s="5">
        <v>14</v>
      </c>
      <c r="AC286" s="2" t="s">
        <v>100</v>
      </c>
      <c r="AD286" s="4"/>
      <c r="AE286" s="4"/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/>
      <c r="BJ286" s="4">
        <v>170</v>
      </c>
      <c r="BK286" s="8">
        <v>7057.36</v>
      </c>
      <c r="BL286" s="2" t="s">
        <v>1522</v>
      </c>
      <c r="BM286" s="7"/>
      <c r="BN286" s="7"/>
      <c r="BO286" s="4"/>
      <c r="BP286" s="8"/>
      <c r="BQ286" s="4"/>
      <c r="BR286" s="8"/>
      <c r="BS286" s="7"/>
      <c r="BT286" s="7"/>
      <c r="BU286" s="2" t="s">
        <v>200</v>
      </c>
      <c r="BV286" s="2" t="s">
        <v>97</v>
      </c>
      <c r="BW286" s="2" t="s">
        <v>100</v>
      </c>
      <c r="BX286" s="2" t="s">
        <v>100</v>
      </c>
      <c r="BY286" s="2" t="s">
        <v>109</v>
      </c>
      <c r="BZ286" s="2" t="s">
        <v>100</v>
      </c>
    </row>
    <row r="287">
      <c r="A287" s="2" t="s">
        <v>1523</v>
      </c>
      <c r="B287" s="2" t="s">
        <v>1183</v>
      </c>
      <c r="C287" s="2" t="s">
        <v>1050</v>
      </c>
      <c r="D287" s="2" t="s">
        <v>1184</v>
      </c>
      <c r="E287" s="2" t="s">
        <v>776</v>
      </c>
      <c r="F287" s="2" t="s">
        <v>1051</v>
      </c>
      <c r="G287" s="2" t="s">
        <v>1051</v>
      </c>
      <c r="H287" s="2" t="s">
        <v>1051</v>
      </c>
      <c r="I287" s="2" t="s">
        <v>1515</v>
      </c>
      <c r="J287" s="2" t="s">
        <v>763</v>
      </c>
      <c r="K287" s="2" t="s">
        <v>267</v>
      </c>
      <c r="L287" s="3">
        <v>38</v>
      </c>
      <c r="M287" s="3">
        <v>39.9</v>
      </c>
      <c r="N287" s="3">
        <v>79.99</v>
      </c>
      <c r="O287" s="2" t="s">
        <v>97</v>
      </c>
      <c r="P287" s="2" t="s">
        <v>175</v>
      </c>
      <c r="Q287" s="2" t="s">
        <v>99</v>
      </c>
      <c r="R287" s="2" t="s">
        <v>100</v>
      </c>
      <c r="S287" s="2" t="s">
        <v>1061</v>
      </c>
      <c r="T287" s="2" t="s">
        <v>220</v>
      </c>
      <c r="U287" s="2" t="s">
        <v>780</v>
      </c>
      <c r="V287" s="2" t="s">
        <v>221</v>
      </c>
      <c r="W287" s="2" t="s">
        <v>103</v>
      </c>
      <c r="X287" s="2" t="s">
        <v>100</v>
      </c>
      <c r="Y287" s="2" t="s">
        <v>892</v>
      </c>
      <c r="Z287" s="4">
        <v>388</v>
      </c>
      <c r="AA287" s="4">
        <f>=ROUNDDOWN(38.8,0)</f>
      </c>
      <c r="AB287" s="5">
        <v>10</v>
      </c>
      <c r="AC287" s="2" t="s">
        <v>313</v>
      </c>
      <c r="AD287" s="4">
        <v>467</v>
      </c>
      <c r="AE287" s="4">
        <v>467</v>
      </c>
      <c r="AF287" s="6">
        <v>67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/>
      <c r="BJ287" s="4">
        <v>140</v>
      </c>
      <c r="BK287" s="8">
        <v>5846.29</v>
      </c>
      <c r="BL287" s="2" t="s">
        <v>1381</v>
      </c>
      <c r="BM287" s="7"/>
      <c r="BN287" s="7"/>
      <c r="BO287" s="4"/>
      <c r="BP287" s="8"/>
      <c r="BQ287" s="4"/>
      <c r="BR287" s="8"/>
      <c r="BS287" s="7"/>
      <c r="BT287" s="7"/>
      <c r="BU287" s="2" t="s">
        <v>200</v>
      </c>
      <c r="BV287" s="2" t="s">
        <v>97</v>
      </c>
      <c r="BW287" s="2" t="s">
        <v>100</v>
      </c>
      <c r="BX287" s="2" t="s">
        <v>100</v>
      </c>
      <c r="BY287" s="2" t="s">
        <v>109</v>
      </c>
      <c r="BZ287" s="2" t="s">
        <v>100</v>
      </c>
    </row>
    <row r="288">
      <c r="A288" s="2" t="s">
        <v>1524</v>
      </c>
      <c r="B288" s="2" t="s">
        <v>1183</v>
      </c>
      <c r="C288" s="2" t="s">
        <v>1050</v>
      </c>
      <c r="D288" s="2" t="s">
        <v>1184</v>
      </c>
      <c r="E288" s="2" t="s">
        <v>776</v>
      </c>
      <c r="F288" s="2" t="s">
        <v>1051</v>
      </c>
      <c r="G288" s="2" t="s">
        <v>1051</v>
      </c>
      <c r="H288" s="2" t="s">
        <v>1051</v>
      </c>
      <c r="I288" s="2" t="s">
        <v>1515</v>
      </c>
      <c r="J288" s="2" t="s">
        <v>763</v>
      </c>
      <c r="K288" s="2" t="s">
        <v>139</v>
      </c>
      <c r="L288" s="3">
        <v>38</v>
      </c>
      <c r="M288" s="3">
        <v>39.9</v>
      </c>
      <c r="N288" s="3">
        <v>79.99</v>
      </c>
      <c r="O288" s="2" t="s">
        <v>97</v>
      </c>
      <c r="P288" s="2" t="s">
        <v>126</v>
      </c>
      <c r="Q288" s="2" t="s">
        <v>99</v>
      </c>
      <c r="R288" s="2" t="s">
        <v>100</v>
      </c>
      <c r="S288" s="2" t="s">
        <v>1525</v>
      </c>
      <c r="T288" s="2" t="s">
        <v>220</v>
      </c>
      <c r="U288" s="2" t="s">
        <v>780</v>
      </c>
      <c r="V288" s="2" t="s">
        <v>221</v>
      </c>
      <c r="W288" s="2" t="s">
        <v>103</v>
      </c>
      <c r="X288" s="2" t="s">
        <v>100</v>
      </c>
      <c r="Y288" s="2" t="s">
        <v>1526</v>
      </c>
      <c r="Z288" s="4">
        <v>621</v>
      </c>
      <c r="AA288" s="4">
        <f>=ROUNDDOWN(56.4545454545455,0)</f>
      </c>
      <c r="AB288" s="5">
        <v>11</v>
      </c>
      <c r="AC288" s="2" t="s">
        <v>100</v>
      </c>
      <c r="AD288" s="4"/>
      <c r="AE288" s="4"/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/>
      <c r="BJ288" s="4">
        <v>125</v>
      </c>
      <c r="BK288" s="8">
        <v>5190.34</v>
      </c>
      <c r="BL288" s="2" t="s">
        <v>1527</v>
      </c>
      <c r="BM288" s="7"/>
      <c r="BN288" s="7"/>
      <c r="BO288" s="4"/>
      <c r="BP288" s="8"/>
      <c r="BQ288" s="4"/>
      <c r="BR288" s="8"/>
      <c r="BS288" s="7"/>
      <c r="BT288" s="7"/>
      <c r="BU288" s="2" t="s">
        <v>200</v>
      </c>
      <c r="BV288" s="2" t="s">
        <v>97</v>
      </c>
      <c r="BW288" s="2" t="s">
        <v>100</v>
      </c>
      <c r="BX288" s="2" t="s">
        <v>100</v>
      </c>
      <c r="BY288" s="2" t="s">
        <v>109</v>
      </c>
      <c r="BZ288" s="2" t="s">
        <v>100</v>
      </c>
    </row>
    <row r="289">
      <c r="A289" s="2" t="s">
        <v>1528</v>
      </c>
      <c r="B289" s="2" t="s">
        <v>1183</v>
      </c>
      <c r="C289" s="2" t="s">
        <v>1050</v>
      </c>
      <c r="D289" s="2" t="s">
        <v>1184</v>
      </c>
      <c r="E289" s="2" t="s">
        <v>776</v>
      </c>
      <c r="F289" s="2" t="s">
        <v>1051</v>
      </c>
      <c r="G289" s="2" t="s">
        <v>1051</v>
      </c>
      <c r="H289" s="2" t="s">
        <v>1051</v>
      </c>
      <c r="I289" s="2" t="s">
        <v>1515</v>
      </c>
      <c r="J289" s="2" t="s">
        <v>763</v>
      </c>
      <c r="K289" s="2" t="s">
        <v>320</v>
      </c>
      <c r="L289" s="3">
        <v>38</v>
      </c>
      <c r="M289" s="3">
        <v>39.9</v>
      </c>
      <c r="N289" s="3">
        <v>79.99</v>
      </c>
      <c r="O289" s="2" t="s">
        <v>97</v>
      </c>
      <c r="P289" s="2" t="s">
        <v>175</v>
      </c>
      <c r="Q289" s="2" t="s">
        <v>99</v>
      </c>
      <c r="R289" s="2" t="s">
        <v>100</v>
      </c>
      <c r="S289" s="2" t="s">
        <v>1529</v>
      </c>
      <c r="T289" s="2" t="s">
        <v>220</v>
      </c>
      <c r="U289" s="2" t="s">
        <v>780</v>
      </c>
      <c r="V289" s="2" t="s">
        <v>221</v>
      </c>
      <c r="W289" s="2" t="s">
        <v>103</v>
      </c>
      <c r="X289" s="2" t="s">
        <v>100</v>
      </c>
      <c r="Y289" s="2" t="s">
        <v>892</v>
      </c>
      <c r="Z289" s="4">
        <v>236</v>
      </c>
      <c r="AA289" s="4">
        <f>=ROUNDDOWN(16.8571428571429,0)</f>
      </c>
      <c r="AB289" s="5">
        <v>14</v>
      </c>
      <c r="AC289" s="2" t="s">
        <v>313</v>
      </c>
      <c r="AD289" s="4">
        <v>674</v>
      </c>
      <c r="AE289" s="4">
        <v>674</v>
      </c>
      <c r="AF289" s="6">
        <v>67</v>
      </c>
      <c r="AG289" s="6"/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/>
      <c r="BJ289" s="4">
        <v>159</v>
      </c>
      <c r="BK289" s="8">
        <v>6650.31</v>
      </c>
      <c r="BL289" s="2" t="s">
        <v>1530</v>
      </c>
      <c r="BM289" s="7"/>
      <c r="BN289" s="7"/>
      <c r="BO289" s="4"/>
      <c r="BP289" s="8"/>
      <c r="BQ289" s="4"/>
      <c r="BR289" s="8"/>
      <c r="BS289" s="7"/>
      <c r="BT289" s="7"/>
      <c r="BU289" s="2" t="s">
        <v>200</v>
      </c>
      <c r="BV289" s="2" t="s">
        <v>97</v>
      </c>
      <c r="BW289" s="2" t="s">
        <v>100</v>
      </c>
      <c r="BX289" s="2" t="s">
        <v>100</v>
      </c>
      <c r="BY289" s="2" t="s">
        <v>109</v>
      </c>
      <c r="BZ289" s="2" t="s">
        <v>100</v>
      </c>
    </row>
    <row r="290">
      <c r="A290" s="2" t="s">
        <v>1531</v>
      </c>
      <c r="B290" s="2" t="s">
        <v>1183</v>
      </c>
      <c r="C290" s="2" t="s">
        <v>1050</v>
      </c>
      <c r="D290" s="2" t="s">
        <v>1184</v>
      </c>
      <c r="E290" s="2" t="s">
        <v>776</v>
      </c>
      <c r="F290" s="2" t="s">
        <v>1051</v>
      </c>
      <c r="G290" s="2" t="s">
        <v>1051</v>
      </c>
      <c r="H290" s="2" t="s">
        <v>1051</v>
      </c>
      <c r="I290" s="2" t="s">
        <v>1515</v>
      </c>
      <c r="J290" s="2" t="s">
        <v>763</v>
      </c>
      <c r="K290" s="2" t="s">
        <v>218</v>
      </c>
      <c r="L290" s="3">
        <v>38</v>
      </c>
      <c r="M290" s="3">
        <v>39.9</v>
      </c>
      <c r="N290" s="3">
        <v>79.99</v>
      </c>
      <c r="O290" s="2" t="s">
        <v>97</v>
      </c>
      <c r="P290" s="2" t="s">
        <v>175</v>
      </c>
      <c r="Q290" s="2" t="s">
        <v>99</v>
      </c>
      <c r="R290" s="2" t="s">
        <v>100</v>
      </c>
      <c r="S290" s="2" t="s">
        <v>1066</v>
      </c>
      <c r="T290" s="2" t="s">
        <v>220</v>
      </c>
      <c r="U290" s="2" t="s">
        <v>780</v>
      </c>
      <c r="V290" s="2" t="s">
        <v>221</v>
      </c>
      <c r="W290" s="2" t="s">
        <v>103</v>
      </c>
      <c r="X290" s="2" t="s">
        <v>100</v>
      </c>
      <c r="Y290" s="2" t="s">
        <v>892</v>
      </c>
      <c r="Z290" s="4">
        <v>601</v>
      </c>
      <c r="AA290" s="4">
        <f>=ROUNDDOWN(60.1,0)</f>
      </c>
      <c r="AB290" s="5">
        <v>10</v>
      </c>
      <c r="AC290" s="2" t="s">
        <v>100</v>
      </c>
      <c r="AD290" s="4"/>
      <c r="AE290" s="4"/>
      <c r="AF290" s="6">
        <v>67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/>
      <c r="BJ290" s="4">
        <v>129</v>
      </c>
      <c r="BK290" s="8">
        <v>5367.66</v>
      </c>
      <c r="BL290" s="2" t="s">
        <v>1532</v>
      </c>
      <c r="BM290" s="7"/>
      <c r="BN290" s="7"/>
      <c r="BO290" s="4"/>
      <c r="BP290" s="8"/>
      <c r="BQ290" s="4"/>
      <c r="BR290" s="8"/>
      <c r="BS290" s="7"/>
      <c r="BT290" s="7"/>
      <c r="BU290" s="2" t="s">
        <v>200</v>
      </c>
      <c r="BV290" s="2" t="s">
        <v>97</v>
      </c>
      <c r="BW290" s="2" t="s">
        <v>100</v>
      </c>
      <c r="BX290" s="2" t="s">
        <v>100</v>
      </c>
      <c r="BY290" s="2" t="s">
        <v>109</v>
      </c>
      <c r="BZ290" s="2" t="s">
        <v>100</v>
      </c>
    </row>
    <row r="291">
      <c r="A291" s="2" t="s">
        <v>1533</v>
      </c>
      <c r="B291" s="2" t="s">
        <v>1183</v>
      </c>
      <c r="C291" s="2" t="s">
        <v>1534</v>
      </c>
      <c r="D291" s="2" t="s">
        <v>1184</v>
      </c>
      <c r="E291" s="2" t="s">
        <v>776</v>
      </c>
      <c r="F291" s="2" t="s">
        <v>1535</v>
      </c>
      <c r="G291" s="2" t="s">
        <v>1535</v>
      </c>
      <c r="H291" s="2" t="s">
        <v>1535</v>
      </c>
      <c r="I291" s="2" t="s">
        <v>1536</v>
      </c>
      <c r="J291" s="2" t="s">
        <v>763</v>
      </c>
      <c r="K291" s="2" t="s">
        <v>112</v>
      </c>
      <c r="L291" s="3">
        <v>23.09</v>
      </c>
      <c r="M291" s="3">
        <v>24.24</v>
      </c>
      <c r="N291" s="3">
        <v>54.99</v>
      </c>
      <c r="O291" s="2" t="s">
        <v>97</v>
      </c>
      <c r="P291" s="2" t="s">
        <v>126</v>
      </c>
      <c r="Q291" s="2" t="s">
        <v>99</v>
      </c>
      <c r="R291" s="2" t="s">
        <v>100</v>
      </c>
      <c r="S291" s="2" t="s">
        <v>1537</v>
      </c>
      <c r="T291" s="2" t="s">
        <v>220</v>
      </c>
      <c r="U291" s="2" t="s">
        <v>780</v>
      </c>
      <c r="V291" s="2" t="s">
        <v>221</v>
      </c>
      <c r="W291" s="2" t="s">
        <v>222</v>
      </c>
      <c r="X291" s="2" t="s">
        <v>150</v>
      </c>
      <c r="Y291" s="2" t="s">
        <v>1538</v>
      </c>
      <c r="Z291" s="4">
        <v>689</v>
      </c>
      <c r="AA291" s="4">
        <f>=ROUNDDOWN(31.3181818181818,0)</f>
      </c>
      <c r="AB291" s="5">
        <v>22</v>
      </c>
      <c r="AC291" s="2" t="s">
        <v>1192</v>
      </c>
      <c r="AD291" s="4">
        <v>570</v>
      </c>
      <c r="AE291" s="4">
        <v>570</v>
      </c>
      <c r="AF291" s="6">
        <v>67</v>
      </c>
      <c r="AG291" s="6"/>
      <c r="AH291" s="7">
        <v>0.9035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/>
      <c r="BJ291" s="4">
        <v>250</v>
      </c>
      <c r="BK291" s="8">
        <v>6475.92</v>
      </c>
      <c r="BL291" s="2" t="s">
        <v>1539</v>
      </c>
      <c r="BM291" s="7"/>
      <c r="BN291" s="7"/>
      <c r="BO291" s="4"/>
      <c r="BP291" s="8"/>
      <c r="BQ291" s="4"/>
      <c r="BR291" s="8"/>
      <c r="BS291" s="7"/>
      <c r="BT291" s="7"/>
      <c r="BU291" s="2" t="s">
        <v>1076</v>
      </c>
      <c r="BV291" s="2" t="s">
        <v>97</v>
      </c>
      <c r="BW291" s="2" t="s">
        <v>100</v>
      </c>
      <c r="BX291" s="2" t="s">
        <v>100</v>
      </c>
      <c r="BY291" s="2" t="s">
        <v>109</v>
      </c>
      <c r="BZ291" s="2" t="s">
        <v>100</v>
      </c>
    </row>
    <row r="292">
      <c r="A292" s="2" t="s">
        <v>1540</v>
      </c>
      <c r="B292" s="2" t="s">
        <v>1183</v>
      </c>
      <c r="C292" s="2" t="s">
        <v>1534</v>
      </c>
      <c r="D292" s="2" t="s">
        <v>1184</v>
      </c>
      <c r="E292" s="2" t="s">
        <v>776</v>
      </c>
      <c r="F292" s="2" t="s">
        <v>1535</v>
      </c>
      <c r="G292" s="2" t="s">
        <v>1535</v>
      </c>
      <c r="H292" s="2" t="s">
        <v>1535</v>
      </c>
      <c r="I292" s="2" t="s">
        <v>1536</v>
      </c>
      <c r="J292" s="2" t="s">
        <v>763</v>
      </c>
      <c r="K292" s="2" t="s">
        <v>243</v>
      </c>
      <c r="L292" s="3">
        <v>23.09</v>
      </c>
      <c r="M292" s="3">
        <v>24.24</v>
      </c>
      <c r="N292" s="3">
        <v>54.99</v>
      </c>
      <c r="O292" s="2" t="s">
        <v>97</v>
      </c>
      <c r="P292" s="2" t="s">
        <v>126</v>
      </c>
      <c r="Q292" s="2" t="s">
        <v>99</v>
      </c>
      <c r="R292" s="2" t="s">
        <v>100</v>
      </c>
      <c r="S292" s="2" t="s">
        <v>1541</v>
      </c>
      <c r="T292" s="2" t="s">
        <v>220</v>
      </c>
      <c r="U292" s="2" t="s">
        <v>780</v>
      </c>
      <c r="V292" s="2" t="s">
        <v>221</v>
      </c>
      <c r="W292" s="2" t="s">
        <v>222</v>
      </c>
      <c r="X292" s="2" t="s">
        <v>150</v>
      </c>
      <c r="Y292" s="2" t="s">
        <v>1538</v>
      </c>
      <c r="Z292" s="4">
        <v>355</v>
      </c>
      <c r="AA292" s="4">
        <f>=ROUNDDOWN(22.1875,0)</f>
      </c>
      <c r="AB292" s="5">
        <v>16</v>
      </c>
      <c r="AC292" s="2" t="s">
        <v>1152</v>
      </c>
      <c r="AD292" s="4">
        <v>376</v>
      </c>
      <c r="AE292" s="4">
        <v>376</v>
      </c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/>
      <c r="BJ292" s="4">
        <v>174</v>
      </c>
      <c r="BK292" s="8">
        <v>4513.74</v>
      </c>
      <c r="BL292" s="2" t="s">
        <v>1542</v>
      </c>
      <c r="BM292" s="7"/>
      <c r="BN292" s="7"/>
      <c r="BO292" s="4"/>
      <c r="BP292" s="8"/>
      <c r="BQ292" s="4"/>
      <c r="BR292" s="8"/>
      <c r="BS292" s="7"/>
      <c r="BT292" s="7"/>
      <c r="BU292" s="2" t="s">
        <v>1076</v>
      </c>
      <c r="BV292" s="2" t="s">
        <v>97</v>
      </c>
      <c r="BW292" s="2" t="s">
        <v>100</v>
      </c>
      <c r="BX292" s="2" t="s">
        <v>100</v>
      </c>
      <c r="BY292" s="2" t="s">
        <v>109</v>
      </c>
      <c r="BZ292" s="2" t="s">
        <v>100</v>
      </c>
    </row>
    <row r="293">
      <c r="A293" s="2" t="s">
        <v>1543</v>
      </c>
      <c r="B293" s="2" t="s">
        <v>1183</v>
      </c>
      <c r="C293" s="2" t="s">
        <v>1534</v>
      </c>
      <c r="D293" s="2" t="s">
        <v>1184</v>
      </c>
      <c r="E293" s="2" t="s">
        <v>776</v>
      </c>
      <c r="F293" s="2" t="s">
        <v>1535</v>
      </c>
      <c r="G293" s="2" t="s">
        <v>1535</v>
      </c>
      <c r="H293" s="2" t="s">
        <v>1535</v>
      </c>
      <c r="I293" s="2" t="s">
        <v>1536</v>
      </c>
      <c r="J293" s="2" t="s">
        <v>763</v>
      </c>
      <c r="K293" s="2" t="s">
        <v>1108</v>
      </c>
      <c r="L293" s="3">
        <v>23.09</v>
      </c>
      <c r="M293" s="3">
        <v>24.24</v>
      </c>
      <c r="N293" s="3">
        <v>54.99</v>
      </c>
      <c r="O293" s="2" t="s">
        <v>97</v>
      </c>
      <c r="P293" s="2" t="s">
        <v>126</v>
      </c>
      <c r="Q293" s="2" t="s">
        <v>99</v>
      </c>
      <c r="R293" s="2" t="s">
        <v>100</v>
      </c>
      <c r="S293" s="2" t="s">
        <v>1544</v>
      </c>
      <c r="T293" s="2" t="s">
        <v>220</v>
      </c>
      <c r="U293" s="2" t="s">
        <v>780</v>
      </c>
      <c r="V293" s="2" t="s">
        <v>221</v>
      </c>
      <c r="W293" s="2" t="s">
        <v>222</v>
      </c>
      <c r="X293" s="2" t="s">
        <v>150</v>
      </c>
      <c r="Y293" s="2" t="s">
        <v>1538</v>
      </c>
      <c r="Z293" s="4">
        <v>309</v>
      </c>
      <c r="AA293" s="4">
        <f>=ROUNDDOWN(23.7692307692308,0)</f>
      </c>
      <c r="AB293" s="5">
        <v>13</v>
      </c>
      <c r="AC293" s="2" t="s">
        <v>1192</v>
      </c>
      <c r="AD293" s="4">
        <v>570</v>
      </c>
      <c r="AE293" s="4">
        <v>570</v>
      </c>
      <c r="AF293" s="6">
        <v>67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155</v>
      </c>
      <c r="BK293" s="8">
        <v>3979.56</v>
      </c>
      <c r="BL293" s="2" t="s">
        <v>1539</v>
      </c>
      <c r="BM293" s="7"/>
      <c r="BN293" s="7"/>
      <c r="BO293" s="4"/>
      <c r="BP293" s="8"/>
      <c r="BQ293" s="4"/>
      <c r="BR293" s="8"/>
      <c r="BS293" s="7"/>
      <c r="BT293" s="7"/>
      <c r="BU293" s="2" t="s">
        <v>1076</v>
      </c>
      <c r="BV293" s="2" t="s">
        <v>97</v>
      </c>
      <c r="BW293" s="2" t="s">
        <v>100</v>
      </c>
      <c r="BX293" s="2" t="s">
        <v>100</v>
      </c>
      <c r="BY293" s="2" t="s">
        <v>109</v>
      </c>
      <c r="BZ293" s="2" t="s">
        <v>100</v>
      </c>
    </row>
    <row r="294">
      <c r="A294" s="2" t="s">
        <v>1545</v>
      </c>
      <c r="B294" s="2" t="s">
        <v>1183</v>
      </c>
      <c r="C294" s="2" t="s">
        <v>1534</v>
      </c>
      <c r="D294" s="2" t="s">
        <v>1184</v>
      </c>
      <c r="E294" s="2" t="s">
        <v>776</v>
      </c>
      <c r="F294" s="2" t="s">
        <v>1535</v>
      </c>
      <c r="G294" s="2" t="s">
        <v>1535</v>
      </c>
      <c r="H294" s="2" t="s">
        <v>1535</v>
      </c>
      <c r="I294" s="2" t="s">
        <v>1536</v>
      </c>
      <c r="J294" s="2" t="s">
        <v>763</v>
      </c>
      <c r="K294" s="2" t="s">
        <v>218</v>
      </c>
      <c r="L294" s="3">
        <v>23.09</v>
      </c>
      <c r="M294" s="3">
        <v>24.24</v>
      </c>
      <c r="N294" s="3">
        <v>54.99</v>
      </c>
      <c r="O294" s="2" t="s">
        <v>97</v>
      </c>
      <c r="P294" s="2" t="s">
        <v>126</v>
      </c>
      <c r="Q294" s="2" t="s">
        <v>99</v>
      </c>
      <c r="R294" s="2" t="s">
        <v>100</v>
      </c>
      <c r="S294" s="2" t="s">
        <v>1546</v>
      </c>
      <c r="T294" s="2" t="s">
        <v>220</v>
      </c>
      <c r="U294" s="2" t="s">
        <v>780</v>
      </c>
      <c r="V294" s="2" t="s">
        <v>221</v>
      </c>
      <c r="W294" s="2" t="s">
        <v>222</v>
      </c>
      <c r="X294" s="2" t="s">
        <v>150</v>
      </c>
      <c r="Y294" s="2" t="s">
        <v>1538</v>
      </c>
      <c r="Z294" s="4">
        <v>263</v>
      </c>
      <c r="AA294" s="4">
        <f>=ROUNDDOWN(23.9090909090909,0)</f>
      </c>
      <c r="AB294" s="5">
        <v>11</v>
      </c>
      <c r="AC294" s="2" t="s">
        <v>1192</v>
      </c>
      <c r="AD294" s="4">
        <v>380</v>
      </c>
      <c r="AE294" s="4">
        <v>380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>
        <v>140</v>
      </c>
      <c r="BK294" s="8">
        <v>3711.79</v>
      </c>
      <c r="BL294" s="2" t="s">
        <v>1547</v>
      </c>
      <c r="BM294" s="7"/>
      <c r="BN294" s="7"/>
      <c r="BO294" s="4"/>
      <c r="BP294" s="8"/>
      <c r="BQ294" s="4"/>
      <c r="BR294" s="8"/>
      <c r="BS294" s="7"/>
      <c r="BT294" s="7"/>
      <c r="BU294" s="2" t="s">
        <v>1076</v>
      </c>
      <c r="BV294" s="2" t="s">
        <v>97</v>
      </c>
      <c r="BW294" s="2" t="s">
        <v>100</v>
      </c>
      <c r="BX294" s="2" t="s">
        <v>100</v>
      </c>
      <c r="BY294" s="2" t="s">
        <v>109</v>
      </c>
      <c r="BZ294" s="2" t="s">
        <v>100</v>
      </c>
    </row>
    <row r="295">
      <c r="A295" s="2" t="s">
        <v>1548</v>
      </c>
      <c r="B295" s="2" t="s">
        <v>1183</v>
      </c>
      <c r="C295" s="2" t="s">
        <v>1070</v>
      </c>
      <c r="D295" s="2" t="s">
        <v>1184</v>
      </c>
      <c r="E295" s="2" t="s">
        <v>776</v>
      </c>
      <c r="F295" s="2" t="s">
        <v>1549</v>
      </c>
      <c r="G295" s="2" t="s">
        <v>1549</v>
      </c>
      <c r="H295" s="2" t="s">
        <v>1549</v>
      </c>
      <c r="I295" s="2" t="s">
        <v>1550</v>
      </c>
      <c r="J295" s="2" t="s">
        <v>1551</v>
      </c>
      <c r="K295" s="2" t="s">
        <v>160</v>
      </c>
      <c r="L295" s="3">
        <v>22.03</v>
      </c>
      <c r="M295" s="3">
        <v>23.13</v>
      </c>
      <c r="N295" s="3">
        <v>37.99</v>
      </c>
      <c r="O295" s="2" t="s">
        <v>438</v>
      </c>
      <c r="P295" s="2" t="s">
        <v>1073</v>
      </c>
      <c r="Q295" s="2" t="s">
        <v>99</v>
      </c>
      <c r="R295" s="2" t="s">
        <v>1074</v>
      </c>
      <c r="S295" s="2" t="s">
        <v>100</v>
      </c>
      <c r="T295" s="2" t="s">
        <v>220</v>
      </c>
      <c r="U295" s="2" t="s">
        <v>780</v>
      </c>
      <c r="V295" s="2" t="s">
        <v>221</v>
      </c>
      <c r="W295" s="2" t="s">
        <v>100</v>
      </c>
      <c r="X295" s="2" t="s">
        <v>100</v>
      </c>
      <c r="Y295" s="2" t="s">
        <v>1414</v>
      </c>
      <c r="Z295" s="4"/>
      <c r="AA295" s="4">
        <f>=ROUNDDOWN({0},0)</f>
      </c>
      <c r="AB295" s="5">
        <v>0.5</v>
      </c>
      <c r="AC295" s="2" t="s">
        <v>100</v>
      </c>
      <c r="AD295" s="4"/>
      <c r="AE295" s="4"/>
      <c r="AF295" s="6">
        <v>66</v>
      </c>
      <c r="AG295" s="6"/>
      <c r="AH295" s="7">
        <v>0.307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100</v>
      </c>
      <c r="BM295" s="7"/>
      <c r="BN295" s="7"/>
      <c r="BO295" s="4"/>
      <c r="BP295" s="8"/>
      <c r="BQ295" s="4"/>
      <c r="BR295" s="8"/>
      <c r="BS295" s="7"/>
      <c r="BT295" s="7"/>
      <c r="BU295" s="2" t="s">
        <v>1076</v>
      </c>
      <c r="BV295" s="2" t="s">
        <v>97</v>
      </c>
      <c r="BW295" s="2" t="s">
        <v>100</v>
      </c>
      <c r="BX295" s="2" t="s">
        <v>100</v>
      </c>
      <c r="BY295" s="2" t="s">
        <v>109</v>
      </c>
      <c r="BZ295" s="2" t="s">
        <v>100</v>
      </c>
    </row>
    <row r="296">
      <c r="A296" s="2" t="s">
        <v>1552</v>
      </c>
      <c r="B296" s="2" t="s">
        <v>1183</v>
      </c>
      <c r="C296" s="2" t="s">
        <v>1082</v>
      </c>
      <c r="D296" s="2" t="s">
        <v>1184</v>
      </c>
      <c r="E296" s="2" t="s">
        <v>776</v>
      </c>
      <c r="F296" s="2" t="s">
        <v>976</v>
      </c>
      <c r="G296" s="2" t="s">
        <v>1553</v>
      </c>
      <c r="H296" s="2" t="s">
        <v>1554</v>
      </c>
      <c r="I296" s="2" t="s">
        <v>1555</v>
      </c>
      <c r="J296" s="2" t="s">
        <v>763</v>
      </c>
      <c r="K296" s="2" t="s">
        <v>742</v>
      </c>
      <c r="L296" s="3">
        <v>26.65</v>
      </c>
      <c r="M296" s="3">
        <v>27.98</v>
      </c>
      <c r="N296" s="3">
        <v>59.99</v>
      </c>
      <c r="O296" s="2" t="s">
        <v>97</v>
      </c>
      <c r="P296" s="2" t="s">
        <v>134</v>
      </c>
      <c r="Q296" s="2" t="s">
        <v>99</v>
      </c>
      <c r="R296" s="2" t="s">
        <v>100</v>
      </c>
      <c r="S296" s="2" t="s">
        <v>1556</v>
      </c>
      <c r="T296" s="2" t="s">
        <v>220</v>
      </c>
      <c r="U296" s="2" t="s">
        <v>780</v>
      </c>
      <c r="V296" s="2" t="s">
        <v>221</v>
      </c>
      <c r="W296" s="2" t="s">
        <v>631</v>
      </c>
      <c r="X296" s="2" t="s">
        <v>222</v>
      </c>
      <c r="Y296" s="2" t="s">
        <v>1557</v>
      </c>
      <c r="Z296" s="4">
        <v>327</v>
      </c>
      <c r="AA296" s="4">
        <f>=ROUNDDOWN(81.75,0)</f>
      </c>
      <c r="AB296" s="5">
        <v>4</v>
      </c>
      <c r="AC296" s="2" t="s">
        <v>100</v>
      </c>
      <c r="AD296" s="4"/>
      <c r="AE296" s="4"/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/>
      <c r="BJ296" s="4">
        <v>35</v>
      </c>
      <c r="BK296" s="8">
        <v>1044.08</v>
      </c>
      <c r="BL296" s="2" t="s">
        <v>1558</v>
      </c>
      <c r="BM296" s="7"/>
      <c r="BN296" s="7"/>
      <c r="BO296" s="4"/>
      <c r="BP296" s="8"/>
      <c r="BQ296" s="4"/>
      <c r="BR296" s="8"/>
      <c r="BS296" s="7"/>
      <c r="BT296" s="7"/>
      <c r="BU296" s="2" t="s">
        <v>1076</v>
      </c>
      <c r="BV296" s="2" t="s">
        <v>97</v>
      </c>
      <c r="BW296" s="2" t="s">
        <v>100</v>
      </c>
      <c r="BX296" s="2" t="s">
        <v>100</v>
      </c>
      <c r="BY296" s="2" t="s">
        <v>109</v>
      </c>
      <c r="BZ296" s="2" t="s">
        <v>110</v>
      </c>
    </row>
    <row r="297">
      <c r="A297" s="2" t="s">
        <v>1559</v>
      </c>
      <c r="B297" s="2" t="s">
        <v>1183</v>
      </c>
      <c r="C297" s="2" t="s">
        <v>1082</v>
      </c>
      <c r="D297" s="2" t="s">
        <v>1184</v>
      </c>
      <c r="E297" s="2" t="s">
        <v>776</v>
      </c>
      <c r="F297" s="2" t="s">
        <v>976</v>
      </c>
      <c r="G297" s="2" t="s">
        <v>1553</v>
      </c>
      <c r="H297" s="2" t="s">
        <v>1554</v>
      </c>
      <c r="I297" s="2" t="s">
        <v>1555</v>
      </c>
      <c r="J297" s="2" t="s">
        <v>763</v>
      </c>
      <c r="K297" s="2" t="s">
        <v>243</v>
      </c>
      <c r="L297" s="3">
        <v>26.65</v>
      </c>
      <c r="M297" s="3">
        <v>27.98</v>
      </c>
      <c r="N297" s="3">
        <v>59.99</v>
      </c>
      <c r="O297" s="2" t="s">
        <v>97</v>
      </c>
      <c r="P297" s="2" t="s">
        <v>134</v>
      </c>
      <c r="Q297" s="2" t="s">
        <v>99</v>
      </c>
      <c r="R297" s="2" t="s">
        <v>100</v>
      </c>
      <c r="S297" s="2" t="s">
        <v>1560</v>
      </c>
      <c r="T297" s="2" t="s">
        <v>220</v>
      </c>
      <c r="U297" s="2" t="s">
        <v>780</v>
      </c>
      <c r="V297" s="2" t="s">
        <v>221</v>
      </c>
      <c r="W297" s="2" t="s">
        <v>631</v>
      </c>
      <c r="X297" s="2" t="s">
        <v>222</v>
      </c>
      <c r="Y297" s="2" t="s">
        <v>1557</v>
      </c>
      <c r="Z297" s="4">
        <v>269</v>
      </c>
      <c r="AA297" s="4">
        <f>=ROUNDDOWN(29.8888888888889,0)</f>
      </c>
      <c r="AB297" s="5">
        <v>9</v>
      </c>
      <c r="AC297" s="2" t="s">
        <v>100</v>
      </c>
      <c r="AD297" s="4"/>
      <c r="AE297" s="4"/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>
        <v>65</v>
      </c>
      <c r="BK297" s="8">
        <v>1970.96</v>
      </c>
      <c r="BL297" s="2" t="s">
        <v>1561</v>
      </c>
      <c r="BM297" s="7"/>
      <c r="BN297" s="7"/>
      <c r="BO297" s="4"/>
      <c r="BP297" s="8"/>
      <c r="BQ297" s="4"/>
      <c r="BR297" s="8"/>
      <c r="BS297" s="7"/>
      <c r="BT297" s="7"/>
      <c r="BU297" s="2" t="s">
        <v>1076</v>
      </c>
      <c r="BV297" s="2" t="s">
        <v>97</v>
      </c>
      <c r="BW297" s="2" t="s">
        <v>100</v>
      </c>
      <c r="BX297" s="2" t="s">
        <v>100</v>
      </c>
      <c r="BY297" s="2" t="s">
        <v>109</v>
      </c>
      <c r="BZ297" s="2" t="s">
        <v>100</v>
      </c>
    </row>
    <row r="298">
      <c r="A298" s="2" t="s">
        <v>1562</v>
      </c>
      <c r="B298" s="2" t="s">
        <v>1183</v>
      </c>
      <c r="C298" s="2" t="s">
        <v>1082</v>
      </c>
      <c r="D298" s="2" t="s">
        <v>1184</v>
      </c>
      <c r="E298" s="2" t="s">
        <v>776</v>
      </c>
      <c r="F298" s="2" t="s">
        <v>976</v>
      </c>
      <c r="G298" s="2" t="s">
        <v>1553</v>
      </c>
      <c r="H298" s="2" t="s">
        <v>1554</v>
      </c>
      <c r="I298" s="2" t="s">
        <v>1555</v>
      </c>
      <c r="J298" s="2" t="s">
        <v>763</v>
      </c>
      <c r="K298" s="2" t="s">
        <v>267</v>
      </c>
      <c r="L298" s="3">
        <v>26.65</v>
      </c>
      <c r="M298" s="3">
        <v>27.98</v>
      </c>
      <c r="N298" s="3">
        <v>59.99</v>
      </c>
      <c r="O298" s="2" t="s">
        <v>97</v>
      </c>
      <c r="P298" s="2" t="s">
        <v>134</v>
      </c>
      <c r="Q298" s="2" t="s">
        <v>99</v>
      </c>
      <c r="R298" s="2" t="s">
        <v>100</v>
      </c>
      <c r="S298" s="2" t="s">
        <v>1563</v>
      </c>
      <c r="T298" s="2" t="s">
        <v>220</v>
      </c>
      <c r="U298" s="2" t="s">
        <v>780</v>
      </c>
      <c r="V298" s="2" t="s">
        <v>221</v>
      </c>
      <c r="W298" s="2" t="s">
        <v>631</v>
      </c>
      <c r="X298" s="2" t="s">
        <v>222</v>
      </c>
      <c r="Y298" s="2" t="s">
        <v>1557</v>
      </c>
      <c r="Z298" s="4">
        <v>462</v>
      </c>
      <c r="AA298" s="4">
        <f>=ROUNDDOWN(51.3333333333333,0)</f>
      </c>
      <c r="AB298" s="5">
        <v>9</v>
      </c>
      <c r="AC298" s="2" t="s">
        <v>100</v>
      </c>
      <c r="AD298" s="4"/>
      <c r="AE298" s="4"/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>
        <v>101</v>
      </c>
      <c r="BK298" s="8">
        <v>3055.85</v>
      </c>
      <c r="BL298" s="2" t="s">
        <v>1561</v>
      </c>
      <c r="BM298" s="7"/>
      <c r="BN298" s="7"/>
      <c r="BO298" s="4"/>
      <c r="BP298" s="8"/>
      <c r="BQ298" s="4"/>
      <c r="BR298" s="8"/>
      <c r="BS298" s="7"/>
      <c r="BT298" s="7"/>
      <c r="BU298" s="2" t="s">
        <v>1076</v>
      </c>
      <c r="BV298" s="2" t="s">
        <v>97</v>
      </c>
      <c r="BW298" s="2" t="s">
        <v>100</v>
      </c>
      <c r="BX298" s="2" t="s">
        <v>100</v>
      </c>
      <c r="BY298" s="2" t="s">
        <v>109</v>
      </c>
      <c r="BZ298" s="2" t="s">
        <v>100</v>
      </c>
    </row>
    <row r="299">
      <c r="A299" s="2" t="s">
        <v>1564</v>
      </c>
      <c r="B299" s="2" t="s">
        <v>1183</v>
      </c>
      <c r="C299" s="2" t="s">
        <v>1082</v>
      </c>
      <c r="D299" s="2" t="s">
        <v>1184</v>
      </c>
      <c r="E299" s="2" t="s">
        <v>776</v>
      </c>
      <c r="F299" s="2" t="s">
        <v>976</v>
      </c>
      <c r="G299" s="2" t="s">
        <v>1553</v>
      </c>
      <c r="H299" s="2" t="s">
        <v>1554</v>
      </c>
      <c r="I299" s="2" t="s">
        <v>1555</v>
      </c>
      <c r="J299" s="2" t="s">
        <v>763</v>
      </c>
      <c r="K299" s="2" t="s">
        <v>139</v>
      </c>
      <c r="L299" s="3">
        <v>26.65</v>
      </c>
      <c r="M299" s="3">
        <v>27.98</v>
      </c>
      <c r="N299" s="3">
        <v>59.99</v>
      </c>
      <c r="O299" s="2" t="s">
        <v>97</v>
      </c>
      <c r="P299" s="2" t="s">
        <v>134</v>
      </c>
      <c r="Q299" s="2" t="s">
        <v>99</v>
      </c>
      <c r="R299" s="2" t="s">
        <v>100</v>
      </c>
      <c r="S299" s="2" t="s">
        <v>1565</v>
      </c>
      <c r="T299" s="2" t="s">
        <v>220</v>
      </c>
      <c r="U299" s="2" t="s">
        <v>780</v>
      </c>
      <c r="V299" s="2" t="s">
        <v>221</v>
      </c>
      <c r="W299" s="2" t="s">
        <v>631</v>
      </c>
      <c r="X299" s="2" t="s">
        <v>222</v>
      </c>
      <c r="Y299" s="2" t="s">
        <v>1557</v>
      </c>
      <c r="Z299" s="4">
        <v>266</v>
      </c>
      <c r="AA299" s="4">
        <f>=ROUNDDOWN(38,0)</f>
      </c>
      <c r="AB299" s="5">
        <v>7</v>
      </c>
      <c r="AC299" s="2" t="s">
        <v>100</v>
      </c>
      <c r="AD299" s="4"/>
      <c r="AE299" s="4"/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>
        <v>52</v>
      </c>
      <c r="BK299" s="8">
        <v>1533.38</v>
      </c>
      <c r="BL299" s="2" t="s">
        <v>1055</v>
      </c>
      <c r="BM299" s="7"/>
      <c r="BN299" s="7"/>
      <c r="BO299" s="4"/>
      <c r="BP299" s="8"/>
      <c r="BQ299" s="4"/>
      <c r="BR299" s="8"/>
      <c r="BS299" s="7"/>
      <c r="BT299" s="7"/>
      <c r="BU299" s="2" t="s">
        <v>1076</v>
      </c>
      <c r="BV299" s="2" t="s">
        <v>97</v>
      </c>
      <c r="BW299" s="2" t="s">
        <v>100</v>
      </c>
      <c r="BX299" s="2" t="s">
        <v>100</v>
      </c>
      <c r="BY299" s="2" t="s">
        <v>109</v>
      </c>
      <c r="BZ299" s="2" t="s">
        <v>100</v>
      </c>
    </row>
    <row r="300">
      <c r="A300" s="2" t="s">
        <v>1566</v>
      </c>
      <c r="B300" s="2" t="s">
        <v>1183</v>
      </c>
      <c r="C300" s="2" t="s">
        <v>1082</v>
      </c>
      <c r="D300" s="2" t="s">
        <v>1184</v>
      </c>
      <c r="E300" s="2" t="s">
        <v>776</v>
      </c>
      <c r="F300" s="2" t="s">
        <v>976</v>
      </c>
      <c r="G300" s="2" t="s">
        <v>1553</v>
      </c>
      <c r="H300" s="2" t="s">
        <v>1554</v>
      </c>
      <c r="I300" s="2" t="s">
        <v>1555</v>
      </c>
      <c r="J300" s="2" t="s">
        <v>763</v>
      </c>
      <c r="K300" s="2" t="s">
        <v>260</v>
      </c>
      <c r="L300" s="3">
        <v>26.65</v>
      </c>
      <c r="M300" s="3">
        <v>27.98</v>
      </c>
      <c r="N300" s="3">
        <v>59.99</v>
      </c>
      <c r="O300" s="2" t="s">
        <v>97</v>
      </c>
      <c r="P300" s="2" t="s">
        <v>134</v>
      </c>
      <c r="Q300" s="2" t="s">
        <v>99</v>
      </c>
      <c r="R300" s="2" t="s">
        <v>100</v>
      </c>
      <c r="S300" s="2" t="s">
        <v>1567</v>
      </c>
      <c r="T300" s="2" t="s">
        <v>220</v>
      </c>
      <c r="U300" s="2" t="s">
        <v>780</v>
      </c>
      <c r="V300" s="2" t="s">
        <v>221</v>
      </c>
      <c r="W300" s="2" t="s">
        <v>631</v>
      </c>
      <c r="X300" s="2" t="s">
        <v>222</v>
      </c>
      <c r="Y300" s="2" t="s">
        <v>1557</v>
      </c>
      <c r="Z300" s="4">
        <v>256</v>
      </c>
      <c r="AA300" s="4">
        <f>=ROUNDDOWN(16,0)</f>
      </c>
      <c r="AB300" s="5">
        <v>16</v>
      </c>
      <c r="AC300" s="2" t="s">
        <v>1443</v>
      </c>
      <c r="AD300" s="4">
        <v>350</v>
      </c>
      <c r="AE300" s="4">
        <v>350</v>
      </c>
      <c r="AF300" s="6">
        <v>67</v>
      </c>
      <c r="AG300" s="6"/>
      <c r="AH300" s="7">
        <v>0.5439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>
        <v>86</v>
      </c>
      <c r="BK300" s="8">
        <v>2662.42</v>
      </c>
      <c r="BL300" s="2" t="s">
        <v>1561</v>
      </c>
      <c r="BM300" s="7"/>
      <c r="BN300" s="7"/>
      <c r="BO300" s="4"/>
      <c r="BP300" s="8"/>
      <c r="BQ300" s="4"/>
      <c r="BR300" s="8"/>
      <c r="BS300" s="7"/>
      <c r="BT300" s="7"/>
      <c r="BU300" s="2" t="s">
        <v>1076</v>
      </c>
      <c r="BV300" s="2" t="s">
        <v>97</v>
      </c>
      <c r="BW300" s="2" t="s">
        <v>100</v>
      </c>
      <c r="BX300" s="2" t="s">
        <v>100</v>
      </c>
      <c r="BY300" s="2" t="s">
        <v>109</v>
      </c>
      <c r="BZ300" s="2" t="s">
        <v>100</v>
      </c>
    </row>
    <row r="301">
      <c r="A301" s="16" t="s">
        <v>1568</v>
      </c>
      <c r="B301" s="9" t="s">
        <v>100</v>
      </c>
      <c r="C301" s="9" t="s">
        <v>100</v>
      </c>
      <c r="D301" s="9" t="s">
        <v>100</v>
      </c>
      <c r="E301" s="9" t="s">
        <v>100</v>
      </c>
      <c r="F301" s="9" t="s">
        <v>100</v>
      </c>
      <c r="G301" s="9" t="s">
        <v>100</v>
      </c>
      <c r="H301" s="9" t="s">
        <v>100</v>
      </c>
      <c r="I301" s="9" t="s">
        <v>100</v>
      </c>
      <c r="J301" s="9" t="s">
        <v>100</v>
      </c>
      <c r="K301" s="9" t="s">
        <v>100</v>
      </c>
      <c r="L301" s="10"/>
      <c r="M301" s="10"/>
      <c r="N301" s="10"/>
      <c r="O301" s="9" t="s">
        <v>100</v>
      </c>
      <c r="P301" s="9" t="s">
        <v>100</v>
      </c>
      <c r="Q301" s="9" t="s">
        <v>100</v>
      </c>
      <c r="R301" s="9" t="s">
        <v>100</v>
      </c>
      <c r="S301" s="9" t="s">
        <v>100</v>
      </c>
      <c r="T301" s="9" t="s">
        <v>100</v>
      </c>
      <c r="U301" s="9" t="s">
        <v>100</v>
      </c>
      <c r="V301" s="9" t="s">
        <v>100</v>
      </c>
      <c r="W301" s="9" t="s">
        <v>100</v>
      </c>
      <c r="X301" s="9" t="s">
        <v>100</v>
      </c>
      <c r="Y301" s="9" t="s">
        <v>100</v>
      </c>
      <c r="Z301" s="11">
        <v>140849</v>
      </c>
      <c r="AA301" s="11">
        <f>=ROUNDDOWN({0},0)</f>
      </c>
      <c r="AB301" s="12">
        <v>8139.6</v>
      </c>
      <c r="AC301" s="9" t="s">
        <v>100</v>
      </c>
      <c r="AD301" s="11"/>
      <c r="AE301" s="11">
        <v>186636</v>
      </c>
      <c r="AF301" s="13"/>
      <c r="AG301" s="13"/>
      <c r="AH301" s="14"/>
      <c r="AI301" s="11"/>
      <c r="AJ301" s="11">
        <f>=ROUNDDOWN({0},0)</f>
      </c>
      <c r="AK301" s="12"/>
      <c r="AL301" s="9" t="s">
        <v>100</v>
      </c>
      <c r="AM301" s="11"/>
      <c r="AN301" s="11"/>
      <c r="AO301" s="14"/>
      <c r="AP301" s="11">
        <v>431</v>
      </c>
      <c r="AQ301" s="15">
        <v>8226.82</v>
      </c>
      <c r="AR301" s="11"/>
      <c r="AS301" s="15"/>
      <c r="AT301" s="14"/>
      <c r="AU301" s="14"/>
      <c r="AV301" s="11">
        <v>431</v>
      </c>
      <c r="AW301" s="15">
        <v>8226.82</v>
      </c>
      <c r="AX301" s="11"/>
      <c r="AY301" s="15"/>
      <c r="AZ301" s="14"/>
      <c r="BA301" s="14"/>
      <c r="BB301" s="14"/>
      <c r="BC301" s="11">
        <v>431</v>
      </c>
      <c r="BD301" s="15">
        <v>8226.82</v>
      </c>
      <c r="BE301" s="11"/>
      <c r="BF301" s="15"/>
      <c r="BG301" s="14"/>
      <c r="BH301" s="14"/>
      <c r="BI301" s="14"/>
      <c r="BJ301" s="11"/>
      <c r="BK301" s="15"/>
      <c r="BL301" s="9" t="s">
        <v>100</v>
      </c>
      <c r="BM301" s="14"/>
      <c r="BN301" s="14"/>
      <c r="BO301" s="11">
        <v>431</v>
      </c>
      <c r="BP301" s="15">
        <v>8226.82</v>
      </c>
      <c r="BQ301" s="11"/>
      <c r="BR301" s="15"/>
      <c r="BS301" s="14"/>
      <c r="BT301" s="14"/>
      <c r="BU301" s="9" t="s">
        <v>100</v>
      </c>
      <c r="BV301" s="9" t="s">
        <v>100</v>
      </c>
      <c r="BW301" s="9" t="s">
        <v>100</v>
      </c>
      <c r="BX301" s="9" t="s">
        <v>100</v>
      </c>
      <c r="BY301" s="9" t="s">
        <v>100</v>
      </c>
      <c r="BZ30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3:BC26"/>
    <mergeCell ref="BD23:BD26"/>
    <mergeCell ref="BE23:BE26"/>
    <mergeCell ref="BF23:BF26"/>
    <mergeCell ref="BG23:BG26"/>
    <mergeCell ref="BH23:BH26"/>
    <mergeCell ref="BC29:BC31"/>
    <mergeCell ref="BD29:BD31"/>
    <mergeCell ref="BE29:BE31"/>
    <mergeCell ref="BF29:BF31"/>
    <mergeCell ref="BG29:BG31"/>
    <mergeCell ref="BH29:BH31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4:BC75"/>
    <mergeCell ref="BD64:BD75"/>
    <mergeCell ref="BE64:BE75"/>
    <mergeCell ref="BF64:BF75"/>
    <mergeCell ref="BG64:BG75"/>
    <mergeCell ref="BH64:BH75"/>
    <mergeCell ref="BC76:BC80"/>
    <mergeCell ref="BD76:BD80"/>
    <mergeCell ref="BE76:BE80"/>
    <mergeCell ref="BF76:BF80"/>
    <mergeCell ref="BG76:BG80"/>
    <mergeCell ref="BH76:BH80"/>
    <mergeCell ref="BC81:BC83"/>
    <mergeCell ref="BD81:BD83"/>
    <mergeCell ref="BE81:BE83"/>
    <mergeCell ref="BF81:BF83"/>
    <mergeCell ref="BG81:BG83"/>
    <mergeCell ref="BH81:BH83"/>
    <mergeCell ref="BC84:BC90"/>
    <mergeCell ref="BD84:BD90"/>
    <mergeCell ref="BE84:BE90"/>
    <mergeCell ref="BF84:BF90"/>
    <mergeCell ref="BG84:BG90"/>
    <mergeCell ref="BH84:BH90"/>
    <mergeCell ref="BC91:BC101"/>
    <mergeCell ref="BD91:BD101"/>
    <mergeCell ref="BE91:BE101"/>
    <mergeCell ref="BF91:BF101"/>
    <mergeCell ref="BG91:BG101"/>
    <mergeCell ref="BH91:BH101"/>
    <mergeCell ref="BC102:BC108"/>
    <mergeCell ref="BD102:BD108"/>
    <mergeCell ref="BE102:BE108"/>
    <mergeCell ref="BF102:BF108"/>
    <mergeCell ref="BG102:BG108"/>
    <mergeCell ref="BH102:BH108"/>
    <mergeCell ref="BC110:BC112"/>
    <mergeCell ref="BD110:BD112"/>
    <mergeCell ref="BE110:BE112"/>
    <mergeCell ref="BF110:BF112"/>
    <mergeCell ref="BG110:BG112"/>
    <mergeCell ref="BH110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19:BC121"/>
    <mergeCell ref="BD119:BD121"/>
    <mergeCell ref="BE119:BE121"/>
    <mergeCell ref="BF119:BF121"/>
    <mergeCell ref="BG119:BG121"/>
    <mergeCell ref="BH119:BH121"/>
    <mergeCell ref="BC124:BC125"/>
    <mergeCell ref="BD124:BD125"/>
    <mergeCell ref="BE124:BE125"/>
    <mergeCell ref="BF124:BF125"/>
    <mergeCell ref="BG124:BG125"/>
    <mergeCell ref="BH124:BH125"/>
    <mergeCell ref="BC127:BC128"/>
    <mergeCell ref="BD127:BD128"/>
    <mergeCell ref="BE127:BE128"/>
    <mergeCell ref="BF127:BF128"/>
    <mergeCell ref="BG127:BG128"/>
    <mergeCell ref="BH127:BH128"/>
    <mergeCell ref="BC130:BC147"/>
    <mergeCell ref="BD130:BD147"/>
    <mergeCell ref="BE130:BE147"/>
    <mergeCell ref="BF130:BF147"/>
    <mergeCell ref="BG130:BG147"/>
    <mergeCell ref="BH130:BH147"/>
    <mergeCell ref="BC148:BC149"/>
    <mergeCell ref="BD148:BD149"/>
    <mergeCell ref="BE148:BE149"/>
    <mergeCell ref="BF148:BF149"/>
    <mergeCell ref="BG148:BG149"/>
    <mergeCell ref="BH148:BH149"/>
    <mergeCell ref="BC150:BC155"/>
    <mergeCell ref="BD150:BD155"/>
    <mergeCell ref="BE150:BE155"/>
    <mergeCell ref="BF150:BF155"/>
    <mergeCell ref="BG150:BG155"/>
    <mergeCell ref="BH150:BH155"/>
    <mergeCell ref="BC156:BC157"/>
    <mergeCell ref="BD156:BD157"/>
    <mergeCell ref="BE156:BE157"/>
    <mergeCell ref="BF156:BF157"/>
    <mergeCell ref="BG156:BG157"/>
    <mergeCell ref="BH156:BH157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7"/>
    <mergeCell ref="BD169:BD177"/>
    <mergeCell ref="BE169:BE177"/>
    <mergeCell ref="BF169:BF177"/>
    <mergeCell ref="BG169:BG177"/>
    <mergeCell ref="BH169:BH177"/>
    <mergeCell ref="BC182:BC185"/>
    <mergeCell ref="BD182:BD185"/>
    <mergeCell ref="BE182:BE185"/>
    <mergeCell ref="BF182:BF185"/>
    <mergeCell ref="BG182:BG185"/>
    <mergeCell ref="BH182:BH185"/>
    <mergeCell ref="BC186:BC188"/>
    <mergeCell ref="BD186:BD188"/>
    <mergeCell ref="BE186:BE188"/>
    <mergeCell ref="BF186:BF188"/>
    <mergeCell ref="BG186:BG188"/>
    <mergeCell ref="BH186:BH188"/>
    <mergeCell ref="BC189:BC190"/>
    <mergeCell ref="BD189:BD190"/>
    <mergeCell ref="BE189:BE190"/>
    <mergeCell ref="BF189:BF190"/>
    <mergeCell ref="BG189:BG190"/>
    <mergeCell ref="BH189:BH190"/>
    <mergeCell ref="BC191:BC193"/>
    <mergeCell ref="BD191:BD193"/>
    <mergeCell ref="BE191:BE193"/>
    <mergeCell ref="BF191:BF193"/>
    <mergeCell ref="BG191:BG193"/>
    <mergeCell ref="BH191:BH193"/>
    <mergeCell ref="BC194:BC196"/>
    <mergeCell ref="BD194:BD196"/>
    <mergeCell ref="BE194:BE196"/>
    <mergeCell ref="BF194:BF196"/>
    <mergeCell ref="BG194:BG196"/>
    <mergeCell ref="BH194:BH196"/>
    <mergeCell ref="BC199:BC205"/>
    <mergeCell ref="BD199:BD205"/>
    <mergeCell ref="BE199:BE205"/>
    <mergeCell ref="BF199:BF205"/>
    <mergeCell ref="BG199:BG205"/>
    <mergeCell ref="BH199:BH205"/>
    <mergeCell ref="BC206:BC212"/>
    <mergeCell ref="BD206:BD212"/>
    <mergeCell ref="BE206:BE212"/>
    <mergeCell ref="BF206:BF212"/>
    <mergeCell ref="BG206:BG212"/>
    <mergeCell ref="BH206:BH212"/>
    <mergeCell ref="BC213:BC215"/>
    <mergeCell ref="BD213:BD215"/>
    <mergeCell ref="BE213:BE215"/>
    <mergeCell ref="BF213:BF215"/>
    <mergeCell ref="BG213:BG215"/>
    <mergeCell ref="BH213:BH215"/>
    <mergeCell ref="BC216:BC233"/>
    <mergeCell ref="BD216:BD233"/>
    <mergeCell ref="BE216:BE233"/>
    <mergeCell ref="BF216:BF233"/>
    <mergeCell ref="BG216:BG233"/>
    <mergeCell ref="BH216:BH233"/>
    <mergeCell ref="BC234:BC247"/>
    <mergeCell ref="BD234:BD247"/>
    <mergeCell ref="BE234:BE247"/>
    <mergeCell ref="BF234:BF247"/>
    <mergeCell ref="BG234:BG247"/>
    <mergeCell ref="BH234:BH247"/>
    <mergeCell ref="BC248:BC253"/>
    <mergeCell ref="BD248:BD253"/>
    <mergeCell ref="BE248:BE253"/>
    <mergeCell ref="BF248:BF253"/>
    <mergeCell ref="BG248:BG253"/>
    <mergeCell ref="BH248:BH253"/>
    <mergeCell ref="BC254:BC258"/>
    <mergeCell ref="BD254:BD258"/>
    <mergeCell ref="BE254:BE258"/>
    <mergeCell ref="BF254:BF258"/>
    <mergeCell ref="BG254:BG258"/>
    <mergeCell ref="BH254:BH258"/>
    <mergeCell ref="BC259:BC263"/>
    <mergeCell ref="BD259:BD263"/>
    <mergeCell ref="BE259:BE263"/>
    <mergeCell ref="BF259:BF263"/>
    <mergeCell ref="BG259:BG263"/>
    <mergeCell ref="BH259:BH263"/>
    <mergeCell ref="BC264:BC269"/>
    <mergeCell ref="BD264:BD269"/>
    <mergeCell ref="BE264:BE269"/>
    <mergeCell ref="BF264:BF269"/>
    <mergeCell ref="BG264:BG269"/>
    <mergeCell ref="BH264:BH269"/>
    <mergeCell ref="BC270:BC277"/>
    <mergeCell ref="BD270:BD277"/>
    <mergeCell ref="BE270:BE277"/>
    <mergeCell ref="BF270:BF277"/>
    <mergeCell ref="BG270:BG277"/>
    <mergeCell ref="BH270:BH277"/>
    <mergeCell ref="BC278:BC283"/>
    <mergeCell ref="BD278:BD283"/>
    <mergeCell ref="BE278:BE283"/>
    <mergeCell ref="BF278:BF283"/>
    <mergeCell ref="BG278:BG283"/>
    <mergeCell ref="BH278:BH283"/>
    <mergeCell ref="BC284:BC290"/>
    <mergeCell ref="BD284:BD290"/>
    <mergeCell ref="BE284:BE290"/>
    <mergeCell ref="BF284:BF290"/>
    <mergeCell ref="BG284:BG290"/>
    <mergeCell ref="BH284:BH290"/>
    <mergeCell ref="BC291:BC294"/>
    <mergeCell ref="BD291:BD294"/>
    <mergeCell ref="BE291:BE294"/>
    <mergeCell ref="BF291:BF294"/>
    <mergeCell ref="BG291:BG294"/>
    <mergeCell ref="BH291:BH294"/>
    <mergeCell ref="BC296:BC300"/>
    <mergeCell ref="BD296:BD300"/>
    <mergeCell ref="BE296:BE300"/>
    <mergeCell ref="BF296:BF300"/>
    <mergeCell ref="BG296:BG300"/>
    <mergeCell ref="BH296:BH300"/>
    <mergeCell ref="AV23:AV24"/>
    <mergeCell ref="AW23:AW24"/>
    <mergeCell ref="AX23:AX24"/>
    <mergeCell ref="AY23:AY24"/>
    <mergeCell ref="AZ23:AZ24"/>
    <mergeCell ref="BA23:BA24"/>
    <mergeCell ref="BI23:BI24"/>
    <mergeCell ref="AV64:AV65"/>
    <mergeCell ref="AW64:AW65"/>
    <mergeCell ref="AX64:AX65"/>
    <mergeCell ref="AY64:AY65"/>
    <mergeCell ref="AZ64:AZ65"/>
    <mergeCell ref="BA64:BA65"/>
    <mergeCell ref="BI64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5"/>
    <mergeCell ref="AW73:AW75"/>
    <mergeCell ref="AX73:AX75"/>
    <mergeCell ref="AY73:AY75"/>
    <mergeCell ref="AZ73:AZ75"/>
    <mergeCell ref="BA73:BA75"/>
    <mergeCell ref="BI73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4:AV86"/>
    <mergeCell ref="AW84:AW86"/>
    <mergeCell ref="AX84:AX86"/>
    <mergeCell ref="AY84:AY86"/>
    <mergeCell ref="AZ84:AZ86"/>
    <mergeCell ref="BA84:BA86"/>
    <mergeCell ref="BI84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8"/>
    <mergeCell ref="AW106:AW108"/>
    <mergeCell ref="AX106:AX108"/>
    <mergeCell ref="AY106:AY108"/>
    <mergeCell ref="AZ106:AZ108"/>
    <mergeCell ref="BA106:BA108"/>
    <mergeCell ref="BI106:BI108"/>
    <mergeCell ref="AV110:AV111"/>
    <mergeCell ref="AW110:AW111"/>
    <mergeCell ref="AX110:AX111"/>
    <mergeCell ref="AY110:AY111"/>
    <mergeCell ref="AZ110:AZ111"/>
    <mergeCell ref="BA110:BA111"/>
    <mergeCell ref="AV113:AV114"/>
    <mergeCell ref="AW113:AW114"/>
    <mergeCell ref="AX113:AX114"/>
    <mergeCell ref="AY113:AY114"/>
    <mergeCell ref="AZ113:AZ114"/>
    <mergeCell ref="BA113:BA114"/>
    <mergeCell ref="AV130:AV131"/>
    <mergeCell ref="AW130:AW131"/>
    <mergeCell ref="AX130:AX131"/>
    <mergeCell ref="AY130:AY131"/>
    <mergeCell ref="AZ130:AZ131"/>
    <mergeCell ref="BA130:BA131"/>
    <mergeCell ref="BI130:BI131"/>
    <mergeCell ref="AV132:AV135"/>
    <mergeCell ref="AW132:AW135"/>
    <mergeCell ref="AX132:AX135"/>
    <mergeCell ref="AY132:AY135"/>
    <mergeCell ref="AZ132:AZ135"/>
    <mergeCell ref="BA132:BA135"/>
    <mergeCell ref="BI132:BI135"/>
    <mergeCell ref="AV136:AV139"/>
    <mergeCell ref="AW136:AW139"/>
    <mergeCell ref="AX136:AX139"/>
    <mergeCell ref="AY136:AY139"/>
    <mergeCell ref="AZ136:AZ139"/>
    <mergeCell ref="BA136:BA139"/>
    <mergeCell ref="BI136:BI139"/>
    <mergeCell ref="AV140:AV143"/>
    <mergeCell ref="AW140:AW143"/>
    <mergeCell ref="AX140:AX143"/>
    <mergeCell ref="AY140:AY143"/>
    <mergeCell ref="AZ140:AZ143"/>
    <mergeCell ref="BA140:BA143"/>
    <mergeCell ref="BI140:BI143"/>
    <mergeCell ref="AV144:AV147"/>
    <mergeCell ref="AW144:AW147"/>
    <mergeCell ref="AX144:AX147"/>
    <mergeCell ref="AY144:AY147"/>
    <mergeCell ref="AZ144:AZ147"/>
    <mergeCell ref="BA144:BA147"/>
    <mergeCell ref="BI144:BI147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69:AV171"/>
    <mergeCell ref="AW169:AW171"/>
    <mergeCell ref="AX169:AX171"/>
    <mergeCell ref="AY169:AY171"/>
    <mergeCell ref="AZ169:AZ171"/>
    <mergeCell ref="BA169:BA171"/>
    <mergeCell ref="AV172:AV174"/>
    <mergeCell ref="AW172:AW174"/>
    <mergeCell ref="AX172:AX174"/>
    <mergeCell ref="AY172:AY174"/>
    <mergeCell ref="AZ172:AZ174"/>
    <mergeCell ref="BA172:BA174"/>
    <mergeCell ref="AV175:AV177"/>
    <mergeCell ref="AW175:AW177"/>
    <mergeCell ref="AX175:AX177"/>
    <mergeCell ref="AY175:AY177"/>
    <mergeCell ref="AZ175:AZ177"/>
    <mergeCell ref="BA175:BA177"/>
    <mergeCell ref="AV182:AV183"/>
    <mergeCell ref="AW182:AW183"/>
    <mergeCell ref="AX182:AX183"/>
    <mergeCell ref="AY182:AY183"/>
    <mergeCell ref="AZ182:AZ183"/>
    <mergeCell ref="BA182:BA183"/>
    <mergeCell ref="AV184:AV185"/>
    <mergeCell ref="AW184:AW185"/>
    <mergeCell ref="AX184:AX185"/>
    <mergeCell ref="AY184:AY185"/>
    <mergeCell ref="AZ184:AZ185"/>
    <mergeCell ref="BA184:BA185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41:AV242"/>
    <mergeCell ref="AW241:AW242"/>
    <mergeCell ref="AX241:AX242"/>
    <mergeCell ref="AY241:AY242"/>
    <mergeCell ref="AZ241:AZ242"/>
    <mergeCell ref="BA241:BA242"/>
    <mergeCell ref="BI241:BI2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1569</v>
      </c>
      <c r="D2" s="0" t="s">
        <v>1570</v>
      </c>
      <c r="E2" s="0" t="s">
        <v>1571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1572</v>
      </c>
      <c r="J4" s="1" t="s">
        <v>1573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1574</v>
      </c>
      <c r="P4" s="1" t="s">
        <v>1575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1576</v>
      </c>
      <c r="F5" s="1" t="s">
        <v>1577</v>
      </c>
      <c r="G5" s="1" t="s">
        <v>1576</v>
      </c>
      <c r="H5" s="1" t="s">
        <v>1577</v>
      </c>
      <c r="I5" s="1" t="s">
        <v>1572</v>
      </c>
      <c r="J5" s="1" t="s">
        <v>1573</v>
      </c>
      <c r="K5" s="1" t="s">
        <v>1578</v>
      </c>
      <c r="L5" s="1" t="s">
        <v>1579</v>
      </c>
      <c r="M5" s="1" t="s">
        <v>1578</v>
      </c>
      <c r="N5" s="1" t="s">
        <v>1579</v>
      </c>
      <c r="O5" s="1" t="s">
        <v>1574</v>
      </c>
      <c r="P5" s="1" t="s">
        <v>1575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209</v>
      </c>
      <c r="F6" s="8">
        <v>3607.27</v>
      </c>
      <c r="G6" s="4"/>
      <c r="H6" s="8"/>
      <c r="I6" s="7"/>
      <c r="J6" s="7"/>
      <c r="K6" s="4">
        <v>209</v>
      </c>
      <c r="L6" s="8">
        <v>3607.27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549</v>
      </c>
      <c r="D7" s="2" t="s">
        <v>550</v>
      </c>
      <c r="E7" s="4">
        <v>61</v>
      </c>
      <c r="F7" s="8">
        <v>1111.6</v>
      </c>
      <c r="G7" s="4"/>
      <c r="H7" s="8"/>
      <c r="I7" s="7"/>
      <c r="J7" s="7"/>
      <c r="K7" s="4">
        <v>61</v>
      </c>
      <c r="L7" s="8">
        <v>1111.6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759</v>
      </c>
      <c r="D8" s="2" t="s">
        <v>760</v>
      </c>
      <c r="E8" s="4">
        <v>4</v>
      </c>
      <c r="F8" s="8">
        <v>84</v>
      </c>
      <c r="G8" s="4"/>
      <c r="H8" s="8"/>
      <c r="I8" s="7"/>
      <c r="J8" s="7"/>
      <c r="K8" s="4">
        <v>4</v>
      </c>
      <c r="L8" s="8">
        <v>84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775</v>
      </c>
      <c r="D9" s="2" t="s">
        <v>776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87</v>
      </c>
      <c r="B10" s="2" t="s">
        <v>799</v>
      </c>
      <c r="C10" s="2" t="s">
        <v>89</v>
      </c>
      <c r="D10" s="2" t="s">
        <v>90</v>
      </c>
      <c r="E10" s="4">
        <v>38</v>
      </c>
      <c r="F10" s="8">
        <v>499.38</v>
      </c>
      <c r="G10" s="4"/>
      <c r="H10" s="8"/>
      <c r="I10" s="7"/>
      <c r="J10" s="7"/>
      <c r="K10" s="4">
        <v>38</v>
      </c>
      <c r="L10" s="8">
        <v>499.38</v>
      </c>
      <c r="M10" s="4"/>
      <c r="N10" s="8"/>
      <c r="O10" s="7"/>
      <c r="P10" s="7"/>
    </row>
    <row r="11">
      <c r="A11" s="2" t="s">
        <v>87</v>
      </c>
      <c r="B11" s="2" t="s">
        <v>835</v>
      </c>
      <c r="C11" s="2" t="s">
        <v>89</v>
      </c>
      <c r="D11" s="2" t="s">
        <v>90</v>
      </c>
      <c r="E11" s="4">
        <v>14</v>
      </c>
      <c r="F11" s="8">
        <v>298.41</v>
      </c>
      <c r="G11" s="4"/>
      <c r="H11" s="8"/>
      <c r="I11" s="7"/>
      <c r="J11" s="7"/>
      <c r="K11" s="4">
        <v>14</v>
      </c>
      <c r="L11" s="8">
        <v>298.41</v>
      </c>
      <c r="M11" s="4"/>
      <c r="N11" s="8"/>
      <c r="O11" s="7"/>
      <c r="P11" s="7"/>
    </row>
    <row r="12">
      <c r="A12" s="2" t="s">
        <v>87</v>
      </c>
      <c r="B12" s="2" t="s">
        <v>869</v>
      </c>
      <c r="C12" s="2" t="s">
        <v>549</v>
      </c>
      <c r="D12" s="2" t="s">
        <v>550</v>
      </c>
      <c r="E12" s="4">
        <v>11</v>
      </c>
      <c r="F12" s="8">
        <v>202.08</v>
      </c>
      <c r="G12" s="4"/>
      <c r="H12" s="8"/>
      <c r="I12" s="7"/>
      <c r="J12" s="7"/>
      <c r="K12" s="4">
        <v>11</v>
      </c>
      <c r="L12" s="8">
        <v>202.08</v>
      </c>
      <c r="M12" s="4"/>
      <c r="N12" s="8"/>
      <c r="O12" s="7"/>
      <c r="P12" s="7"/>
    </row>
    <row r="13">
      <c r="A13" s="2" t="s">
        <v>87</v>
      </c>
      <c r="B13" s="2" t="s">
        <v>960</v>
      </c>
      <c r="C13" s="2" t="s">
        <v>89</v>
      </c>
      <c r="D13" s="2" t="s">
        <v>90</v>
      </c>
      <c r="E13" s="4">
        <v>7</v>
      </c>
      <c r="F13" s="8">
        <v>101.13</v>
      </c>
      <c r="G13" s="4"/>
      <c r="H13" s="8"/>
      <c r="I13" s="7"/>
      <c r="J13" s="7"/>
      <c r="K13" s="4">
        <v>7</v>
      </c>
      <c r="L13" s="8">
        <v>101.13</v>
      </c>
      <c r="M13" s="4"/>
      <c r="N13" s="8"/>
      <c r="O13" s="7"/>
      <c r="P13" s="7"/>
    </row>
    <row r="14">
      <c r="A14" s="2" t="s">
        <v>87</v>
      </c>
      <c r="B14" s="2" t="s">
        <v>960</v>
      </c>
      <c r="C14" s="2" t="s">
        <v>775</v>
      </c>
      <c r="D14" s="2" t="s">
        <v>776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1000</v>
      </c>
      <c r="C15" s="2" t="s">
        <v>89</v>
      </c>
      <c r="D15" s="2" t="s">
        <v>90</v>
      </c>
      <c r="E15" s="4">
        <v>2</v>
      </c>
      <c r="F15" s="8">
        <v>45.4</v>
      </c>
      <c r="G15" s="4"/>
      <c r="H15" s="8"/>
      <c r="I15" s="7"/>
      <c r="J15" s="7"/>
      <c r="K15" s="4">
        <v>2</v>
      </c>
      <c r="L15" s="8">
        <v>45.4</v>
      </c>
      <c r="M15" s="4"/>
      <c r="N15" s="8"/>
      <c r="O15" s="7"/>
      <c r="P15" s="7"/>
    </row>
    <row r="16">
      <c r="A16" s="2" t="s">
        <v>87</v>
      </c>
      <c r="B16" s="2" t="s">
        <v>1021</v>
      </c>
      <c r="C16" s="2" t="s">
        <v>89</v>
      </c>
      <c r="D16" s="2" t="s">
        <v>90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1050</v>
      </c>
      <c r="C17" s="2" t="s">
        <v>549</v>
      </c>
      <c r="D17" s="2" t="s">
        <v>550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1070</v>
      </c>
      <c r="C18" s="2" t="s">
        <v>89</v>
      </c>
      <c r="D18" s="2" t="s">
        <v>90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1082</v>
      </c>
      <c r="C19" s="2" t="s">
        <v>549</v>
      </c>
      <c r="D19" s="2" t="s">
        <v>550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1082</v>
      </c>
      <c r="C20" s="2" t="s">
        <v>89</v>
      </c>
      <c r="D20" s="2" t="s">
        <v>90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1183</v>
      </c>
      <c r="B21" s="2" t="s">
        <v>88</v>
      </c>
      <c r="C21" s="2" t="s">
        <v>1184</v>
      </c>
      <c r="D21" s="2" t="s">
        <v>776</v>
      </c>
      <c r="E21" s="4">
        <v>51</v>
      </c>
      <c r="F21" s="8">
        <v>1324.29</v>
      </c>
      <c r="G21" s="4"/>
      <c r="H21" s="8"/>
      <c r="I21" s="7"/>
      <c r="J21" s="7"/>
      <c r="K21" s="4">
        <v>51</v>
      </c>
      <c r="L21" s="8">
        <v>1324.29</v>
      </c>
      <c r="M21" s="4"/>
      <c r="N21" s="8"/>
      <c r="O21" s="7"/>
      <c r="P21" s="7"/>
    </row>
    <row r="22">
      <c r="A22" s="2" t="s">
        <v>1183</v>
      </c>
      <c r="B22" s="2" t="s">
        <v>869</v>
      </c>
      <c r="C22" s="2" t="s">
        <v>1184</v>
      </c>
      <c r="D22" s="2" t="s">
        <v>776</v>
      </c>
      <c r="E22" s="4">
        <v>15</v>
      </c>
      <c r="F22" s="8">
        <v>533.47</v>
      </c>
      <c r="G22" s="4"/>
      <c r="H22" s="8"/>
      <c r="I22" s="7"/>
      <c r="J22" s="7"/>
      <c r="K22" s="4">
        <v>15</v>
      </c>
      <c r="L22" s="8">
        <v>533.47</v>
      </c>
      <c r="M22" s="4"/>
      <c r="N22" s="8"/>
      <c r="O22" s="7"/>
      <c r="P22" s="7"/>
    </row>
    <row r="23">
      <c r="A23" s="2" t="s">
        <v>1183</v>
      </c>
      <c r="B23" s="2" t="s">
        <v>1021</v>
      </c>
      <c r="C23" s="2" t="s">
        <v>1184</v>
      </c>
      <c r="D23" s="2" t="s">
        <v>776</v>
      </c>
      <c r="E23" s="4">
        <v>10</v>
      </c>
      <c r="F23" s="8">
        <v>248.34</v>
      </c>
      <c r="G23" s="4"/>
      <c r="H23" s="8"/>
      <c r="I23" s="7"/>
      <c r="J23" s="7"/>
      <c r="K23" s="4">
        <v>10</v>
      </c>
      <c r="L23" s="8">
        <v>248.34</v>
      </c>
      <c r="M23" s="4"/>
      <c r="N23" s="8"/>
      <c r="O23" s="7"/>
      <c r="P23" s="7"/>
    </row>
    <row r="24">
      <c r="A24" s="2" t="s">
        <v>1183</v>
      </c>
      <c r="B24" s="2" t="s">
        <v>799</v>
      </c>
      <c r="C24" s="2" t="s">
        <v>1184</v>
      </c>
      <c r="D24" s="2" t="s">
        <v>776</v>
      </c>
      <c r="E24" s="4">
        <v>9</v>
      </c>
      <c r="F24" s="8">
        <v>171.45</v>
      </c>
      <c r="G24" s="4"/>
      <c r="H24" s="8"/>
      <c r="I24" s="7"/>
      <c r="J24" s="7"/>
      <c r="K24" s="4">
        <v>9</v>
      </c>
      <c r="L24" s="8">
        <v>171.45</v>
      </c>
      <c r="M24" s="4"/>
      <c r="N24" s="8"/>
      <c r="O24" s="7"/>
      <c r="P24" s="7"/>
    </row>
    <row r="25">
      <c r="A25" s="2" t="s">
        <v>1183</v>
      </c>
      <c r="B25" s="2" t="s">
        <v>1050</v>
      </c>
      <c r="C25" s="2" t="s">
        <v>1184</v>
      </c>
      <c r="D25" s="2" t="s">
        <v>776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1183</v>
      </c>
      <c r="B26" s="2" t="s">
        <v>1534</v>
      </c>
      <c r="C26" s="2" t="s">
        <v>1184</v>
      </c>
      <c r="D26" s="2" t="s">
        <v>776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1183</v>
      </c>
      <c r="B27" s="2" t="s">
        <v>1070</v>
      </c>
      <c r="C27" s="2" t="s">
        <v>1184</v>
      </c>
      <c r="D27" s="2" t="s">
        <v>776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1183</v>
      </c>
      <c r="B28" s="2" t="s">
        <v>1082</v>
      </c>
      <c r="C28" s="2" t="s">
        <v>1184</v>
      </c>
      <c r="D28" s="2" t="s">
        <v>776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1569</v>
      </c>
      <c r="D2" s="0" t="s">
        <v>1570</v>
      </c>
      <c r="E2" s="0" t="s">
        <v>1571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1572</v>
      </c>
      <c r="I4" s="1" t="s">
        <v>1573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1574</v>
      </c>
      <c r="O4" s="1" t="s">
        <v>1575</v>
      </c>
    </row>
    <row r="5">
      <c r="A5" s="1" t="s">
        <v>52</v>
      </c>
      <c r="B5" s="1" t="s">
        <v>54</v>
      </c>
      <c r="C5" s="1" t="s">
        <v>55</v>
      </c>
      <c r="D5" s="1" t="s">
        <v>1576</v>
      </c>
      <c r="E5" s="1" t="s">
        <v>1577</v>
      </c>
      <c r="F5" s="1" t="s">
        <v>1576</v>
      </c>
      <c r="G5" s="1" t="s">
        <v>1577</v>
      </c>
      <c r="H5" s="1" t="s">
        <v>1572</v>
      </c>
      <c r="I5" s="1" t="s">
        <v>1573</v>
      </c>
      <c r="J5" s="1" t="s">
        <v>1578</v>
      </c>
      <c r="K5" s="1" t="s">
        <v>1579</v>
      </c>
      <c r="L5" s="1" t="s">
        <v>1578</v>
      </c>
      <c r="M5" s="1" t="s">
        <v>1579</v>
      </c>
      <c r="N5" s="1" t="s">
        <v>1574</v>
      </c>
      <c r="O5" s="1" t="s">
        <v>1575</v>
      </c>
    </row>
    <row r="6">
      <c r="A6" s="2" t="s">
        <v>87</v>
      </c>
      <c r="B6" s="2" t="s">
        <v>89</v>
      </c>
      <c r="C6" s="2" t="s">
        <v>90</v>
      </c>
      <c r="D6" s="4">
        <v>270</v>
      </c>
      <c r="E6" s="8">
        <v>4551.59</v>
      </c>
      <c r="F6" s="4"/>
      <c r="G6" s="8"/>
      <c r="H6" s="7"/>
      <c r="I6" s="7"/>
      <c r="J6" s="4">
        <v>270</v>
      </c>
      <c r="K6" s="8">
        <v>4551.59</v>
      </c>
      <c r="L6" s="4"/>
      <c r="M6" s="8"/>
      <c r="N6" s="7"/>
      <c r="O6" s="7"/>
    </row>
    <row r="7">
      <c r="A7" s="2" t="s">
        <v>87</v>
      </c>
      <c r="B7" s="2" t="s">
        <v>549</v>
      </c>
      <c r="C7" s="2" t="s">
        <v>550</v>
      </c>
      <c r="D7" s="4">
        <v>72</v>
      </c>
      <c r="E7" s="8">
        <v>1313.68</v>
      </c>
      <c r="F7" s="4"/>
      <c r="G7" s="8"/>
      <c r="H7" s="7"/>
      <c r="I7" s="7"/>
      <c r="J7" s="4">
        <v>72</v>
      </c>
      <c r="K7" s="8">
        <v>1313.68</v>
      </c>
      <c r="L7" s="4"/>
      <c r="M7" s="8"/>
      <c r="N7" s="7"/>
      <c r="O7" s="7"/>
    </row>
    <row r="8">
      <c r="A8" s="2" t="s">
        <v>87</v>
      </c>
      <c r="B8" s="2" t="s">
        <v>759</v>
      </c>
      <c r="C8" s="2" t="s">
        <v>760</v>
      </c>
      <c r="D8" s="4">
        <v>4</v>
      </c>
      <c r="E8" s="8">
        <v>84</v>
      </c>
      <c r="F8" s="4"/>
      <c r="G8" s="8"/>
      <c r="H8" s="7"/>
      <c r="I8" s="7"/>
      <c r="J8" s="4">
        <v>4</v>
      </c>
      <c r="K8" s="8">
        <v>84</v>
      </c>
      <c r="L8" s="4"/>
      <c r="M8" s="8"/>
      <c r="N8" s="7"/>
      <c r="O8" s="7"/>
    </row>
    <row r="9">
      <c r="A9" s="2" t="s">
        <v>87</v>
      </c>
      <c r="B9" s="2" t="s">
        <v>775</v>
      </c>
      <c r="C9" s="2" t="s">
        <v>776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1183</v>
      </c>
      <c r="B10" s="2" t="s">
        <v>1184</v>
      </c>
      <c r="C10" s="2" t="s">
        <v>776</v>
      </c>
      <c r="D10" s="4">
        <v>85</v>
      </c>
      <c r="E10" s="8">
        <v>2277.55</v>
      </c>
      <c r="F10" s="4"/>
      <c r="G10" s="8"/>
      <c r="H10" s="7"/>
      <c r="I10" s="7"/>
      <c r="J10" s="4">
        <v>85</v>
      </c>
      <c r="K10" s="8">
        <v>2277.55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